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431北京市海淀区双新村棚户区改造项目2603-003-1地块\"/>
    </mc:Choice>
  </mc:AlternateContent>
  <xr:revisionPtr revIDLastSave="0" documentId="13_ncr:1_{B4B12787-1622-46F5-A361-C52AB51860AF}" xr6:coauthVersionLast="47" xr6:coauthVersionMax="47" xr10:uidLastSave="{00000000-0000-0000-0000-000000000000}"/>
  <bookViews>
    <workbookView xWindow="-120" yWindow="-120" windowWidth="29040" windowHeight="15840" tabRatio="899" firstSheet="9"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12.12面积" sheetId="88" r:id="rId15"/>
    <sheet name="12.23面积" sheetId="89" r:id="rId16"/>
    <sheet name="数据-汇总表" sheetId="6" r:id="rId17"/>
    <sheet name="数据-取费表" sheetId="1" r:id="rId18"/>
    <sheet name="估价对象房地状况" sheetId="20" state="hidden" r:id="rId19"/>
    <sheet name="系统读取表" sheetId="74" r:id="rId20"/>
    <sheet name="土地比较法-住宅、综合" sheetId="39" r:id="rId21"/>
    <sheet name="结果表-住宅" sheetId="81" r:id="rId22"/>
    <sheet name="成本法-住宅" sheetId="69" r:id="rId23"/>
    <sheet name="比较法-住宅" sheetId="21" r:id="rId24"/>
    <sheet name="住宅案例" sheetId="86" r:id="rId25"/>
    <sheet name="典型户型修正-住宅" sheetId="31" r:id="rId26"/>
    <sheet name="典型户型修正-住宅2" sheetId="83" r:id="rId27"/>
    <sheet name="结果表-地下仓储" sheetId="9" r:id="rId28"/>
    <sheet name="成本法" sheetId="68" state="hidden" r:id="rId29"/>
    <sheet name="假设开发法" sheetId="12" state="hidden" r:id="rId30"/>
    <sheet name="收益法" sheetId="15" state="hidden" r:id="rId31"/>
    <sheet name="收益法 (元)" sheetId="67" state="hidden" r:id="rId32"/>
    <sheet name="收益法-酒店模型" sheetId="77" state="hidden" r:id="rId33"/>
    <sheet name="收益法（汇总）" sheetId="70" state="hidden" r:id="rId34"/>
    <sheet name="成本法-地下仓储" sheetId="82" r:id="rId35"/>
    <sheet name="比较法-商业" sheetId="33" state="hidden" r:id="rId36"/>
    <sheet name="比较法-办公" sheetId="34" state="hidden" r:id="rId37"/>
    <sheet name="比较法-工业" sheetId="37" state="hidden" r:id="rId38"/>
    <sheet name="比较法-车位" sheetId="35" state="hidden" r:id="rId39"/>
    <sheet name="比较法-仓储" sheetId="36" r:id="rId40"/>
    <sheet name="土地比较法-工业" sheetId="40"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下仓储案例" sheetId="87" r:id="rId50"/>
    <sheet name="典型户型修正-地下仓储" sheetId="84" r:id="rId51"/>
    <sheet name="典型户型修正-地下仓储2" sheetId="85" r:id="rId52"/>
    <sheet name="地价" sheetId="71" state="hidden" r:id="rId53"/>
    <sheet name="区片价" sheetId="44" state="hidden" r:id="rId54"/>
    <sheet name="存贷款利率" sheetId="73" state="hidden" r:id="rId55"/>
  </sheets>
  <externalReferences>
    <externalReference r:id="rId56"/>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23"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3">'比较法-住宅'!$A$1:$K$54,'比较法-住宅'!$A$57:$M$131</definedName>
    <definedName name="_xlnm.Print_Area" localSheetId="28">成本法!$A$1:$G$57</definedName>
    <definedName name="_xlnm.Print_Area" localSheetId="34">'成本法-地下仓储'!$A$1:$G$57</definedName>
    <definedName name="_xlnm.Print_Area" localSheetId="22">'成本法-住宅'!$A$1:$G$57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9">假设开发法!$A$1:$K$32</definedName>
    <definedName name="_xlnm.Print_Area" localSheetId="27">'结果表-地下仓储'!$A$1:$I$127</definedName>
    <definedName name="_xlnm.Print_Area" localSheetId="21">'结果表-住宅'!$A$1:$I$127</definedName>
    <definedName name="_xlnm.Print_Area" localSheetId="30">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6">'数据-汇总表'!$A$1:$P$32</definedName>
    <definedName name="_xlnm.Print_Area" localSheetId="40">'土地比较法-工业'!$A$1:$K$61,'土地比较法-工业'!$A$64:$M$121</definedName>
    <definedName name="_xlnm.Print_Area" localSheetId="20">'土地比较法-住宅、综合'!$A$1:$K$65,'土地比较法-住宅、综合'!$A$68:$M$131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 localSheetId="50">'典型户型修正-地下仓储'!$5:$5</definedName>
    <definedName name="一修多修正项2" localSheetId="51">'典型户型修正-地下仓储2'!$5:$5</definedName>
    <definedName name="一修多修正项2" localSheetId="26">'典型户型修正-住宅2'!$5:$5</definedName>
    <definedName name="一修多修正项2">'典型户型修正-住宅'!$5:$5</definedName>
    <definedName name="一修多修正项3" localSheetId="50">'典型户型修正-地下仓储'!$7:$7</definedName>
    <definedName name="一修多修正项3" localSheetId="51">'典型户型修正-地下仓储2'!$7:$7</definedName>
    <definedName name="一修多修正项3" localSheetId="26">'典型户型修正-住宅2'!$7:$7</definedName>
    <definedName name="一修多修正项3">'典型户型修正-住宅'!$7:$7</definedName>
    <definedName name="一修多修正项4" localSheetId="50">'典型户型修正-地下仓储'!$9:$9</definedName>
    <definedName name="一修多修正项4" localSheetId="51">'典型户型修正-地下仓储2'!$9:$9</definedName>
    <definedName name="一修多修正项4" localSheetId="26">'典型户型修正-住宅2'!$9:$9</definedName>
    <definedName name="一修多修正项4">'典型户型修正-住宅'!$9:$9</definedName>
    <definedName name="一修多修正项5" localSheetId="50">'典型户型修正-地下仓储'!$11:$11</definedName>
    <definedName name="一修多修正项5" localSheetId="51">'典型户型修正-地下仓储2'!$11:$11</definedName>
    <definedName name="一修多修正项5" localSheetId="26">'典型户型修正-住宅2'!$11:$11</definedName>
    <definedName name="一修多修正项5">'典型户型修正-住宅'!$11:$11</definedName>
    <definedName name="一修多修正项6" localSheetId="50">'典型户型修正-地下仓储'!$13:$13</definedName>
    <definedName name="一修多修正项6" localSheetId="51">'典型户型修正-地下仓储2'!$13:$13</definedName>
    <definedName name="一修多修正项6" localSheetId="26">'典型户型修正-住宅2'!$13:$13</definedName>
    <definedName name="一修多修正项6">'典型户型修正-住宅'!$13:$13</definedName>
    <definedName name="一修多修正项7" localSheetId="50">'典型户型修正-地下仓储'!$15:$15</definedName>
    <definedName name="一修多修正项7" localSheetId="51">'典型户型修正-地下仓储2'!$15:$15</definedName>
    <definedName name="一修多修正项7" localSheetId="26">'典型户型修正-住宅2'!$15:$15</definedName>
    <definedName name="一修多修正项7">'典型户型修正-住宅'!$15:$15</definedName>
    <definedName name="一修多修正项8" localSheetId="50">'典型户型修正-地下仓储'!$17:$17</definedName>
    <definedName name="一修多修正项8" localSheetId="51">'典型户型修正-地下仓储2'!$17:$17</definedName>
    <definedName name="一修多修正项8" localSheetId="26">'典型户型修正-住宅2'!$17:$17</definedName>
    <definedName name="一修多修正项8">'典型户型修正-住宅'!$17:$17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399" i="85" l="1"/>
  <c r="B399" i="85"/>
  <c r="A390" i="85"/>
  <c r="B390" i="85"/>
  <c r="A391" i="85"/>
  <c r="B391" i="85"/>
  <c r="A392" i="85"/>
  <c r="B392" i="85"/>
  <c r="A393" i="85"/>
  <c r="B393" i="85"/>
  <c r="A394" i="85"/>
  <c r="B394" i="85"/>
  <c r="A395" i="85"/>
  <c r="B395" i="85"/>
  <c r="A396" i="85"/>
  <c r="B396" i="85"/>
  <c r="A397" i="85"/>
  <c r="B397" i="85"/>
  <c r="A398" i="85"/>
  <c r="B398" i="85"/>
  <c r="A154" i="83"/>
  <c r="B154" i="83"/>
  <c r="A155" i="83"/>
  <c r="B155" i="83"/>
  <c r="E23" i="89"/>
  <c r="G19" i="89"/>
  <c r="N410" i="89"/>
  <c r="C17" i="89"/>
  <c r="E19" i="89"/>
  <c r="E22" i="89"/>
  <c r="E157" i="89"/>
  <c r="A354" i="85"/>
  <c r="B354" i="85"/>
  <c r="A355" i="85"/>
  <c r="B355" i="85"/>
  <c r="A356" i="85"/>
  <c r="B356" i="85"/>
  <c r="A357" i="85"/>
  <c r="B357" i="85"/>
  <c r="A358" i="85"/>
  <c r="B358" i="85"/>
  <c r="A359" i="85"/>
  <c r="B359" i="85"/>
  <c r="A360" i="85"/>
  <c r="B360" i="85"/>
  <c r="A361" i="85"/>
  <c r="B361" i="85"/>
  <c r="A362" i="85"/>
  <c r="B362" i="85"/>
  <c r="A363" i="85"/>
  <c r="B363" i="85"/>
  <c r="A364" i="85"/>
  <c r="B364" i="85"/>
  <c r="A365" i="85"/>
  <c r="B365" i="85"/>
  <c r="A366" i="85"/>
  <c r="B366" i="85"/>
  <c r="A367" i="85"/>
  <c r="B367" i="85"/>
  <c r="A368" i="85"/>
  <c r="B368" i="85"/>
  <c r="A369" i="85"/>
  <c r="B369" i="85"/>
  <c r="A370" i="85"/>
  <c r="B370" i="85"/>
  <c r="A371" i="85"/>
  <c r="B371" i="85"/>
  <c r="A372" i="85"/>
  <c r="B372" i="85"/>
  <c r="A373" i="85"/>
  <c r="B373" i="85"/>
  <c r="A374" i="85"/>
  <c r="B374" i="85"/>
  <c r="A375" i="85"/>
  <c r="B375" i="85"/>
  <c r="A376" i="85"/>
  <c r="B376" i="85"/>
  <c r="A377" i="85"/>
  <c r="B377" i="85"/>
  <c r="A378" i="85"/>
  <c r="B378" i="85"/>
  <c r="A379" i="85"/>
  <c r="B379" i="85"/>
  <c r="A380" i="85"/>
  <c r="B380" i="85"/>
  <c r="A381" i="85"/>
  <c r="B381" i="85"/>
  <c r="A382" i="85"/>
  <c r="B382" i="85"/>
  <c r="A383" i="85"/>
  <c r="B383" i="85"/>
  <c r="A384" i="85"/>
  <c r="B384" i="85"/>
  <c r="A385" i="85"/>
  <c r="B385" i="85"/>
  <c r="A386" i="85"/>
  <c r="B386" i="85"/>
  <c r="A387" i="85"/>
  <c r="B387" i="85"/>
  <c r="A388" i="85"/>
  <c r="B388" i="85"/>
  <c r="A389" i="85"/>
  <c r="B389" i="85"/>
  <c r="A346" i="85"/>
  <c r="B346" i="85"/>
  <c r="A347" i="85"/>
  <c r="B347" i="85"/>
  <c r="A348" i="85"/>
  <c r="B348" i="85"/>
  <c r="A349" i="85"/>
  <c r="B349" i="85"/>
  <c r="A350" i="85"/>
  <c r="B350" i="85"/>
  <c r="A351" i="85"/>
  <c r="B351" i="85"/>
  <c r="A352" i="85"/>
  <c r="B352" i="85"/>
  <c r="A353" i="85"/>
  <c r="B353" i="85"/>
  <c r="A51" i="84"/>
  <c r="B51" i="84"/>
  <c r="A131" i="83"/>
  <c r="B131" i="83"/>
  <c r="A132" i="83"/>
  <c r="B132" i="83"/>
  <c r="A133" i="83"/>
  <c r="B133" i="83"/>
  <c r="A134" i="83"/>
  <c r="B134" i="83"/>
  <c r="A135" i="83"/>
  <c r="B135" i="83"/>
  <c r="A136" i="83"/>
  <c r="B136" i="83"/>
  <c r="A137" i="83"/>
  <c r="B137" i="83"/>
  <c r="A138" i="83"/>
  <c r="B138" i="83"/>
  <c r="A139" i="83"/>
  <c r="B139" i="83"/>
  <c r="A140" i="83"/>
  <c r="B140" i="83"/>
  <c r="A141" i="83"/>
  <c r="B141" i="83"/>
  <c r="A142" i="83"/>
  <c r="B142" i="83"/>
  <c r="A143" i="83"/>
  <c r="B143" i="83"/>
  <c r="A144" i="83"/>
  <c r="B144" i="83"/>
  <c r="A145" i="83"/>
  <c r="B145" i="83"/>
  <c r="A146" i="83"/>
  <c r="B146" i="83"/>
  <c r="A147" i="83"/>
  <c r="B147" i="83"/>
  <c r="A148" i="83"/>
  <c r="B148" i="83"/>
  <c r="A149" i="83"/>
  <c r="B149" i="83"/>
  <c r="A150" i="83"/>
  <c r="B150" i="83"/>
  <c r="A151" i="83"/>
  <c r="B151" i="83"/>
  <c r="A152" i="83"/>
  <c r="B152" i="83"/>
  <c r="A153" i="83"/>
  <c r="B153" i="83"/>
  <c r="C18" i="89"/>
  <c r="B345" i="85"/>
  <c r="A345" i="85"/>
  <c r="B344" i="85"/>
  <c r="A344" i="85"/>
  <c r="B343" i="85"/>
  <c r="A343" i="85"/>
  <c r="B342" i="85"/>
  <c r="A342" i="85"/>
  <c r="B341" i="85"/>
  <c r="A341" i="85"/>
  <c r="B340" i="85"/>
  <c r="A340" i="85"/>
  <c r="B339" i="85"/>
  <c r="A339" i="85"/>
  <c r="B338" i="85"/>
  <c r="A338" i="85"/>
  <c r="B337" i="85"/>
  <c r="A337" i="85"/>
  <c r="B336" i="85"/>
  <c r="A336" i="85"/>
  <c r="B335" i="85"/>
  <c r="A335" i="85"/>
  <c r="B334" i="85"/>
  <c r="A334" i="85"/>
  <c r="B333" i="85"/>
  <c r="A333" i="85"/>
  <c r="B332" i="85"/>
  <c r="A332" i="85"/>
  <c r="B331" i="85"/>
  <c r="A331" i="85"/>
  <c r="B330" i="85"/>
  <c r="A330" i="85"/>
  <c r="B329" i="85"/>
  <c r="A329" i="85"/>
  <c r="B328" i="85"/>
  <c r="A328" i="85"/>
  <c r="B327" i="85"/>
  <c r="A327" i="85"/>
  <c r="B326" i="85"/>
  <c r="A326" i="85"/>
  <c r="B325" i="85"/>
  <c r="A325" i="85"/>
  <c r="B324" i="85"/>
  <c r="A324" i="85"/>
  <c r="B323" i="85"/>
  <c r="A323" i="85"/>
  <c r="B322" i="85"/>
  <c r="A322" i="85"/>
  <c r="B321" i="85"/>
  <c r="A321" i="85"/>
  <c r="B320" i="85"/>
  <c r="A320" i="85"/>
  <c r="B319" i="85"/>
  <c r="A319" i="85"/>
  <c r="B318" i="85"/>
  <c r="A318" i="85"/>
  <c r="B317" i="85"/>
  <c r="A317" i="85"/>
  <c r="B316" i="85"/>
  <c r="A316" i="85"/>
  <c r="B315" i="85"/>
  <c r="A315" i="85"/>
  <c r="B314" i="85"/>
  <c r="A314" i="85"/>
  <c r="B313" i="85"/>
  <c r="A313" i="85"/>
  <c r="B312" i="85"/>
  <c r="A312" i="85"/>
  <c r="B311" i="85"/>
  <c r="A311" i="85"/>
  <c r="B310" i="85"/>
  <c r="A310" i="85"/>
  <c r="B309" i="85"/>
  <c r="A309" i="85"/>
  <c r="B308" i="85"/>
  <c r="A308" i="85"/>
  <c r="B307" i="85"/>
  <c r="A307" i="85"/>
  <c r="B306" i="85"/>
  <c r="A306" i="85"/>
  <c r="B305" i="85"/>
  <c r="A305" i="85"/>
  <c r="B304" i="85"/>
  <c r="A304" i="85"/>
  <c r="B303" i="85"/>
  <c r="A303" i="85"/>
  <c r="B302" i="85"/>
  <c r="A302" i="85"/>
  <c r="B301" i="85"/>
  <c r="A301" i="85"/>
  <c r="B300" i="85"/>
  <c r="A300" i="85"/>
  <c r="B299" i="85"/>
  <c r="A299" i="85"/>
  <c r="B298" i="85"/>
  <c r="A298" i="85"/>
  <c r="B297" i="85"/>
  <c r="A297" i="85"/>
  <c r="B296" i="85"/>
  <c r="A296" i="85"/>
  <c r="B295" i="85"/>
  <c r="A295" i="85"/>
  <c r="B294" i="85"/>
  <c r="A294" i="85"/>
  <c r="B293" i="85"/>
  <c r="A293" i="85"/>
  <c r="B292" i="85"/>
  <c r="A292" i="85"/>
  <c r="B291" i="85"/>
  <c r="A291" i="85"/>
  <c r="B290" i="85"/>
  <c r="A290" i="85"/>
  <c r="B289" i="85"/>
  <c r="A289" i="85"/>
  <c r="B288" i="85"/>
  <c r="A288" i="85"/>
  <c r="B287" i="85"/>
  <c r="A287" i="85"/>
  <c r="B286" i="85"/>
  <c r="A286" i="85"/>
  <c r="B285" i="85"/>
  <c r="A285" i="85"/>
  <c r="B284" i="85"/>
  <c r="A284" i="85"/>
  <c r="B283" i="85"/>
  <c r="A283" i="85"/>
  <c r="B282" i="85"/>
  <c r="A282" i="85"/>
  <c r="B281" i="85"/>
  <c r="A281" i="85"/>
  <c r="B280" i="85"/>
  <c r="A280" i="85"/>
  <c r="B279" i="85"/>
  <c r="A279" i="85"/>
  <c r="B278" i="85"/>
  <c r="A278" i="85"/>
  <c r="B277" i="85"/>
  <c r="A277" i="85"/>
  <c r="B276" i="85"/>
  <c r="A276" i="85"/>
  <c r="B275" i="85"/>
  <c r="A275" i="85"/>
  <c r="B274" i="85"/>
  <c r="A274" i="85"/>
  <c r="B273" i="85"/>
  <c r="A273" i="85"/>
  <c r="B272" i="85"/>
  <c r="A272" i="85"/>
  <c r="B271" i="85"/>
  <c r="A271" i="85"/>
  <c r="B270" i="85"/>
  <c r="A270" i="85"/>
  <c r="B269" i="85"/>
  <c r="A269" i="85"/>
  <c r="B268" i="85"/>
  <c r="A268" i="85"/>
  <c r="B267" i="85"/>
  <c r="A267" i="85"/>
  <c r="B266" i="85"/>
  <c r="A266" i="85"/>
  <c r="B265" i="85"/>
  <c r="A265" i="85"/>
  <c r="B264" i="85"/>
  <c r="A264" i="85"/>
  <c r="B263" i="85"/>
  <c r="A263" i="85"/>
  <c r="B262" i="85"/>
  <c r="A262" i="85"/>
  <c r="B261" i="85"/>
  <c r="A261" i="85"/>
  <c r="B260" i="85"/>
  <c r="A260" i="85"/>
  <c r="B259" i="85"/>
  <c r="A259" i="85"/>
  <c r="B258" i="85"/>
  <c r="A258" i="85"/>
  <c r="B257" i="85"/>
  <c r="A257" i="85"/>
  <c r="B256" i="85"/>
  <c r="A256" i="85"/>
  <c r="B255" i="85"/>
  <c r="A255" i="85"/>
  <c r="B254" i="85"/>
  <c r="A254" i="85"/>
  <c r="B253" i="85"/>
  <c r="A253" i="85"/>
  <c r="B252" i="85"/>
  <c r="A252" i="85"/>
  <c r="B251" i="85"/>
  <c r="A251" i="85"/>
  <c r="B250" i="85"/>
  <c r="A250" i="85"/>
  <c r="B249" i="85"/>
  <c r="A249" i="85"/>
  <c r="B248" i="85"/>
  <c r="A248" i="85"/>
  <c r="B247" i="85"/>
  <c r="A247" i="85"/>
  <c r="B246" i="85"/>
  <c r="A246" i="85"/>
  <c r="B245" i="85"/>
  <c r="A245" i="85"/>
  <c r="B244" i="85"/>
  <c r="A244" i="85"/>
  <c r="B243" i="85"/>
  <c r="A243" i="85"/>
  <c r="B242" i="85"/>
  <c r="A242" i="85"/>
  <c r="B241" i="85"/>
  <c r="A241" i="85"/>
  <c r="B240" i="85"/>
  <c r="A240" i="85"/>
  <c r="B239" i="85"/>
  <c r="A239" i="85"/>
  <c r="B238" i="85"/>
  <c r="A238" i="85"/>
  <c r="B237" i="85"/>
  <c r="A237" i="85"/>
  <c r="B236" i="85"/>
  <c r="A236" i="85"/>
  <c r="B235" i="85"/>
  <c r="A235" i="85"/>
  <c r="B234" i="85"/>
  <c r="A234" i="85"/>
  <c r="B233" i="85"/>
  <c r="A233" i="85"/>
  <c r="B232" i="85"/>
  <c r="A232" i="85"/>
  <c r="B231" i="85"/>
  <c r="A231" i="85"/>
  <c r="B230" i="85"/>
  <c r="A230" i="85"/>
  <c r="B229" i="85"/>
  <c r="A229" i="85"/>
  <c r="B228" i="85"/>
  <c r="A228" i="85"/>
  <c r="B227" i="85"/>
  <c r="A227" i="85"/>
  <c r="B226" i="85"/>
  <c r="A226" i="85"/>
  <c r="B225" i="85"/>
  <c r="A225" i="85"/>
  <c r="B224" i="85"/>
  <c r="A224" i="85"/>
  <c r="B223" i="85"/>
  <c r="A223" i="85"/>
  <c r="B222" i="85"/>
  <c r="A222" i="85"/>
  <c r="B221" i="85"/>
  <c r="A221" i="85"/>
  <c r="B220" i="85"/>
  <c r="A220" i="85"/>
  <c r="B219" i="85"/>
  <c r="A219" i="85"/>
  <c r="B218" i="85"/>
  <c r="A218" i="85"/>
  <c r="B217" i="85"/>
  <c r="A217" i="85"/>
  <c r="B216" i="85"/>
  <c r="A216" i="85"/>
  <c r="B215" i="85"/>
  <c r="A215" i="85"/>
  <c r="B214" i="85"/>
  <c r="A214" i="85"/>
  <c r="B213" i="85"/>
  <c r="A213" i="85"/>
  <c r="B212" i="85"/>
  <c r="A212" i="85"/>
  <c r="B211" i="85"/>
  <c r="A211" i="85"/>
  <c r="B210" i="85"/>
  <c r="A210" i="85"/>
  <c r="B209" i="85"/>
  <c r="A209" i="85"/>
  <c r="B208" i="85"/>
  <c r="A208" i="85"/>
  <c r="B207" i="85"/>
  <c r="A207" i="85"/>
  <c r="B206" i="85"/>
  <c r="A206" i="85"/>
  <c r="B205" i="85"/>
  <c r="A205" i="85"/>
  <c r="B204" i="85"/>
  <c r="A204" i="85"/>
  <c r="B203" i="85"/>
  <c r="A203" i="85"/>
  <c r="B202" i="85"/>
  <c r="A202" i="85"/>
  <c r="B201" i="85"/>
  <c r="A201" i="85"/>
  <c r="B200" i="85"/>
  <c r="A200" i="85"/>
  <c r="B199" i="85"/>
  <c r="A199" i="85"/>
  <c r="B198" i="85"/>
  <c r="A198" i="85"/>
  <c r="B197" i="85"/>
  <c r="A197" i="85"/>
  <c r="B196" i="85"/>
  <c r="A196" i="85"/>
  <c r="B195" i="85"/>
  <c r="A195" i="85"/>
  <c r="B194" i="85"/>
  <c r="A194" i="85"/>
  <c r="B193" i="85"/>
  <c r="A193" i="85"/>
  <c r="B192" i="85"/>
  <c r="A192" i="85"/>
  <c r="B191" i="85"/>
  <c r="A191" i="85"/>
  <c r="B190" i="85"/>
  <c r="A190" i="85"/>
  <c r="B189" i="85"/>
  <c r="A189" i="85"/>
  <c r="B188" i="85"/>
  <c r="A188" i="85"/>
  <c r="B187" i="85"/>
  <c r="A187" i="85"/>
  <c r="B186" i="85"/>
  <c r="A186" i="85"/>
  <c r="B185" i="85"/>
  <c r="A185" i="85"/>
  <c r="B184" i="85"/>
  <c r="A184" i="85"/>
  <c r="B183" i="85"/>
  <c r="A183" i="85"/>
  <c r="B182" i="85"/>
  <c r="A182" i="85"/>
  <c r="B181" i="85"/>
  <c r="A181" i="85"/>
  <c r="B180" i="85"/>
  <c r="A180" i="85"/>
  <c r="B179" i="85"/>
  <c r="A179" i="85"/>
  <c r="B178" i="85"/>
  <c r="A178" i="85"/>
  <c r="B177" i="85"/>
  <c r="A177" i="85"/>
  <c r="B176" i="85"/>
  <c r="A176" i="85"/>
  <c r="B175" i="85"/>
  <c r="A175" i="85"/>
  <c r="B174" i="85"/>
  <c r="A174" i="85"/>
  <c r="B173" i="85"/>
  <c r="A173" i="85"/>
  <c r="B172" i="85"/>
  <c r="A172" i="85"/>
  <c r="B171" i="85"/>
  <c r="A171" i="85"/>
  <c r="B170" i="85"/>
  <c r="A170" i="85"/>
  <c r="B169" i="85"/>
  <c r="A169" i="85"/>
  <c r="B168" i="85"/>
  <c r="A168" i="85"/>
  <c r="B167" i="85"/>
  <c r="A167" i="85"/>
  <c r="B166" i="85"/>
  <c r="A166" i="85"/>
  <c r="B165" i="85"/>
  <c r="A165" i="85"/>
  <c r="B164" i="85"/>
  <c r="A164" i="85"/>
  <c r="B163" i="85"/>
  <c r="A163" i="85"/>
  <c r="B162" i="85"/>
  <c r="A162" i="85"/>
  <c r="B161" i="85"/>
  <c r="A161" i="85"/>
  <c r="B160" i="85"/>
  <c r="A160" i="85"/>
  <c r="B159" i="85"/>
  <c r="A159" i="85"/>
  <c r="B158" i="85"/>
  <c r="A158" i="85"/>
  <c r="B157" i="85"/>
  <c r="A157" i="85"/>
  <c r="B156" i="85"/>
  <c r="A156" i="85"/>
  <c r="B155" i="85"/>
  <c r="A155" i="85"/>
  <c r="B154" i="85"/>
  <c r="A154" i="85"/>
  <c r="B153" i="85"/>
  <c r="A153" i="85"/>
  <c r="B152" i="85"/>
  <c r="A152" i="85"/>
  <c r="B151" i="85"/>
  <c r="A151" i="85"/>
  <c r="B150" i="85"/>
  <c r="A150" i="85"/>
  <c r="B149" i="85"/>
  <c r="A149" i="85"/>
  <c r="B148" i="85"/>
  <c r="A148" i="85"/>
  <c r="B147" i="85"/>
  <c r="A147" i="85"/>
  <c r="B146" i="85"/>
  <c r="A146" i="85"/>
  <c r="B145" i="85"/>
  <c r="A145" i="85"/>
  <c r="B144" i="85"/>
  <c r="A144" i="85"/>
  <c r="B143" i="85"/>
  <c r="A143" i="85"/>
  <c r="B142" i="85"/>
  <c r="A142" i="85"/>
  <c r="B141" i="85"/>
  <c r="A141" i="85"/>
  <c r="B140" i="85"/>
  <c r="A140" i="85"/>
  <c r="B139" i="85"/>
  <c r="A139" i="85"/>
  <c r="B138" i="85"/>
  <c r="A138" i="85"/>
  <c r="B137" i="85"/>
  <c r="A137" i="85"/>
  <c r="B136" i="85"/>
  <c r="A136" i="85"/>
  <c r="B135" i="85"/>
  <c r="A135" i="85"/>
  <c r="B134" i="85"/>
  <c r="A134" i="85"/>
  <c r="B133" i="85"/>
  <c r="A133" i="85"/>
  <c r="B132" i="85"/>
  <c r="A132" i="85"/>
  <c r="B131" i="85"/>
  <c r="A131" i="85"/>
  <c r="B130" i="85"/>
  <c r="A130" i="85"/>
  <c r="B129" i="85"/>
  <c r="A129" i="85"/>
  <c r="B128" i="85"/>
  <c r="A128" i="85"/>
  <c r="B127" i="85"/>
  <c r="A127" i="85"/>
  <c r="B126" i="85"/>
  <c r="A126" i="85"/>
  <c r="B125" i="85"/>
  <c r="A125" i="85"/>
  <c r="B124" i="85"/>
  <c r="A124" i="85"/>
  <c r="B123" i="85"/>
  <c r="A123" i="85"/>
  <c r="B122" i="85"/>
  <c r="A122" i="85"/>
  <c r="B121" i="85"/>
  <c r="A121" i="85"/>
  <c r="B120" i="85"/>
  <c r="A120" i="85"/>
  <c r="B119" i="85"/>
  <c r="A119" i="85"/>
  <c r="B118" i="85"/>
  <c r="A118" i="85"/>
  <c r="B117" i="85"/>
  <c r="A117" i="85"/>
  <c r="B116" i="85"/>
  <c r="A116" i="85"/>
  <c r="B115" i="85"/>
  <c r="A115" i="85"/>
  <c r="B114" i="85"/>
  <c r="A114" i="85"/>
  <c r="B113" i="85"/>
  <c r="A113" i="85"/>
  <c r="B112" i="85"/>
  <c r="A112" i="85"/>
  <c r="B111" i="85"/>
  <c r="A111" i="85"/>
  <c r="B110" i="85"/>
  <c r="A110" i="85"/>
  <c r="B109" i="85"/>
  <c r="A109" i="85"/>
  <c r="B108" i="85"/>
  <c r="A108" i="85"/>
  <c r="B107" i="85"/>
  <c r="A107" i="85"/>
  <c r="B106" i="85"/>
  <c r="A106" i="85"/>
  <c r="B105" i="85"/>
  <c r="A105" i="85"/>
  <c r="B104" i="85"/>
  <c r="A104" i="85"/>
  <c r="B103" i="85"/>
  <c r="A103" i="85"/>
  <c r="B102" i="85"/>
  <c r="A102" i="85"/>
  <c r="B101" i="85"/>
  <c r="A101" i="85"/>
  <c r="B100" i="85"/>
  <c r="A100" i="85"/>
  <c r="B99" i="85"/>
  <c r="A99" i="85"/>
  <c r="B98" i="85"/>
  <c r="A98" i="85"/>
  <c r="B97" i="85"/>
  <c r="A97" i="85"/>
  <c r="B96" i="85"/>
  <c r="A96" i="85"/>
  <c r="B95" i="85"/>
  <c r="A95" i="85"/>
  <c r="B94" i="85"/>
  <c r="A94" i="85"/>
  <c r="B93" i="85"/>
  <c r="A93" i="85"/>
  <c r="B92" i="85"/>
  <c r="A92" i="85"/>
  <c r="B91" i="85"/>
  <c r="A91" i="85"/>
  <c r="B90" i="85"/>
  <c r="A90" i="85"/>
  <c r="B89" i="85"/>
  <c r="A89" i="85"/>
  <c r="B88" i="85"/>
  <c r="A88" i="85"/>
  <c r="B87" i="85"/>
  <c r="A87" i="85"/>
  <c r="B86" i="85"/>
  <c r="A86" i="85"/>
  <c r="B85" i="85"/>
  <c r="A85" i="85"/>
  <c r="B84" i="85"/>
  <c r="A84" i="85"/>
  <c r="B83" i="85"/>
  <c r="A83" i="85"/>
  <c r="B82" i="85"/>
  <c r="A82" i="85"/>
  <c r="B81" i="85"/>
  <c r="A81" i="85"/>
  <c r="B80" i="85"/>
  <c r="A80" i="85"/>
  <c r="B79" i="85"/>
  <c r="A79" i="85"/>
  <c r="B78" i="85"/>
  <c r="A78" i="85"/>
  <c r="B77" i="85"/>
  <c r="A77" i="85"/>
  <c r="B76" i="85"/>
  <c r="A76" i="85"/>
  <c r="B75" i="85"/>
  <c r="A75" i="85"/>
  <c r="B74" i="85"/>
  <c r="A74" i="85"/>
  <c r="B73" i="85"/>
  <c r="A73" i="85"/>
  <c r="B72" i="85"/>
  <c r="A72" i="85"/>
  <c r="B71" i="85"/>
  <c r="A71" i="85"/>
  <c r="B70" i="85"/>
  <c r="A70" i="85"/>
  <c r="B69" i="85"/>
  <c r="A69" i="85"/>
  <c r="B68" i="85"/>
  <c r="A68" i="85"/>
  <c r="B67" i="85"/>
  <c r="A67" i="85"/>
  <c r="B66" i="85"/>
  <c r="A66" i="85"/>
  <c r="B65" i="85"/>
  <c r="A65" i="85"/>
  <c r="B64" i="85"/>
  <c r="A64" i="85"/>
  <c r="B63" i="85"/>
  <c r="A63" i="85"/>
  <c r="B62" i="85"/>
  <c r="A62" i="85"/>
  <c r="B61" i="85"/>
  <c r="A61" i="85"/>
  <c r="B60" i="85"/>
  <c r="A60" i="85"/>
  <c r="B59" i="85"/>
  <c r="A59" i="85"/>
  <c r="B58" i="85"/>
  <c r="A58" i="85"/>
  <c r="B57" i="85"/>
  <c r="A57" i="85"/>
  <c r="B56" i="85"/>
  <c r="A56" i="85"/>
  <c r="B55" i="85"/>
  <c r="A55" i="85"/>
  <c r="B54" i="85"/>
  <c r="A54" i="85"/>
  <c r="B53" i="85"/>
  <c r="A53" i="85"/>
  <c r="B52" i="85"/>
  <c r="A52" i="85"/>
  <c r="B51" i="85"/>
  <c r="A51" i="85"/>
  <c r="B50" i="85"/>
  <c r="A50" i="85"/>
  <c r="B49" i="85"/>
  <c r="A49" i="85"/>
  <c r="B48" i="85"/>
  <c r="A48" i="85"/>
  <c r="B47" i="85"/>
  <c r="A47" i="85"/>
  <c r="B46" i="85"/>
  <c r="A46" i="85"/>
  <c r="B45" i="85"/>
  <c r="A45" i="85"/>
  <c r="B44" i="85"/>
  <c r="A44" i="85"/>
  <c r="B43" i="85"/>
  <c r="A43" i="85"/>
  <c r="B42" i="85"/>
  <c r="A42" i="85"/>
  <c r="B41" i="85"/>
  <c r="A41" i="85"/>
  <c r="B40" i="85"/>
  <c r="A40" i="85"/>
  <c r="B39" i="85"/>
  <c r="A39" i="85"/>
  <c r="B38" i="85"/>
  <c r="A38" i="85"/>
  <c r="B37" i="85"/>
  <c r="A37" i="85"/>
  <c r="B36" i="85"/>
  <c r="A36" i="85"/>
  <c r="B35" i="85"/>
  <c r="A35" i="85"/>
  <c r="B34" i="85"/>
  <c r="A34" i="85"/>
  <c r="B33" i="85"/>
  <c r="A33" i="85"/>
  <c r="B32" i="85"/>
  <c r="A32" i="85"/>
  <c r="B31" i="85"/>
  <c r="A31" i="85"/>
  <c r="B30" i="85"/>
  <c r="A30" i="85"/>
  <c r="B29" i="85"/>
  <c r="A29" i="85"/>
  <c r="B28" i="85"/>
  <c r="A28" i="85"/>
  <c r="B27" i="85"/>
  <c r="A27" i="85"/>
  <c r="B26" i="85"/>
  <c r="A26" i="85"/>
  <c r="B25" i="85"/>
  <c r="A25" i="85"/>
  <c r="B24" i="85"/>
  <c r="A24" i="85"/>
  <c r="A27" i="84"/>
  <c r="B27" i="84"/>
  <c r="A28" i="84"/>
  <c r="B28" i="84"/>
  <c r="A29" i="84"/>
  <c r="B29" i="84"/>
  <c r="A30" i="84"/>
  <c r="B30" i="84"/>
  <c r="A31" i="84"/>
  <c r="B31" i="84"/>
  <c r="A32" i="84"/>
  <c r="B32" i="84"/>
  <c r="A33" i="84"/>
  <c r="B33" i="84"/>
  <c r="A34" i="84"/>
  <c r="B34" i="84"/>
  <c r="A35" i="84"/>
  <c r="B35" i="84"/>
  <c r="A36" i="84"/>
  <c r="B36" i="84"/>
  <c r="A37" i="84"/>
  <c r="B37" i="84"/>
  <c r="A38" i="84"/>
  <c r="B38" i="84"/>
  <c r="A39" i="84"/>
  <c r="B39" i="84"/>
  <c r="A40" i="84"/>
  <c r="B40" i="84"/>
  <c r="A41" i="84"/>
  <c r="B41" i="84"/>
  <c r="A42" i="84"/>
  <c r="B42" i="84"/>
  <c r="A43" i="84"/>
  <c r="B43" i="84"/>
  <c r="A44" i="84"/>
  <c r="B44" i="84"/>
  <c r="A45" i="84"/>
  <c r="B45" i="84"/>
  <c r="A46" i="84"/>
  <c r="B46" i="84"/>
  <c r="A47" i="84"/>
  <c r="B47" i="84"/>
  <c r="A48" i="84"/>
  <c r="B48" i="84"/>
  <c r="A49" i="84"/>
  <c r="B49" i="84"/>
  <c r="A50" i="84"/>
  <c r="B50" i="84"/>
  <c r="B26" i="84"/>
  <c r="A26" i="84"/>
  <c r="B25" i="84"/>
  <c r="A25" i="84"/>
  <c r="B24" i="84"/>
  <c r="A24" i="84"/>
  <c r="A130" i="83"/>
  <c r="B130" i="83"/>
  <c r="A124" i="83"/>
  <c r="B124" i="83"/>
  <c r="A125" i="83"/>
  <c r="B125" i="83"/>
  <c r="A126" i="83"/>
  <c r="B126" i="83"/>
  <c r="A127" i="83"/>
  <c r="B127" i="83"/>
  <c r="A128" i="83"/>
  <c r="B128" i="83"/>
  <c r="A129" i="83"/>
  <c r="B129" i="83"/>
  <c r="A26" i="83"/>
  <c r="B26" i="83"/>
  <c r="A27" i="83"/>
  <c r="B27" i="83"/>
  <c r="A28" i="83"/>
  <c r="B28" i="83"/>
  <c r="A29" i="83"/>
  <c r="B29" i="83"/>
  <c r="A30" i="83"/>
  <c r="B30" i="83"/>
  <c r="A31" i="83"/>
  <c r="B31" i="83"/>
  <c r="A32" i="83"/>
  <c r="B32" i="83"/>
  <c r="A33" i="83"/>
  <c r="B33" i="83"/>
  <c r="A34" i="83"/>
  <c r="B34" i="83"/>
  <c r="A35" i="83"/>
  <c r="B35" i="83"/>
  <c r="A36" i="83"/>
  <c r="B36" i="83"/>
  <c r="A37" i="83"/>
  <c r="B37" i="83"/>
  <c r="A38" i="83"/>
  <c r="B38" i="83"/>
  <c r="A39" i="83"/>
  <c r="B39" i="83"/>
  <c r="A40" i="83"/>
  <c r="B40" i="83"/>
  <c r="A41" i="83"/>
  <c r="B41" i="83"/>
  <c r="A42" i="83"/>
  <c r="B42" i="83"/>
  <c r="A43" i="83"/>
  <c r="B43" i="83"/>
  <c r="A44" i="83"/>
  <c r="B44" i="83"/>
  <c r="A45" i="83"/>
  <c r="B45" i="83"/>
  <c r="A46" i="83"/>
  <c r="B46" i="83"/>
  <c r="A47" i="83"/>
  <c r="B47" i="83"/>
  <c r="A48" i="83"/>
  <c r="B48" i="83"/>
  <c r="A49" i="83"/>
  <c r="B49" i="83"/>
  <c r="A50" i="83"/>
  <c r="B50" i="83"/>
  <c r="A51" i="83"/>
  <c r="B51" i="83"/>
  <c r="A52" i="83"/>
  <c r="B52" i="83"/>
  <c r="A53" i="83"/>
  <c r="B53" i="83"/>
  <c r="A54" i="83"/>
  <c r="B54" i="83"/>
  <c r="A55" i="83"/>
  <c r="B55" i="83"/>
  <c r="A56" i="83"/>
  <c r="B56" i="83"/>
  <c r="A57" i="83"/>
  <c r="B57" i="83"/>
  <c r="A58" i="83"/>
  <c r="B58" i="83"/>
  <c r="A59" i="83"/>
  <c r="B59" i="83"/>
  <c r="A60" i="83"/>
  <c r="B60" i="83"/>
  <c r="A61" i="83"/>
  <c r="B61" i="83"/>
  <c r="A62" i="83"/>
  <c r="B62" i="83"/>
  <c r="A63" i="83"/>
  <c r="B63" i="83"/>
  <c r="A64" i="83"/>
  <c r="B64" i="83"/>
  <c r="A65" i="83"/>
  <c r="B65" i="83"/>
  <c r="A66" i="83"/>
  <c r="B66" i="83"/>
  <c r="A67" i="83"/>
  <c r="B67" i="83"/>
  <c r="A68" i="83"/>
  <c r="B68" i="83"/>
  <c r="A69" i="83"/>
  <c r="B69" i="83"/>
  <c r="A70" i="83"/>
  <c r="B70" i="83"/>
  <c r="A71" i="83"/>
  <c r="B71" i="83"/>
  <c r="A72" i="83"/>
  <c r="B72" i="83"/>
  <c r="A73" i="83"/>
  <c r="B73" i="83"/>
  <c r="A74" i="83"/>
  <c r="B74" i="83"/>
  <c r="A75" i="83"/>
  <c r="B75" i="83"/>
  <c r="A76" i="83"/>
  <c r="B76" i="83"/>
  <c r="A77" i="83"/>
  <c r="B77" i="83"/>
  <c r="A78" i="83"/>
  <c r="B78" i="83"/>
  <c r="A79" i="83"/>
  <c r="B79" i="83"/>
  <c r="A80" i="83"/>
  <c r="B80" i="83"/>
  <c r="A81" i="83"/>
  <c r="B81" i="83"/>
  <c r="A82" i="83"/>
  <c r="B82" i="83"/>
  <c r="A83" i="83"/>
  <c r="B83" i="83"/>
  <c r="A84" i="83"/>
  <c r="B84" i="83"/>
  <c r="A85" i="83"/>
  <c r="B85" i="83"/>
  <c r="A86" i="83"/>
  <c r="B86" i="83"/>
  <c r="A87" i="83"/>
  <c r="B87" i="83"/>
  <c r="A88" i="83"/>
  <c r="B88" i="83"/>
  <c r="A89" i="83"/>
  <c r="B89" i="83"/>
  <c r="A90" i="83"/>
  <c r="B90" i="83"/>
  <c r="A91" i="83"/>
  <c r="B91" i="83"/>
  <c r="A92" i="83"/>
  <c r="B92" i="83"/>
  <c r="A93" i="83"/>
  <c r="B93" i="83"/>
  <c r="A94" i="83"/>
  <c r="B94" i="83"/>
  <c r="A95" i="83"/>
  <c r="B95" i="83"/>
  <c r="A96" i="83"/>
  <c r="B96" i="83"/>
  <c r="A97" i="83"/>
  <c r="B97" i="83"/>
  <c r="A98" i="83"/>
  <c r="B98" i="83"/>
  <c r="A99" i="83"/>
  <c r="B99" i="83"/>
  <c r="A100" i="83"/>
  <c r="B100" i="83"/>
  <c r="A101" i="83"/>
  <c r="B101" i="83"/>
  <c r="A102" i="83"/>
  <c r="B102" i="83"/>
  <c r="A103" i="83"/>
  <c r="B103" i="83"/>
  <c r="A104" i="83"/>
  <c r="B104" i="83"/>
  <c r="A105" i="83"/>
  <c r="B105" i="83"/>
  <c r="A106" i="83"/>
  <c r="B106" i="83"/>
  <c r="A107" i="83"/>
  <c r="B107" i="83"/>
  <c r="A108" i="83"/>
  <c r="B108" i="83"/>
  <c r="A109" i="83"/>
  <c r="B109" i="83"/>
  <c r="A110" i="83"/>
  <c r="B110" i="83"/>
  <c r="A111" i="83"/>
  <c r="B111" i="83"/>
  <c r="A112" i="83"/>
  <c r="B112" i="83"/>
  <c r="A113" i="83"/>
  <c r="B113" i="83"/>
  <c r="A114" i="83"/>
  <c r="B114" i="83"/>
  <c r="A115" i="83"/>
  <c r="B115" i="83"/>
  <c r="A116" i="83"/>
  <c r="B116" i="83"/>
  <c r="A117" i="83"/>
  <c r="B117" i="83"/>
  <c r="A118" i="83"/>
  <c r="B118" i="83"/>
  <c r="A119" i="83"/>
  <c r="B119" i="83"/>
  <c r="A120" i="83"/>
  <c r="B120" i="83"/>
  <c r="A121" i="83"/>
  <c r="B121" i="83"/>
  <c r="A122" i="83"/>
  <c r="B122" i="83"/>
  <c r="A123" i="83"/>
  <c r="B123" i="83"/>
  <c r="B25" i="83"/>
  <c r="A25" i="83"/>
  <c r="B24" i="83"/>
  <c r="A24" i="83"/>
  <c r="A25" i="31"/>
  <c r="B25" i="31"/>
  <c r="A26" i="31"/>
  <c r="B26" i="31"/>
  <c r="A27" i="31"/>
  <c r="B27" i="31"/>
  <c r="A28" i="31"/>
  <c r="B28" i="31"/>
  <c r="A29" i="31"/>
  <c r="B29" i="31"/>
  <c r="A30" i="31"/>
  <c r="B30" i="31"/>
  <c r="A31" i="31"/>
  <c r="B31" i="31"/>
  <c r="A32" i="31"/>
  <c r="B32" i="31"/>
  <c r="A33" i="31"/>
  <c r="B33" i="31"/>
  <c r="A34" i="31"/>
  <c r="B34" i="31"/>
  <c r="A35" i="31"/>
  <c r="B35" i="31"/>
  <c r="A36" i="31"/>
  <c r="B36" i="31"/>
  <c r="B24" i="31"/>
  <c r="A24" i="31"/>
  <c r="K14" i="3"/>
  <c r="I13" i="3"/>
  <c r="N30" i="89"/>
  <c r="G18" i="89" s="1"/>
  <c r="E15" i="89"/>
  <c r="E18" i="89" s="1"/>
  <c r="E20" i="89" l="1"/>
  <c r="G20" i="89"/>
  <c r="E21" i="89" s="1"/>
  <c r="M18" i="74"/>
  <c r="N18" i="74"/>
  <c r="O18" i="74"/>
  <c r="P18" i="74"/>
  <c r="K18" i="74"/>
  <c r="E29" i="88" l="1"/>
  <c r="G28" i="88"/>
  <c r="E28" i="88"/>
  <c r="G27" i="88"/>
  <c r="G26" i="88"/>
  <c r="E27" i="88"/>
  <c r="E26" i="88"/>
  <c r="L355" i="88"/>
  <c r="E131" i="88"/>
  <c r="L29" i="88"/>
  <c r="E23" i="88"/>
  <c r="I30" i="36"/>
  <c r="G30" i="36"/>
  <c r="D4" i="85"/>
  <c r="E4" i="85" s="1"/>
  <c r="F4" i="85" s="1"/>
  <c r="D4" i="84"/>
  <c r="E4" i="84" s="1"/>
  <c r="F4" i="84" s="1"/>
  <c r="E26" i="80"/>
  <c r="E24" i="80"/>
  <c r="N29" i="80"/>
  <c r="C18" i="83"/>
  <c r="D18" i="83"/>
  <c r="E18" i="83"/>
  <c r="F18" i="83"/>
  <c r="D3" i="83"/>
  <c r="E3" i="83"/>
  <c r="F3" i="83"/>
  <c r="G3" i="83"/>
  <c r="H3" i="83"/>
  <c r="D4" i="83"/>
  <c r="E4" i="83"/>
  <c r="F4" i="83"/>
  <c r="G4" i="83"/>
  <c r="H4" i="83"/>
  <c r="C4" i="83"/>
  <c r="C3" i="83"/>
  <c r="E33" i="21" l="1"/>
  <c r="I33" i="21"/>
  <c r="G33" i="21"/>
  <c r="R524" i="85"/>
  <c r="S524" i="85" s="1"/>
  <c r="Q524" i="85"/>
  <c r="O524" i="85"/>
  <c r="M524" i="85"/>
  <c r="K524" i="85"/>
  <c r="I524" i="85"/>
  <c r="G524" i="85"/>
  <c r="E524" i="85"/>
  <c r="C524" i="85"/>
  <c r="R523" i="85"/>
  <c r="S523" i="85" s="1"/>
  <c r="Q523" i="85"/>
  <c r="O523" i="85"/>
  <c r="M523" i="85"/>
  <c r="K523" i="85"/>
  <c r="I523" i="85"/>
  <c r="G523" i="85"/>
  <c r="E523" i="85"/>
  <c r="C523" i="85"/>
  <c r="R522" i="85"/>
  <c r="S522" i="85" s="1"/>
  <c r="Q522" i="85"/>
  <c r="O522" i="85"/>
  <c r="M522" i="85"/>
  <c r="K522" i="85"/>
  <c r="I522" i="85"/>
  <c r="G522" i="85"/>
  <c r="E522" i="85"/>
  <c r="C522" i="85"/>
  <c r="R521" i="85"/>
  <c r="S521" i="85" s="1"/>
  <c r="Q521" i="85"/>
  <c r="O521" i="85"/>
  <c r="M521" i="85"/>
  <c r="K521" i="85"/>
  <c r="I521" i="85"/>
  <c r="G521" i="85"/>
  <c r="E521" i="85"/>
  <c r="C521" i="85"/>
  <c r="R520" i="85"/>
  <c r="S520" i="85" s="1"/>
  <c r="Q520" i="85"/>
  <c r="O520" i="85"/>
  <c r="M520" i="85"/>
  <c r="K520" i="85"/>
  <c r="I520" i="85"/>
  <c r="G520" i="85"/>
  <c r="E520" i="85"/>
  <c r="C520" i="85"/>
  <c r="R519" i="85"/>
  <c r="S519" i="85" s="1"/>
  <c r="Q519" i="85"/>
  <c r="O519" i="85"/>
  <c r="M519" i="85"/>
  <c r="K519" i="85"/>
  <c r="I519" i="85"/>
  <c r="G519" i="85"/>
  <c r="E519" i="85"/>
  <c r="C519" i="85"/>
  <c r="R518" i="85"/>
  <c r="S518" i="85" s="1"/>
  <c r="Q518" i="85"/>
  <c r="O518" i="85"/>
  <c r="M518" i="85"/>
  <c r="K518" i="85"/>
  <c r="I518" i="85"/>
  <c r="G518" i="85"/>
  <c r="E518" i="85"/>
  <c r="C518" i="85"/>
  <c r="R517" i="85"/>
  <c r="S517" i="85" s="1"/>
  <c r="Q517" i="85"/>
  <c r="O517" i="85"/>
  <c r="M517" i="85"/>
  <c r="K517" i="85"/>
  <c r="I517" i="85"/>
  <c r="G517" i="85"/>
  <c r="E517" i="85"/>
  <c r="C517" i="85"/>
  <c r="R516" i="85"/>
  <c r="S516" i="85" s="1"/>
  <c r="Q516" i="85"/>
  <c r="O516" i="85"/>
  <c r="M516" i="85"/>
  <c r="K516" i="85"/>
  <c r="I516" i="85"/>
  <c r="G516" i="85"/>
  <c r="E516" i="85"/>
  <c r="C516" i="85"/>
  <c r="R515" i="85"/>
  <c r="S515" i="85" s="1"/>
  <c r="Q515" i="85"/>
  <c r="O515" i="85"/>
  <c r="M515" i="85"/>
  <c r="K515" i="85"/>
  <c r="I515" i="85"/>
  <c r="G515" i="85"/>
  <c r="E515" i="85"/>
  <c r="C515" i="85"/>
  <c r="R514" i="85"/>
  <c r="S514" i="85" s="1"/>
  <c r="Q514" i="85"/>
  <c r="O514" i="85"/>
  <c r="M514" i="85"/>
  <c r="K514" i="85"/>
  <c r="I514" i="85"/>
  <c r="G514" i="85"/>
  <c r="E514" i="85"/>
  <c r="C514" i="85"/>
  <c r="R513" i="85"/>
  <c r="S513" i="85" s="1"/>
  <c r="Q513" i="85"/>
  <c r="O513" i="85"/>
  <c r="M513" i="85"/>
  <c r="K513" i="85"/>
  <c r="I513" i="85"/>
  <c r="G513" i="85"/>
  <c r="E513" i="85"/>
  <c r="C513" i="85"/>
  <c r="R512" i="85"/>
  <c r="S512" i="85" s="1"/>
  <c r="Q512" i="85"/>
  <c r="O512" i="85"/>
  <c r="M512" i="85"/>
  <c r="K512" i="85"/>
  <c r="I512" i="85"/>
  <c r="G512" i="85"/>
  <c r="E512" i="85"/>
  <c r="C512" i="85"/>
  <c r="R511" i="85"/>
  <c r="S511" i="85" s="1"/>
  <c r="Q511" i="85"/>
  <c r="O511" i="85"/>
  <c r="M511" i="85"/>
  <c r="K511" i="85"/>
  <c r="I511" i="85"/>
  <c r="G511" i="85"/>
  <c r="E511" i="85"/>
  <c r="C511" i="85"/>
  <c r="R510" i="85"/>
  <c r="S510" i="85" s="1"/>
  <c r="Q510" i="85"/>
  <c r="O510" i="85"/>
  <c r="M510" i="85"/>
  <c r="K510" i="85"/>
  <c r="I510" i="85"/>
  <c r="G510" i="85"/>
  <c r="E510" i="85"/>
  <c r="C510" i="85"/>
  <c r="R509" i="85"/>
  <c r="S509" i="85" s="1"/>
  <c r="Q509" i="85"/>
  <c r="O509" i="85"/>
  <c r="M509" i="85"/>
  <c r="K509" i="85"/>
  <c r="I509" i="85"/>
  <c r="G509" i="85"/>
  <c r="E509" i="85"/>
  <c r="C509" i="85"/>
  <c r="R508" i="85"/>
  <c r="S508" i="85" s="1"/>
  <c r="Q508" i="85"/>
  <c r="O508" i="85"/>
  <c r="M508" i="85"/>
  <c r="K508" i="85"/>
  <c r="I508" i="85"/>
  <c r="G508" i="85"/>
  <c r="E508" i="85"/>
  <c r="C508" i="85"/>
  <c r="R507" i="85"/>
  <c r="S507" i="85" s="1"/>
  <c r="Q507" i="85"/>
  <c r="O507" i="85"/>
  <c r="M507" i="85"/>
  <c r="K507" i="85"/>
  <c r="I507" i="85"/>
  <c r="G507" i="85"/>
  <c r="E507" i="85"/>
  <c r="C507" i="85"/>
  <c r="R506" i="85"/>
  <c r="S506" i="85" s="1"/>
  <c r="Q506" i="85"/>
  <c r="O506" i="85"/>
  <c r="M506" i="85"/>
  <c r="K506" i="85"/>
  <c r="I506" i="85"/>
  <c r="G506" i="85"/>
  <c r="E506" i="85"/>
  <c r="C506" i="85"/>
  <c r="R505" i="85"/>
  <c r="S505" i="85" s="1"/>
  <c r="Q505" i="85"/>
  <c r="O505" i="85"/>
  <c r="M505" i="85"/>
  <c r="K505" i="85"/>
  <c r="I505" i="85"/>
  <c r="G505" i="85"/>
  <c r="E505" i="85"/>
  <c r="C505" i="85"/>
  <c r="R504" i="85"/>
  <c r="S504" i="85" s="1"/>
  <c r="Q504" i="85"/>
  <c r="O504" i="85"/>
  <c r="M504" i="85"/>
  <c r="K504" i="85"/>
  <c r="I504" i="85"/>
  <c r="G504" i="85"/>
  <c r="E504" i="85"/>
  <c r="C504" i="85"/>
  <c r="R503" i="85"/>
  <c r="S503" i="85" s="1"/>
  <c r="Q503" i="85"/>
  <c r="O503" i="85"/>
  <c r="M503" i="85"/>
  <c r="K503" i="85"/>
  <c r="I503" i="85"/>
  <c r="G503" i="85"/>
  <c r="E503" i="85"/>
  <c r="C503" i="85"/>
  <c r="R502" i="85"/>
  <c r="S502" i="85" s="1"/>
  <c r="Q502" i="85"/>
  <c r="O502" i="85"/>
  <c r="M502" i="85"/>
  <c r="K502" i="85"/>
  <c r="I502" i="85"/>
  <c r="G502" i="85"/>
  <c r="E502" i="85"/>
  <c r="C502" i="85"/>
  <c r="R501" i="85"/>
  <c r="S501" i="85" s="1"/>
  <c r="Q501" i="85"/>
  <c r="O501" i="85"/>
  <c r="M501" i="85"/>
  <c r="K501" i="85"/>
  <c r="I501" i="85"/>
  <c r="G501" i="85"/>
  <c r="E501" i="85"/>
  <c r="C501" i="85"/>
  <c r="R500" i="85"/>
  <c r="S500" i="85" s="1"/>
  <c r="Q500" i="85"/>
  <c r="O500" i="85"/>
  <c r="M500" i="85"/>
  <c r="K500" i="85"/>
  <c r="I500" i="85"/>
  <c r="G500" i="85"/>
  <c r="E500" i="85"/>
  <c r="C500" i="85"/>
  <c r="R499" i="85"/>
  <c r="S499" i="85" s="1"/>
  <c r="Q499" i="85"/>
  <c r="O499" i="85"/>
  <c r="M499" i="85"/>
  <c r="K499" i="85"/>
  <c r="I499" i="85"/>
  <c r="G499" i="85"/>
  <c r="E499" i="85"/>
  <c r="C499" i="85"/>
  <c r="R498" i="85"/>
  <c r="S498" i="85" s="1"/>
  <c r="Q498" i="85"/>
  <c r="O498" i="85"/>
  <c r="M498" i="85"/>
  <c r="K498" i="85"/>
  <c r="I498" i="85"/>
  <c r="G498" i="85"/>
  <c r="E498" i="85"/>
  <c r="C498" i="85"/>
  <c r="R497" i="85"/>
  <c r="S497" i="85" s="1"/>
  <c r="Q497" i="85"/>
  <c r="O497" i="85"/>
  <c r="M497" i="85"/>
  <c r="K497" i="85"/>
  <c r="I497" i="85"/>
  <c r="G497" i="85"/>
  <c r="E497" i="85"/>
  <c r="C497" i="85"/>
  <c r="R496" i="85"/>
  <c r="S496" i="85" s="1"/>
  <c r="Q496" i="85"/>
  <c r="O496" i="85"/>
  <c r="M496" i="85"/>
  <c r="K496" i="85"/>
  <c r="I496" i="85"/>
  <c r="G496" i="85"/>
  <c r="E496" i="85"/>
  <c r="C496" i="85"/>
  <c r="R495" i="85"/>
  <c r="S495" i="85" s="1"/>
  <c r="Q495" i="85"/>
  <c r="O495" i="85"/>
  <c r="M495" i="85"/>
  <c r="K495" i="85"/>
  <c r="I495" i="85"/>
  <c r="G495" i="85"/>
  <c r="E495" i="85"/>
  <c r="C495" i="85"/>
  <c r="R494" i="85"/>
  <c r="S494" i="85" s="1"/>
  <c r="Q494" i="85"/>
  <c r="O494" i="85"/>
  <c r="M494" i="85"/>
  <c r="K494" i="85"/>
  <c r="I494" i="85"/>
  <c r="G494" i="85"/>
  <c r="E494" i="85"/>
  <c r="C494" i="85"/>
  <c r="R493" i="85"/>
  <c r="S493" i="85" s="1"/>
  <c r="Q493" i="85"/>
  <c r="O493" i="85"/>
  <c r="M493" i="85"/>
  <c r="K493" i="85"/>
  <c r="I493" i="85"/>
  <c r="G493" i="85"/>
  <c r="E493" i="85"/>
  <c r="C493" i="85"/>
  <c r="R492" i="85"/>
  <c r="S492" i="85" s="1"/>
  <c r="Q492" i="85"/>
  <c r="O492" i="85"/>
  <c r="M492" i="85"/>
  <c r="K492" i="85"/>
  <c r="I492" i="85"/>
  <c r="G492" i="85"/>
  <c r="E492" i="85"/>
  <c r="C492" i="85"/>
  <c r="R491" i="85"/>
  <c r="S491" i="85" s="1"/>
  <c r="Q491" i="85"/>
  <c r="O491" i="85"/>
  <c r="M491" i="85"/>
  <c r="K491" i="85"/>
  <c r="I491" i="85"/>
  <c r="G491" i="85"/>
  <c r="E491" i="85"/>
  <c r="C491" i="85"/>
  <c r="R490" i="85"/>
  <c r="S490" i="85" s="1"/>
  <c r="Q490" i="85"/>
  <c r="O490" i="85"/>
  <c r="M490" i="85"/>
  <c r="K490" i="85"/>
  <c r="I490" i="85"/>
  <c r="G490" i="85"/>
  <c r="E490" i="85"/>
  <c r="C490" i="85"/>
  <c r="R489" i="85"/>
  <c r="S489" i="85" s="1"/>
  <c r="Q489" i="85"/>
  <c r="O489" i="85"/>
  <c r="M489" i="85"/>
  <c r="K489" i="85"/>
  <c r="I489" i="85"/>
  <c r="G489" i="85"/>
  <c r="E489" i="85"/>
  <c r="C489" i="85"/>
  <c r="R488" i="85"/>
  <c r="S488" i="85" s="1"/>
  <c r="Q488" i="85"/>
  <c r="O488" i="85"/>
  <c r="M488" i="85"/>
  <c r="K488" i="85"/>
  <c r="I488" i="85"/>
  <c r="G488" i="85"/>
  <c r="E488" i="85"/>
  <c r="C488" i="85"/>
  <c r="R487" i="85"/>
  <c r="S487" i="85" s="1"/>
  <c r="Q487" i="85"/>
  <c r="O487" i="85"/>
  <c r="M487" i="85"/>
  <c r="K487" i="85"/>
  <c r="I487" i="85"/>
  <c r="G487" i="85"/>
  <c r="E487" i="85"/>
  <c r="C487" i="85"/>
  <c r="R486" i="85"/>
  <c r="S486" i="85" s="1"/>
  <c r="Q486" i="85"/>
  <c r="O486" i="85"/>
  <c r="M486" i="85"/>
  <c r="K486" i="85"/>
  <c r="I486" i="85"/>
  <c r="G486" i="85"/>
  <c r="E486" i="85"/>
  <c r="C486" i="85"/>
  <c r="R485" i="85"/>
  <c r="S485" i="85" s="1"/>
  <c r="Q485" i="85"/>
  <c r="O485" i="85"/>
  <c r="M485" i="85"/>
  <c r="K485" i="85"/>
  <c r="I485" i="85"/>
  <c r="G485" i="85"/>
  <c r="E485" i="85"/>
  <c r="C485" i="85"/>
  <c r="R484" i="85"/>
  <c r="S484" i="85" s="1"/>
  <c r="Q484" i="85"/>
  <c r="O484" i="85"/>
  <c r="M484" i="85"/>
  <c r="K484" i="85"/>
  <c r="I484" i="85"/>
  <c r="G484" i="85"/>
  <c r="E484" i="85"/>
  <c r="C484" i="85"/>
  <c r="R483" i="85"/>
  <c r="S483" i="85" s="1"/>
  <c r="Q483" i="85"/>
  <c r="O483" i="85"/>
  <c r="M483" i="85"/>
  <c r="K483" i="85"/>
  <c r="I483" i="85"/>
  <c r="G483" i="85"/>
  <c r="E483" i="85"/>
  <c r="C483" i="85"/>
  <c r="R482" i="85"/>
  <c r="S482" i="85" s="1"/>
  <c r="Q482" i="85"/>
  <c r="O482" i="85"/>
  <c r="M482" i="85"/>
  <c r="K482" i="85"/>
  <c r="I482" i="85"/>
  <c r="G482" i="85"/>
  <c r="E482" i="85"/>
  <c r="C482" i="85"/>
  <c r="R481" i="85"/>
  <c r="S481" i="85" s="1"/>
  <c r="Q481" i="85"/>
  <c r="O481" i="85"/>
  <c r="M481" i="85"/>
  <c r="K481" i="85"/>
  <c r="I481" i="85"/>
  <c r="G481" i="85"/>
  <c r="E481" i="85"/>
  <c r="C481" i="85"/>
  <c r="R480" i="85"/>
  <c r="S480" i="85" s="1"/>
  <c r="Q480" i="85"/>
  <c r="O480" i="85"/>
  <c r="M480" i="85"/>
  <c r="K480" i="85"/>
  <c r="I480" i="85"/>
  <c r="G480" i="85"/>
  <c r="E480" i="85"/>
  <c r="C480" i="85"/>
  <c r="R479" i="85"/>
  <c r="S479" i="85" s="1"/>
  <c r="Q479" i="85"/>
  <c r="O479" i="85"/>
  <c r="M479" i="85"/>
  <c r="K479" i="85"/>
  <c r="I479" i="85"/>
  <c r="G479" i="85"/>
  <c r="E479" i="85"/>
  <c r="C479" i="85"/>
  <c r="R478" i="85"/>
  <c r="S478" i="85" s="1"/>
  <c r="Q478" i="85"/>
  <c r="O478" i="85"/>
  <c r="M478" i="85"/>
  <c r="K478" i="85"/>
  <c r="I478" i="85"/>
  <c r="G478" i="85"/>
  <c r="E478" i="85"/>
  <c r="C478" i="85"/>
  <c r="R477" i="85"/>
  <c r="S477" i="85" s="1"/>
  <c r="Q477" i="85"/>
  <c r="O477" i="85"/>
  <c r="M477" i="85"/>
  <c r="K477" i="85"/>
  <c r="I477" i="85"/>
  <c r="G477" i="85"/>
  <c r="E477" i="85"/>
  <c r="C477" i="85"/>
  <c r="R476" i="85"/>
  <c r="S476" i="85" s="1"/>
  <c r="Q476" i="85"/>
  <c r="O476" i="85"/>
  <c r="M476" i="85"/>
  <c r="K476" i="85"/>
  <c r="I476" i="85"/>
  <c r="G476" i="85"/>
  <c r="E476" i="85"/>
  <c r="C476" i="85"/>
  <c r="R475" i="85"/>
  <c r="S475" i="85" s="1"/>
  <c r="Q475" i="85"/>
  <c r="O475" i="85"/>
  <c r="M475" i="85"/>
  <c r="K475" i="85"/>
  <c r="I475" i="85"/>
  <c r="G475" i="85"/>
  <c r="E475" i="85"/>
  <c r="C475" i="85"/>
  <c r="R474" i="85"/>
  <c r="S474" i="85" s="1"/>
  <c r="Q474" i="85"/>
  <c r="O474" i="85"/>
  <c r="M474" i="85"/>
  <c r="K474" i="85"/>
  <c r="I474" i="85"/>
  <c r="G474" i="85"/>
  <c r="E474" i="85"/>
  <c r="C474" i="85"/>
  <c r="R473" i="85"/>
  <c r="S473" i="85" s="1"/>
  <c r="Q473" i="85"/>
  <c r="O473" i="85"/>
  <c r="M473" i="85"/>
  <c r="K473" i="85"/>
  <c r="I473" i="85"/>
  <c r="G473" i="85"/>
  <c r="E473" i="85"/>
  <c r="C473" i="85"/>
  <c r="R472" i="85"/>
  <c r="S472" i="85" s="1"/>
  <c r="Q472" i="85"/>
  <c r="O472" i="85"/>
  <c r="M472" i="85"/>
  <c r="K472" i="85"/>
  <c r="I472" i="85"/>
  <c r="G472" i="85"/>
  <c r="E472" i="85"/>
  <c r="C472" i="85"/>
  <c r="R471" i="85"/>
  <c r="S471" i="85" s="1"/>
  <c r="Q471" i="85"/>
  <c r="O471" i="85"/>
  <c r="M471" i="85"/>
  <c r="K471" i="85"/>
  <c r="I471" i="85"/>
  <c r="G471" i="85"/>
  <c r="E471" i="85"/>
  <c r="C471" i="85"/>
  <c r="R470" i="85"/>
  <c r="S470" i="85" s="1"/>
  <c r="Q470" i="85"/>
  <c r="O470" i="85"/>
  <c r="M470" i="85"/>
  <c r="K470" i="85"/>
  <c r="I470" i="85"/>
  <c r="G470" i="85"/>
  <c r="E470" i="85"/>
  <c r="C470" i="85"/>
  <c r="R469" i="85"/>
  <c r="S469" i="85" s="1"/>
  <c r="Q469" i="85"/>
  <c r="O469" i="85"/>
  <c r="M469" i="85"/>
  <c r="K469" i="85"/>
  <c r="I469" i="85"/>
  <c r="G469" i="85"/>
  <c r="E469" i="85"/>
  <c r="C469" i="85"/>
  <c r="R468" i="85"/>
  <c r="S468" i="85" s="1"/>
  <c r="Q468" i="85"/>
  <c r="O468" i="85"/>
  <c r="M468" i="85"/>
  <c r="K468" i="85"/>
  <c r="I468" i="85"/>
  <c r="G468" i="85"/>
  <c r="E468" i="85"/>
  <c r="C468" i="85"/>
  <c r="R467" i="85"/>
  <c r="S467" i="85" s="1"/>
  <c r="Q467" i="85"/>
  <c r="O467" i="85"/>
  <c r="M467" i="85"/>
  <c r="K467" i="85"/>
  <c r="I467" i="85"/>
  <c r="G467" i="85"/>
  <c r="E467" i="85"/>
  <c r="C467" i="85"/>
  <c r="R466" i="85"/>
  <c r="S466" i="85" s="1"/>
  <c r="Q466" i="85"/>
  <c r="O466" i="85"/>
  <c r="M466" i="85"/>
  <c r="K466" i="85"/>
  <c r="I466" i="85"/>
  <c r="G466" i="85"/>
  <c r="E466" i="85"/>
  <c r="C466" i="85"/>
  <c r="R465" i="85"/>
  <c r="S465" i="85" s="1"/>
  <c r="Q465" i="85"/>
  <c r="O465" i="85"/>
  <c r="M465" i="85"/>
  <c r="K465" i="85"/>
  <c r="I465" i="85"/>
  <c r="G465" i="85"/>
  <c r="E465" i="85"/>
  <c r="C465" i="85"/>
  <c r="R464" i="85"/>
  <c r="S464" i="85" s="1"/>
  <c r="Q464" i="85"/>
  <c r="O464" i="85"/>
  <c r="M464" i="85"/>
  <c r="K464" i="85"/>
  <c r="I464" i="85"/>
  <c r="G464" i="85"/>
  <c r="E464" i="85"/>
  <c r="C464" i="85"/>
  <c r="R463" i="85"/>
  <c r="S463" i="85" s="1"/>
  <c r="Q463" i="85"/>
  <c r="O463" i="85"/>
  <c r="M463" i="85"/>
  <c r="K463" i="85"/>
  <c r="I463" i="85"/>
  <c r="G463" i="85"/>
  <c r="E463" i="85"/>
  <c r="C463" i="85"/>
  <c r="R462" i="85"/>
  <c r="S462" i="85" s="1"/>
  <c r="Q462" i="85"/>
  <c r="O462" i="85"/>
  <c r="M462" i="85"/>
  <c r="K462" i="85"/>
  <c r="I462" i="85"/>
  <c r="G462" i="85"/>
  <c r="E462" i="85"/>
  <c r="C462" i="85"/>
  <c r="R461" i="85"/>
  <c r="S461" i="85" s="1"/>
  <c r="Q461" i="85"/>
  <c r="O461" i="85"/>
  <c r="M461" i="85"/>
  <c r="K461" i="85"/>
  <c r="I461" i="85"/>
  <c r="G461" i="85"/>
  <c r="E461" i="85"/>
  <c r="C461" i="85"/>
  <c r="R460" i="85"/>
  <c r="S460" i="85" s="1"/>
  <c r="Q460" i="85"/>
  <c r="O460" i="85"/>
  <c r="M460" i="85"/>
  <c r="K460" i="85"/>
  <c r="I460" i="85"/>
  <c r="G460" i="85"/>
  <c r="E460" i="85"/>
  <c r="C460" i="85"/>
  <c r="R459" i="85"/>
  <c r="S459" i="85" s="1"/>
  <c r="Q459" i="85"/>
  <c r="O459" i="85"/>
  <c r="M459" i="85"/>
  <c r="K459" i="85"/>
  <c r="I459" i="85"/>
  <c r="G459" i="85"/>
  <c r="E459" i="85"/>
  <c r="C459" i="85"/>
  <c r="R458" i="85"/>
  <c r="S458" i="85" s="1"/>
  <c r="Q458" i="85"/>
  <c r="O458" i="85"/>
  <c r="M458" i="85"/>
  <c r="K458" i="85"/>
  <c r="I458" i="85"/>
  <c r="G458" i="85"/>
  <c r="E458" i="85"/>
  <c r="C458" i="85"/>
  <c r="R457" i="85"/>
  <c r="S457" i="85" s="1"/>
  <c r="Q457" i="85"/>
  <c r="O457" i="85"/>
  <c r="M457" i="85"/>
  <c r="K457" i="85"/>
  <c r="I457" i="85"/>
  <c r="G457" i="85"/>
  <c r="E457" i="85"/>
  <c r="C457" i="85"/>
  <c r="R456" i="85"/>
  <c r="S456" i="85" s="1"/>
  <c r="Q456" i="85"/>
  <c r="O456" i="85"/>
  <c r="M456" i="85"/>
  <c r="K456" i="85"/>
  <c r="I456" i="85"/>
  <c r="G456" i="85"/>
  <c r="E456" i="85"/>
  <c r="C456" i="85"/>
  <c r="R455" i="85"/>
  <c r="S455" i="85" s="1"/>
  <c r="Q455" i="85"/>
  <c r="O455" i="85"/>
  <c r="M455" i="85"/>
  <c r="K455" i="85"/>
  <c r="I455" i="85"/>
  <c r="G455" i="85"/>
  <c r="E455" i="85"/>
  <c r="C455" i="85"/>
  <c r="R454" i="85"/>
  <c r="S454" i="85" s="1"/>
  <c r="Q454" i="85"/>
  <c r="O454" i="85"/>
  <c r="M454" i="85"/>
  <c r="K454" i="85"/>
  <c r="I454" i="85"/>
  <c r="G454" i="85"/>
  <c r="E454" i="85"/>
  <c r="C454" i="85"/>
  <c r="R453" i="85"/>
  <c r="S453" i="85" s="1"/>
  <c r="Q453" i="85"/>
  <c r="O453" i="85"/>
  <c r="M453" i="85"/>
  <c r="K453" i="85"/>
  <c r="I453" i="85"/>
  <c r="G453" i="85"/>
  <c r="E453" i="85"/>
  <c r="C453" i="85"/>
  <c r="R452" i="85"/>
  <c r="S452" i="85" s="1"/>
  <c r="Q452" i="85"/>
  <c r="O452" i="85"/>
  <c r="M452" i="85"/>
  <c r="K452" i="85"/>
  <c r="I452" i="85"/>
  <c r="G452" i="85"/>
  <c r="E452" i="85"/>
  <c r="C452" i="85"/>
  <c r="R451" i="85"/>
  <c r="S451" i="85" s="1"/>
  <c r="Q451" i="85"/>
  <c r="O451" i="85"/>
  <c r="M451" i="85"/>
  <c r="K451" i="85"/>
  <c r="I451" i="85"/>
  <c r="G451" i="85"/>
  <c r="E451" i="85"/>
  <c r="C451" i="85"/>
  <c r="R450" i="85"/>
  <c r="S450" i="85" s="1"/>
  <c r="Q450" i="85"/>
  <c r="O450" i="85"/>
  <c r="M450" i="85"/>
  <c r="K450" i="85"/>
  <c r="I450" i="85"/>
  <c r="G450" i="85"/>
  <c r="E450" i="85"/>
  <c r="C450" i="85"/>
  <c r="R449" i="85"/>
  <c r="S449" i="85" s="1"/>
  <c r="Q449" i="85"/>
  <c r="O449" i="85"/>
  <c r="M449" i="85"/>
  <c r="K449" i="85"/>
  <c r="I449" i="85"/>
  <c r="G449" i="85"/>
  <c r="E449" i="85"/>
  <c r="C449" i="85"/>
  <c r="R448" i="85"/>
  <c r="S448" i="85" s="1"/>
  <c r="Q448" i="85"/>
  <c r="O448" i="85"/>
  <c r="M448" i="85"/>
  <c r="K448" i="85"/>
  <c r="I448" i="85"/>
  <c r="G448" i="85"/>
  <c r="E448" i="85"/>
  <c r="C448" i="85"/>
  <c r="R447" i="85"/>
  <c r="S447" i="85" s="1"/>
  <c r="Q447" i="85"/>
  <c r="O447" i="85"/>
  <c r="M447" i="85"/>
  <c r="K447" i="85"/>
  <c r="I447" i="85"/>
  <c r="G447" i="85"/>
  <c r="E447" i="85"/>
  <c r="C447" i="85"/>
  <c r="R446" i="85"/>
  <c r="S446" i="85" s="1"/>
  <c r="Q446" i="85"/>
  <c r="O446" i="85"/>
  <c r="M446" i="85"/>
  <c r="K446" i="85"/>
  <c r="I446" i="85"/>
  <c r="G446" i="85"/>
  <c r="E446" i="85"/>
  <c r="C446" i="85"/>
  <c r="R445" i="85"/>
  <c r="S445" i="85" s="1"/>
  <c r="Q445" i="85"/>
  <c r="O445" i="85"/>
  <c r="M445" i="85"/>
  <c r="K445" i="85"/>
  <c r="I445" i="85"/>
  <c r="G445" i="85"/>
  <c r="E445" i="85"/>
  <c r="C445" i="85"/>
  <c r="R444" i="85"/>
  <c r="S444" i="85" s="1"/>
  <c r="Q444" i="85"/>
  <c r="O444" i="85"/>
  <c r="M444" i="85"/>
  <c r="K444" i="85"/>
  <c r="I444" i="85"/>
  <c r="G444" i="85"/>
  <c r="E444" i="85"/>
  <c r="C444" i="85"/>
  <c r="R443" i="85"/>
  <c r="S443" i="85" s="1"/>
  <c r="Q443" i="85"/>
  <c r="O443" i="85"/>
  <c r="M443" i="85"/>
  <c r="K443" i="85"/>
  <c r="I443" i="85"/>
  <c r="G443" i="85"/>
  <c r="E443" i="85"/>
  <c r="C443" i="85"/>
  <c r="R442" i="85"/>
  <c r="S442" i="85" s="1"/>
  <c r="Q442" i="85"/>
  <c r="O442" i="85"/>
  <c r="M442" i="85"/>
  <c r="K442" i="85"/>
  <c r="I442" i="85"/>
  <c r="G442" i="85"/>
  <c r="E442" i="85"/>
  <c r="C442" i="85"/>
  <c r="R441" i="85"/>
  <c r="S441" i="85" s="1"/>
  <c r="Q441" i="85"/>
  <c r="O441" i="85"/>
  <c r="M441" i="85"/>
  <c r="K441" i="85"/>
  <c r="I441" i="85"/>
  <c r="G441" i="85"/>
  <c r="E441" i="85"/>
  <c r="C441" i="85"/>
  <c r="Q440" i="85"/>
  <c r="O440" i="85"/>
  <c r="M440" i="85"/>
  <c r="K440" i="85"/>
  <c r="I440" i="85"/>
  <c r="G440" i="85"/>
  <c r="E440" i="85"/>
  <c r="C440" i="85"/>
  <c r="Q439" i="85"/>
  <c r="O439" i="85"/>
  <c r="M439" i="85"/>
  <c r="K439" i="85"/>
  <c r="I439" i="85"/>
  <c r="G439" i="85"/>
  <c r="E439" i="85"/>
  <c r="C439" i="85"/>
  <c r="Q438" i="85"/>
  <c r="O438" i="85"/>
  <c r="M438" i="85"/>
  <c r="K438" i="85"/>
  <c r="I438" i="85"/>
  <c r="G438" i="85"/>
  <c r="E438" i="85"/>
  <c r="C438" i="85"/>
  <c r="Q437" i="85"/>
  <c r="O437" i="85"/>
  <c r="M437" i="85"/>
  <c r="K437" i="85"/>
  <c r="I437" i="85"/>
  <c r="G437" i="85"/>
  <c r="E437" i="85"/>
  <c r="C437" i="85"/>
  <c r="Q436" i="85"/>
  <c r="O436" i="85"/>
  <c r="M436" i="85"/>
  <c r="K436" i="85"/>
  <c r="I436" i="85"/>
  <c r="G436" i="85"/>
  <c r="E436" i="85"/>
  <c r="C436" i="85"/>
  <c r="Q435" i="85"/>
  <c r="O435" i="85"/>
  <c r="M435" i="85"/>
  <c r="K435" i="85"/>
  <c r="I435" i="85"/>
  <c r="G435" i="85"/>
  <c r="E435" i="85"/>
  <c r="C435" i="85"/>
  <c r="Q434" i="85"/>
  <c r="O434" i="85"/>
  <c r="M434" i="85"/>
  <c r="K434" i="85"/>
  <c r="I434" i="85"/>
  <c r="G434" i="85"/>
  <c r="E434" i="85"/>
  <c r="C434" i="85"/>
  <c r="Q433" i="85"/>
  <c r="O433" i="85"/>
  <c r="M433" i="85"/>
  <c r="K433" i="85"/>
  <c r="I433" i="85"/>
  <c r="G433" i="85"/>
  <c r="E433" i="85"/>
  <c r="C433" i="85"/>
  <c r="Q432" i="85"/>
  <c r="O432" i="85"/>
  <c r="M432" i="85"/>
  <c r="K432" i="85"/>
  <c r="I432" i="85"/>
  <c r="G432" i="85"/>
  <c r="E432" i="85"/>
  <c r="C432" i="85"/>
  <c r="Q431" i="85"/>
  <c r="O431" i="85"/>
  <c r="M431" i="85"/>
  <c r="K431" i="85"/>
  <c r="I431" i="85"/>
  <c r="G431" i="85"/>
  <c r="E431" i="85"/>
  <c r="C431" i="85"/>
  <c r="Q430" i="85"/>
  <c r="O430" i="85"/>
  <c r="M430" i="85"/>
  <c r="K430" i="85"/>
  <c r="I430" i="85"/>
  <c r="G430" i="85"/>
  <c r="E430" i="85"/>
  <c r="C430" i="85"/>
  <c r="Q429" i="85"/>
  <c r="O429" i="85"/>
  <c r="M429" i="85"/>
  <c r="K429" i="85"/>
  <c r="I429" i="85"/>
  <c r="G429" i="85"/>
  <c r="E429" i="85"/>
  <c r="C429" i="85"/>
  <c r="Q428" i="85"/>
  <c r="O428" i="85"/>
  <c r="M428" i="85"/>
  <c r="K428" i="85"/>
  <c r="I428" i="85"/>
  <c r="G428" i="85"/>
  <c r="E428" i="85"/>
  <c r="C428" i="85"/>
  <c r="Q427" i="85"/>
  <c r="O427" i="85"/>
  <c r="M427" i="85"/>
  <c r="K427" i="85"/>
  <c r="I427" i="85"/>
  <c r="G427" i="85"/>
  <c r="E427" i="85"/>
  <c r="C427" i="85"/>
  <c r="Q426" i="85"/>
  <c r="O426" i="85"/>
  <c r="M426" i="85"/>
  <c r="K426" i="85"/>
  <c r="I426" i="85"/>
  <c r="G426" i="85"/>
  <c r="E426" i="85"/>
  <c r="C426" i="85"/>
  <c r="Q425" i="85"/>
  <c r="O425" i="85"/>
  <c r="M425" i="85"/>
  <c r="K425" i="85"/>
  <c r="I425" i="85"/>
  <c r="G425" i="85"/>
  <c r="E425" i="85"/>
  <c r="C425" i="85"/>
  <c r="Q424" i="85"/>
  <c r="O424" i="85"/>
  <c r="M424" i="85"/>
  <c r="K424" i="85"/>
  <c r="I424" i="85"/>
  <c r="G424" i="85"/>
  <c r="E424" i="85"/>
  <c r="C424" i="85"/>
  <c r="Q423" i="85"/>
  <c r="O423" i="85"/>
  <c r="M423" i="85"/>
  <c r="K423" i="85"/>
  <c r="I423" i="85"/>
  <c r="G423" i="85"/>
  <c r="E423" i="85"/>
  <c r="C423" i="85"/>
  <c r="Q422" i="85"/>
  <c r="O422" i="85"/>
  <c r="M422" i="85"/>
  <c r="K422" i="85"/>
  <c r="I422" i="85"/>
  <c r="G422" i="85"/>
  <c r="E422" i="85"/>
  <c r="C422" i="85"/>
  <c r="Q421" i="85"/>
  <c r="O421" i="85"/>
  <c r="M421" i="85"/>
  <c r="K421" i="85"/>
  <c r="I421" i="85"/>
  <c r="G421" i="85"/>
  <c r="E421" i="85"/>
  <c r="C421" i="85"/>
  <c r="Q420" i="85"/>
  <c r="O420" i="85"/>
  <c r="M420" i="85"/>
  <c r="K420" i="85"/>
  <c r="I420" i="85"/>
  <c r="G420" i="85"/>
  <c r="E420" i="85"/>
  <c r="C420" i="85"/>
  <c r="Q419" i="85"/>
  <c r="O419" i="85"/>
  <c r="M419" i="85"/>
  <c r="K419" i="85"/>
  <c r="I419" i="85"/>
  <c r="G419" i="85"/>
  <c r="E419" i="85"/>
  <c r="C419" i="85"/>
  <c r="Q418" i="85"/>
  <c r="O418" i="85"/>
  <c r="M418" i="85"/>
  <c r="K418" i="85"/>
  <c r="I418" i="85"/>
  <c r="G418" i="85"/>
  <c r="E418" i="85"/>
  <c r="C418" i="85"/>
  <c r="Q417" i="85"/>
  <c r="O417" i="85"/>
  <c r="M417" i="85"/>
  <c r="K417" i="85"/>
  <c r="I417" i="85"/>
  <c r="G417" i="85"/>
  <c r="E417" i="85"/>
  <c r="C417" i="85"/>
  <c r="Q416" i="85"/>
  <c r="O416" i="85"/>
  <c r="M416" i="85"/>
  <c r="K416" i="85"/>
  <c r="I416" i="85"/>
  <c r="G416" i="85"/>
  <c r="E416" i="85"/>
  <c r="C416" i="85"/>
  <c r="Q415" i="85"/>
  <c r="O415" i="85"/>
  <c r="M415" i="85"/>
  <c r="K415" i="85"/>
  <c r="I415" i="85"/>
  <c r="G415" i="85"/>
  <c r="E415" i="85"/>
  <c r="C415" i="85"/>
  <c r="Q414" i="85"/>
  <c r="O414" i="85"/>
  <c r="M414" i="85"/>
  <c r="K414" i="85"/>
  <c r="I414" i="85"/>
  <c r="G414" i="85"/>
  <c r="E414" i="85"/>
  <c r="C414" i="85"/>
  <c r="Q413" i="85"/>
  <c r="O413" i="85"/>
  <c r="M413" i="85"/>
  <c r="K413" i="85"/>
  <c r="I413" i="85"/>
  <c r="G413" i="85"/>
  <c r="E413" i="85"/>
  <c r="C413" i="85"/>
  <c r="Q412" i="85"/>
  <c r="O412" i="85"/>
  <c r="M412" i="85"/>
  <c r="K412" i="85"/>
  <c r="I412" i="85"/>
  <c r="G412" i="85"/>
  <c r="E412" i="85"/>
  <c r="C412" i="85"/>
  <c r="Q411" i="85"/>
  <c r="O411" i="85"/>
  <c r="M411" i="85"/>
  <c r="K411" i="85"/>
  <c r="I411" i="85"/>
  <c r="G411" i="85"/>
  <c r="E411" i="85"/>
  <c r="C411" i="85"/>
  <c r="Q410" i="85"/>
  <c r="O410" i="85"/>
  <c r="M410" i="85"/>
  <c r="K410" i="85"/>
  <c r="I410" i="85"/>
  <c r="G410" i="85"/>
  <c r="E410" i="85"/>
  <c r="C410" i="85"/>
  <c r="Q409" i="85"/>
  <c r="O409" i="85"/>
  <c r="M409" i="85"/>
  <c r="K409" i="85"/>
  <c r="I409" i="85"/>
  <c r="G409" i="85"/>
  <c r="E409" i="85"/>
  <c r="C409" i="85"/>
  <c r="Q408" i="85"/>
  <c r="O408" i="85"/>
  <c r="M408" i="85"/>
  <c r="K408" i="85"/>
  <c r="I408" i="85"/>
  <c r="G408" i="85"/>
  <c r="E408" i="85"/>
  <c r="C408" i="85"/>
  <c r="Q407" i="85"/>
  <c r="O407" i="85"/>
  <c r="M407" i="85"/>
  <c r="K407" i="85"/>
  <c r="I407" i="85"/>
  <c r="G407" i="85"/>
  <c r="E407" i="85"/>
  <c r="C407" i="85"/>
  <c r="Q406" i="85"/>
  <c r="O406" i="85"/>
  <c r="M406" i="85"/>
  <c r="K406" i="85"/>
  <c r="I406" i="85"/>
  <c r="G406" i="85"/>
  <c r="E406" i="85"/>
  <c r="C406" i="85"/>
  <c r="Q405" i="85"/>
  <c r="O405" i="85"/>
  <c r="M405" i="85"/>
  <c r="K405" i="85"/>
  <c r="I405" i="85"/>
  <c r="G405" i="85"/>
  <c r="E405" i="85"/>
  <c r="C405" i="85"/>
  <c r="Q404" i="85"/>
  <c r="O404" i="85"/>
  <c r="M404" i="85"/>
  <c r="K404" i="85"/>
  <c r="I404" i="85"/>
  <c r="G404" i="85"/>
  <c r="E404" i="85"/>
  <c r="C404" i="85"/>
  <c r="Q403" i="85"/>
  <c r="O403" i="85"/>
  <c r="M403" i="85"/>
  <c r="K403" i="85"/>
  <c r="I403" i="85"/>
  <c r="G403" i="85"/>
  <c r="E403" i="85"/>
  <c r="C403" i="85"/>
  <c r="Q402" i="85"/>
  <c r="O402" i="85"/>
  <c r="M402" i="85"/>
  <c r="K402" i="85"/>
  <c r="I402" i="85"/>
  <c r="G402" i="85"/>
  <c r="E402" i="85"/>
  <c r="C402" i="85"/>
  <c r="Q401" i="85"/>
  <c r="O401" i="85"/>
  <c r="M401" i="85"/>
  <c r="K401" i="85"/>
  <c r="I401" i="85"/>
  <c r="G401" i="85"/>
  <c r="E401" i="85"/>
  <c r="C401" i="85"/>
  <c r="Q400" i="85"/>
  <c r="O400" i="85"/>
  <c r="M400" i="85"/>
  <c r="K400" i="85"/>
  <c r="I400" i="85"/>
  <c r="G400" i="85"/>
  <c r="E400" i="85"/>
  <c r="C400" i="85"/>
  <c r="Q399" i="85"/>
  <c r="O399" i="85"/>
  <c r="M399" i="85"/>
  <c r="K399" i="85"/>
  <c r="I399" i="85"/>
  <c r="G399" i="85"/>
  <c r="E399" i="85"/>
  <c r="C399" i="85"/>
  <c r="Q398" i="85"/>
  <c r="O398" i="85"/>
  <c r="M398" i="85"/>
  <c r="K398" i="85"/>
  <c r="I398" i="85"/>
  <c r="G398" i="85"/>
  <c r="E398" i="85"/>
  <c r="C398" i="85"/>
  <c r="Q397" i="85"/>
  <c r="O397" i="85"/>
  <c r="M397" i="85"/>
  <c r="K397" i="85"/>
  <c r="I397" i="85"/>
  <c r="G397" i="85"/>
  <c r="E397" i="85"/>
  <c r="C397" i="85"/>
  <c r="Q396" i="85"/>
  <c r="O396" i="85"/>
  <c r="M396" i="85"/>
  <c r="K396" i="85"/>
  <c r="I396" i="85"/>
  <c r="G396" i="85"/>
  <c r="E396" i="85"/>
  <c r="C396" i="85"/>
  <c r="Q395" i="85"/>
  <c r="O395" i="85"/>
  <c r="M395" i="85"/>
  <c r="K395" i="85"/>
  <c r="I395" i="85"/>
  <c r="G395" i="85"/>
  <c r="E395" i="85"/>
  <c r="C395" i="85"/>
  <c r="Q394" i="85"/>
  <c r="O394" i="85"/>
  <c r="M394" i="85"/>
  <c r="K394" i="85"/>
  <c r="I394" i="85"/>
  <c r="G394" i="85"/>
  <c r="E394" i="85"/>
  <c r="C394" i="85"/>
  <c r="Q393" i="85"/>
  <c r="O393" i="85"/>
  <c r="M393" i="85"/>
  <c r="K393" i="85"/>
  <c r="I393" i="85"/>
  <c r="G393" i="85"/>
  <c r="E393" i="85"/>
  <c r="C393" i="85"/>
  <c r="Q392" i="85"/>
  <c r="O392" i="85"/>
  <c r="M392" i="85"/>
  <c r="K392" i="85"/>
  <c r="I392" i="85"/>
  <c r="G392" i="85"/>
  <c r="E392" i="85"/>
  <c r="C392" i="85"/>
  <c r="Q391" i="85"/>
  <c r="O391" i="85"/>
  <c r="M391" i="85"/>
  <c r="K391" i="85"/>
  <c r="I391" i="85"/>
  <c r="G391" i="85"/>
  <c r="E391" i="85"/>
  <c r="C391" i="85"/>
  <c r="Q390" i="85"/>
  <c r="O390" i="85"/>
  <c r="M390" i="85"/>
  <c r="K390" i="85"/>
  <c r="I390" i="85"/>
  <c r="G390" i="85"/>
  <c r="E390" i="85"/>
  <c r="C390" i="85"/>
  <c r="Q389" i="85"/>
  <c r="O389" i="85"/>
  <c r="M389" i="85"/>
  <c r="K389" i="85"/>
  <c r="I389" i="85"/>
  <c r="G389" i="85"/>
  <c r="E389" i="85"/>
  <c r="C389" i="85"/>
  <c r="Q388" i="85"/>
  <c r="O388" i="85"/>
  <c r="M388" i="85"/>
  <c r="K388" i="85"/>
  <c r="I388" i="85"/>
  <c r="G388" i="85"/>
  <c r="E388" i="85"/>
  <c r="C388" i="85"/>
  <c r="Q387" i="85"/>
  <c r="O387" i="85"/>
  <c r="M387" i="85"/>
  <c r="K387" i="85"/>
  <c r="I387" i="85"/>
  <c r="G387" i="85"/>
  <c r="E387" i="85"/>
  <c r="C387" i="85"/>
  <c r="Q386" i="85"/>
  <c r="O386" i="85"/>
  <c r="M386" i="85"/>
  <c r="K386" i="85"/>
  <c r="I386" i="85"/>
  <c r="G386" i="85"/>
  <c r="E386" i="85"/>
  <c r="C386" i="85"/>
  <c r="Q385" i="85"/>
  <c r="O385" i="85"/>
  <c r="M385" i="85"/>
  <c r="K385" i="85"/>
  <c r="I385" i="85"/>
  <c r="G385" i="85"/>
  <c r="E385" i="85"/>
  <c r="C385" i="85"/>
  <c r="Q384" i="85"/>
  <c r="O384" i="85"/>
  <c r="M384" i="85"/>
  <c r="K384" i="85"/>
  <c r="I384" i="85"/>
  <c r="G384" i="85"/>
  <c r="E384" i="85"/>
  <c r="C384" i="85"/>
  <c r="Q383" i="85"/>
  <c r="O383" i="85"/>
  <c r="M383" i="85"/>
  <c r="K383" i="85"/>
  <c r="I383" i="85"/>
  <c r="G383" i="85"/>
  <c r="E383" i="85"/>
  <c r="C383" i="85"/>
  <c r="Q382" i="85"/>
  <c r="O382" i="85"/>
  <c r="M382" i="85"/>
  <c r="K382" i="85"/>
  <c r="I382" i="85"/>
  <c r="G382" i="85"/>
  <c r="E382" i="85"/>
  <c r="C382" i="85"/>
  <c r="Q381" i="85"/>
  <c r="O381" i="85"/>
  <c r="M381" i="85"/>
  <c r="K381" i="85"/>
  <c r="I381" i="85"/>
  <c r="G381" i="85"/>
  <c r="E381" i="85"/>
  <c r="C381" i="85"/>
  <c r="Q380" i="85"/>
  <c r="O380" i="85"/>
  <c r="M380" i="85"/>
  <c r="K380" i="85"/>
  <c r="I380" i="85"/>
  <c r="G380" i="85"/>
  <c r="E380" i="85"/>
  <c r="C380" i="85"/>
  <c r="Q379" i="85"/>
  <c r="O379" i="85"/>
  <c r="M379" i="85"/>
  <c r="K379" i="85"/>
  <c r="I379" i="85"/>
  <c r="G379" i="85"/>
  <c r="E379" i="85"/>
  <c r="C379" i="85"/>
  <c r="Q378" i="85"/>
  <c r="O378" i="85"/>
  <c r="M378" i="85"/>
  <c r="K378" i="85"/>
  <c r="I378" i="85"/>
  <c r="G378" i="85"/>
  <c r="E378" i="85"/>
  <c r="C378" i="85"/>
  <c r="Q377" i="85"/>
  <c r="O377" i="85"/>
  <c r="M377" i="85"/>
  <c r="K377" i="85"/>
  <c r="I377" i="85"/>
  <c r="G377" i="85"/>
  <c r="E377" i="85"/>
  <c r="C377" i="85"/>
  <c r="Q376" i="85"/>
  <c r="O376" i="85"/>
  <c r="M376" i="85"/>
  <c r="K376" i="85"/>
  <c r="I376" i="85"/>
  <c r="G376" i="85"/>
  <c r="E376" i="85"/>
  <c r="C376" i="85"/>
  <c r="Q375" i="85"/>
  <c r="O375" i="85"/>
  <c r="M375" i="85"/>
  <c r="K375" i="85"/>
  <c r="I375" i="85"/>
  <c r="G375" i="85"/>
  <c r="E375" i="85"/>
  <c r="C375" i="85"/>
  <c r="Q374" i="85"/>
  <c r="O374" i="85"/>
  <c r="M374" i="85"/>
  <c r="K374" i="85"/>
  <c r="I374" i="85"/>
  <c r="G374" i="85"/>
  <c r="E374" i="85"/>
  <c r="C374" i="85"/>
  <c r="Q373" i="85"/>
  <c r="O373" i="85"/>
  <c r="M373" i="85"/>
  <c r="K373" i="85"/>
  <c r="I373" i="85"/>
  <c r="G373" i="85"/>
  <c r="E373" i="85"/>
  <c r="C373" i="85"/>
  <c r="Q372" i="85"/>
  <c r="O372" i="85"/>
  <c r="M372" i="85"/>
  <c r="K372" i="85"/>
  <c r="I372" i="85"/>
  <c r="G372" i="85"/>
  <c r="E372" i="85"/>
  <c r="C372" i="85"/>
  <c r="Q371" i="85"/>
  <c r="O371" i="85"/>
  <c r="M371" i="85"/>
  <c r="K371" i="85"/>
  <c r="I371" i="85"/>
  <c r="G371" i="85"/>
  <c r="E371" i="85"/>
  <c r="C371" i="85"/>
  <c r="Q370" i="85"/>
  <c r="O370" i="85"/>
  <c r="M370" i="85"/>
  <c r="K370" i="85"/>
  <c r="I370" i="85"/>
  <c r="G370" i="85"/>
  <c r="E370" i="85"/>
  <c r="C370" i="85"/>
  <c r="Q369" i="85"/>
  <c r="O369" i="85"/>
  <c r="M369" i="85"/>
  <c r="K369" i="85"/>
  <c r="I369" i="85"/>
  <c r="G369" i="85"/>
  <c r="E369" i="85"/>
  <c r="C369" i="85"/>
  <c r="Q368" i="85"/>
  <c r="O368" i="85"/>
  <c r="M368" i="85"/>
  <c r="K368" i="85"/>
  <c r="I368" i="85"/>
  <c r="G368" i="85"/>
  <c r="E368" i="85"/>
  <c r="C368" i="85"/>
  <c r="Q367" i="85"/>
  <c r="O367" i="85"/>
  <c r="M367" i="85"/>
  <c r="K367" i="85"/>
  <c r="I367" i="85"/>
  <c r="G367" i="85"/>
  <c r="E367" i="85"/>
  <c r="C367" i="85"/>
  <c r="Q366" i="85"/>
  <c r="O366" i="85"/>
  <c r="M366" i="85"/>
  <c r="K366" i="85"/>
  <c r="I366" i="85"/>
  <c r="G366" i="85"/>
  <c r="E366" i="85"/>
  <c r="C366" i="85"/>
  <c r="Q365" i="85"/>
  <c r="O365" i="85"/>
  <c r="M365" i="85"/>
  <c r="K365" i="85"/>
  <c r="I365" i="85"/>
  <c r="G365" i="85"/>
  <c r="E365" i="85"/>
  <c r="C365" i="85"/>
  <c r="Q364" i="85"/>
  <c r="O364" i="85"/>
  <c r="M364" i="85"/>
  <c r="K364" i="85"/>
  <c r="I364" i="85"/>
  <c r="G364" i="85"/>
  <c r="E364" i="85"/>
  <c r="C364" i="85"/>
  <c r="Q363" i="85"/>
  <c r="O363" i="85"/>
  <c r="M363" i="85"/>
  <c r="K363" i="85"/>
  <c r="I363" i="85"/>
  <c r="G363" i="85"/>
  <c r="E363" i="85"/>
  <c r="C363" i="85"/>
  <c r="Q362" i="85"/>
  <c r="O362" i="85"/>
  <c r="M362" i="85"/>
  <c r="K362" i="85"/>
  <c r="I362" i="85"/>
  <c r="G362" i="85"/>
  <c r="E362" i="85"/>
  <c r="C362" i="85"/>
  <c r="Q361" i="85"/>
  <c r="O361" i="85"/>
  <c r="M361" i="85"/>
  <c r="K361" i="85"/>
  <c r="I361" i="85"/>
  <c r="G361" i="85"/>
  <c r="E361" i="85"/>
  <c r="C361" i="85"/>
  <c r="Q360" i="85"/>
  <c r="O360" i="85"/>
  <c r="M360" i="85"/>
  <c r="K360" i="85"/>
  <c r="I360" i="85"/>
  <c r="G360" i="85"/>
  <c r="E360" i="85"/>
  <c r="C360" i="85"/>
  <c r="Q359" i="85"/>
  <c r="O359" i="85"/>
  <c r="M359" i="85"/>
  <c r="K359" i="85"/>
  <c r="I359" i="85"/>
  <c r="G359" i="85"/>
  <c r="E359" i="85"/>
  <c r="C359" i="85"/>
  <c r="Q358" i="85"/>
  <c r="O358" i="85"/>
  <c r="M358" i="85"/>
  <c r="K358" i="85"/>
  <c r="I358" i="85"/>
  <c r="G358" i="85"/>
  <c r="E358" i="85"/>
  <c r="C358" i="85"/>
  <c r="Q357" i="85"/>
  <c r="O357" i="85"/>
  <c r="M357" i="85"/>
  <c r="K357" i="85"/>
  <c r="I357" i="85"/>
  <c r="G357" i="85"/>
  <c r="E357" i="85"/>
  <c r="C357" i="85"/>
  <c r="Q356" i="85"/>
  <c r="O356" i="85"/>
  <c r="M356" i="85"/>
  <c r="K356" i="85"/>
  <c r="I356" i="85"/>
  <c r="G356" i="85"/>
  <c r="E356" i="85"/>
  <c r="C356" i="85"/>
  <c r="Q355" i="85"/>
  <c r="O355" i="85"/>
  <c r="M355" i="85"/>
  <c r="K355" i="85"/>
  <c r="I355" i="85"/>
  <c r="G355" i="85"/>
  <c r="E355" i="85"/>
  <c r="C355" i="85"/>
  <c r="Q354" i="85"/>
  <c r="O354" i="85"/>
  <c r="M354" i="85"/>
  <c r="K354" i="85"/>
  <c r="I354" i="85"/>
  <c r="G354" i="85"/>
  <c r="E354" i="85"/>
  <c r="C354" i="85"/>
  <c r="Q353" i="85"/>
  <c r="O353" i="85"/>
  <c r="M353" i="85"/>
  <c r="K353" i="85"/>
  <c r="I353" i="85"/>
  <c r="G353" i="85"/>
  <c r="E353" i="85"/>
  <c r="C353" i="85"/>
  <c r="Q352" i="85"/>
  <c r="O352" i="85"/>
  <c r="M352" i="85"/>
  <c r="K352" i="85"/>
  <c r="I352" i="85"/>
  <c r="G352" i="85"/>
  <c r="E352" i="85"/>
  <c r="C352" i="85"/>
  <c r="Q351" i="85"/>
  <c r="O351" i="85"/>
  <c r="M351" i="85"/>
  <c r="K351" i="85"/>
  <c r="I351" i="85"/>
  <c r="G351" i="85"/>
  <c r="E351" i="85"/>
  <c r="C351" i="85"/>
  <c r="Q350" i="85"/>
  <c r="O350" i="85"/>
  <c r="M350" i="85"/>
  <c r="K350" i="85"/>
  <c r="I350" i="85"/>
  <c r="G350" i="85"/>
  <c r="E350" i="85"/>
  <c r="C350" i="85"/>
  <c r="Q349" i="85"/>
  <c r="O349" i="85"/>
  <c r="M349" i="85"/>
  <c r="K349" i="85"/>
  <c r="I349" i="85"/>
  <c r="G349" i="85"/>
  <c r="E349" i="85"/>
  <c r="C349" i="85"/>
  <c r="Q348" i="85"/>
  <c r="O348" i="85"/>
  <c r="M348" i="85"/>
  <c r="K348" i="85"/>
  <c r="I348" i="85"/>
  <c r="G348" i="85"/>
  <c r="E348" i="85"/>
  <c r="C348" i="85"/>
  <c r="Q347" i="85"/>
  <c r="O347" i="85"/>
  <c r="M347" i="85"/>
  <c r="K347" i="85"/>
  <c r="I347" i="85"/>
  <c r="G347" i="85"/>
  <c r="E347" i="85"/>
  <c r="C347" i="85"/>
  <c r="Q346" i="85"/>
  <c r="O346" i="85"/>
  <c r="M346" i="85"/>
  <c r="K346" i="85"/>
  <c r="I346" i="85"/>
  <c r="G346" i="85"/>
  <c r="E346" i="85"/>
  <c r="C346" i="85"/>
  <c r="Q345" i="85"/>
  <c r="O345" i="85"/>
  <c r="M345" i="85"/>
  <c r="K345" i="85"/>
  <c r="I345" i="85"/>
  <c r="G345" i="85"/>
  <c r="E345" i="85"/>
  <c r="C345" i="85"/>
  <c r="Q344" i="85"/>
  <c r="O344" i="85"/>
  <c r="M344" i="85"/>
  <c r="K344" i="85"/>
  <c r="I344" i="85"/>
  <c r="G344" i="85"/>
  <c r="E344" i="85"/>
  <c r="C344" i="85"/>
  <c r="Q343" i="85"/>
  <c r="O343" i="85"/>
  <c r="M343" i="85"/>
  <c r="K343" i="85"/>
  <c r="I343" i="85"/>
  <c r="G343" i="85"/>
  <c r="E343" i="85"/>
  <c r="C343" i="85"/>
  <c r="Q342" i="85"/>
  <c r="O342" i="85"/>
  <c r="M342" i="85"/>
  <c r="K342" i="85"/>
  <c r="I342" i="85"/>
  <c r="G342" i="85"/>
  <c r="E342" i="85"/>
  <c r="C342" i="85"/>
  <c r="Q341" i="85"/>
  <c r="O341" i="85"/>
  <c r="M341" i="85"/>
  <c r="K341" i="85"/>
  <c r="I341" i="85"/>
  <c r="G341" i="85"/>
  <c r="E341" i="85"/>
  <c r="C341" i="85"/>
  <c r="Q340" i="85"/>
  <c r="O340" i="85"/>
  <c r="M340" i="85"/>
  <c r="K340" i="85"/>
  <c r="I340" i="85"/>
  <c r="G340" i="85"/>
  <c r="E340" i="85"/>
  <c r="C340" i="85"/>
  <c r="Q339" i="85"/>
  <c r="O339" i="85"/>
  <c r="M339" i="85"/>
  <c r="K339" i="85"/>
  <c r="I339" i="85"/>
  <c r="G339" i="85"/>
  <c r="E339" i="85"/>
  <c r="C339" i="85"/>
  <c r="Q338" i="85"/>
  <c r="O338" i="85"/>
  <c r="M338" i="85"/>
  <c r="K338" i="85"/>
  <c r="I338" i="85"/>
  <c r="G338" i="85"/>
  <c r="E338" i="85"/>
  <c r="C338" i="85"/>
  <c r="Q337" i="85"/>
  <c r="O337" i="85"/>
  <c r="M337" i="85"/>
  <c r="K337" i="85"/>
  <c r="I337" i="85"/>
  <c r="G337" i="85"/>
  <c r="E337" i="85"/>
  <c r="C337" i="85"/>
  <c r="Q336" i="85"/>
  <c r="O336" i="85"/>
  <c r="M336" i="85"/>
  <c r="K336" i="85"/>
  <c r="I336" i="85"/>
  <c r="G336" i="85"/>
  <c r="E336" i="85"/>
  <c r="C336" i="85"/>
  <c r="Q335" i="85"/>
  <c r="O335" i="85"/>
  <c r="M335" i="85"/>
  <c r="K335" i="85"/>
  <c r="I335" i="85"/>
  <c r="G335" i="85"/>
  <c r="E335" i="85"/>
  <c r="C335" i="85"/>
  <c r="Q334" i="85"/>
  <c r="O334" i="85"/>
  <c r="M334" i="85"/>
  <c r="K334" i="85"/>
  <c r="I334" i="85"/>
  <c r="G334" i="85"/>
  <c r="E334" i="85"/>
  <c r="C334" i="85"/>
  <c r="Q333" i="85"/>
  <c r="O333" i="85"/>
  <c r="M333" i="85"/>
  <c r="K333" i="85"/>
  <c r="I333" i="85"/>
  <c r="G333" i="85"/>
  <c r="E333" i="85"/>
  <c r="C333" i="85"/>
  <c r="Q332" i="85"/>
  <c r="O332" i="85"/>
  <c r="M332" i="85"/>
  <c r="K332" i="85"/>
  <c r="I332" i="85"/>
  <c r="G332" i="85"/>
  <c r="E332" i="85"/>
  <c r="C332" i="85"/>
  <c r="Q331" i="85"/>
  <c r="O331" i="85"/>
  <c r="M331" i="85"/>
  <c r="K331" i="85"/>
  <c r="I331" i="85"/>
  <c r="G331" i="85"/>
  <c r="E331" i="85"/>
  <c r="C331" i="85"/>
  <c r="Q330" i="85"/>
  <c r="O330" i="85"/>
  <c r="M330" i="85"/>
  <c r="K330" i="85"/>
  <c r="I330" i="85"/>
  <c r="G330" i="85"/>
  <c r="E330" i="85"/>
  <c r="C330" i="85"/>
  <c r="Q329" i="85"/>
  <c r="O329" i="85"/>
  <c r="M329" i="85"/>
  <c r="K329" i="85"/>
  <c r="I329" i="85"/>
  <c r="G329" i="85"/>
  <c r="E329" i="85"/>
  <c r="C329" i="85"/>
  <c r="Q328" i="85"/>
  <c r="O328" i="85"/>
  <c r="M328" i="85"/>
  <c r="K328" i="85"/>
  <c r="I328" i="85"/>
  <c r="G328" i="85"/>
  <c r="E328" i="85"/>
  <c r="C328" i="85"/>
  <c r="Q327" i="85"/>
  <c r="O327" i="85"/>
  <c r="M327" i="85"/>
  <c r="K327" i="85"/>
  <c r="I327" i="85"/>
  <c r="G327" i="85"/>
  <c r="E327" i="85"/>
  <c r="C327" i="85"/>
  <c r="Q326" i="85"/>
  <c r="O326" i="85"/>
  <c r="M326" i="85"/>
  <c r="K326" i="85"/>
  <c r="I326" i="85"/>
  <c r="G326" i="85"/>
  <c r="E326" i="85"/>
  <c r="C326" i="85"/>
  <c r="Q325" i="85"/>
  <c r="O325" i="85"/>
  <c r="M325" i="85"/>
  <c r="K325" i="85"/>
  <c r="I325" i="85"/>
  <c r="G325" i="85"/>
  <c r="E325" i="85"/>
  <c r="C325" i="85"/>
  <c r="Q324" i="85"/>
  <c r="O324" i="85"/>
  <c r="M324" i="85"/>
  <c r="K324" i="85"/>
  <c r="I324" i="85"/>
  <c r="G324" i="85"/>
  <c r="E324" i="85"/>
  <c r="C324" i="85"/>
  <c r="Q323" i="85"/>
  <c r="O323" i="85"/>
  <c r="M323" i="85"/>
  <c r="K323" i="85"/>
  <c r="I323" i="85"/>
  <c r="G323" i="85"/>
  <c r="E323" i="85"/>
  <c r="C323" i="85"/>
  <c r="Q322" i="85"/>
  <c r="O322" i="85"/>
  <c r="M322" i="85"/>
  <c r="K322" i="85"/>
  <c r="I322" i="85"/>
  <c r="G322" i="85"/>
  <c r="E322" i="85"/>
  <c r="C322" i="85"/>
  <c r="Q321" i="85"/>
  <c r="O321" i="85"/>
  <c r="M321" i="85"/>
  <c r="K321" i="85"/>
  <c r="I321" i="85"/>
  <c r="G321" i="85"/>
  <c r="E321" i="85"/>
  <c r="C321" i="85"/>
  <c r="Q320" i="85"/>
  <c r="O320" i="85"/>
  <c r="M320" i="85"/>
  <c r="K320" i="85"/>
  <c r="I320" i="85"/>
  <c r="G320" i="85"/>
  <c r="E320" i="85"/>
  <c r="C320" i="85"/>
  <c r="Q319" i="85"/>
  <c r="O319" i="85"/>
  <c r="M319" i="85"/>
  <c r="K319" i="85"/>
  <c r="I319" i="85"/>
  <c r="G319" i="85"/>
  <c r="E319" i="85"/>
  <c r="C319" i="85"/>
  <c r="Q318" i="85"/>
  <c r="O318" i="85"/>
  <c r="M318" i="85"/>
  <c r="K318" i="85"/>
  <c r="I318" i="85"/>
  <c r="G318" i="85"/>
  <c r="E318" i="85"/>
  <c r="C318" i="85"/>
  <c r="Q317" i="85"/>
  <c r="O317" i="85"/>
  <c r="M317" i="85"/>
  <c r="K317" i="85"/>
  <c r="I317" i="85"/>
  <c r="G317" i="85"/>
  <c r="E317" i="85"/>
  <c r="C317" i="85"/>
  <c r="Q316" i="85"/>
  <c r="O316" i="85"/>
  <c r="M316" i="85"/>
  <c r="K316" i="85"/>
  <c r="I316" i="85"/>
  <c r="G316" i="85"/>
  <c r="E316" i="85"/>
  <c r="C316" i="85"/>
  <c r="Q315" i="85"/>
  <c r="O315" i="85"/>
  <c r="M315" i="85"/>
  <c r="K315" i="85"/>
  <c r="I315" i="85"/>
  <c r="G315" i="85"/>
  <c r="E315" i="85"/>
  <c r="C315" i="85"/>
  <c r="Q314" i="85"/>
  <c r="O314" i="85"/>
  <c r="M314" i="85"/>
  <c r="K314" i="85"/>
  <c r="I314" i="85"/>
  <c r="G314" i="85"/>
  <c r="E314" i="85"/>
  <c r="C314" i="85"/>
  <c r="Q313" i="85"/>
  <c r="O313" i="85"/>
  <c r="M313" i="85"/>
  <c r="K313" i="85"/>
  <c r="I313" i="85"/>
  <c r="G313" i="85"/>
  <c r="E313" i="85"/>
  <c r="C313" i="85"/>
  <c r="Q312" i="85"/>
  <c r="O312" i="85"/>
  <c r="M312" i="85"/>
  <c r="K312" i="85"/>
  <c r="I312" i="85"/>
  <c r="G312" i="85"/>
  <c r="E312" i="85"/>
  <c r="C312" i="85"/>
  <c r="Q311" i="85"/>
  <c r="O311" i="85"/>
  <c r="M311" i="85"/>
  <c r="K311" i="85"/>
  <c r="I311" i="85"/>
  <c r="G311" i="85"/>
  <c r="E311" i="85"/>
  <c r="C311" i="85"/>
  <c r="Q310" i="85"/>
  <c r="O310" i="85"/>
  <c r="M310" i="85"/>
  <c r="K310" i="85"/>
  <c r="I310" i="85"/>
  <c r="G310" i="85"/>
  <c r="E310" i="85"/>
  <c r="C310" i="85"/>
  <c r="Q309" i="85"/>
  <c r="O309" i="85"/>
  <c r="M309" i="85"/>
  <c r="K309" i="85"/>
  <c r="I309" i="85"/>
  <c r="G309" i="85"/>
  <c r="E309" i="85"/>
  <c r="C309" i="85"/>
  <c r="Q308" i="85"/>
  <c r="O308" i="85"/>
  <c r="M308" i="85"/>
  <c r="K308" i="85"/>
  <c r="I308" i="85"/>
  <c r="G308" i="85"/>
  <c r="E308" i="85"/>
  <c r="C308" i="85"/>
  <c r="Q307" i="85"/>
  <c r="O307" i="85"/>
  <c r="M307" i="85"/>
  <c r="K307" i="85"/>
  <c r="I307" i="85"/>
  <c r="G307" i="85"/>
  <c r="E307" i="85"/>
  <c r="C307" i="85"/>
  <c r="Q306" i="85"/>
  <c r="O306" i="85"/>
  <c r="M306" i="85"/>
  <c r="K306" i="85"/>
  <c r="I306" i="85"/>
  <c r="G306" i="85"/>
  <c r="E306" i="85"/>
  <c r="C306" i="85"/>
  <c r="Q305" i="85"/>
  <c r="O305" i="85"/>
  <c r="M305" i="85"/>
  <c r="K305" i="85"/>
  <c r="I305" i="85"/>
  <c r="G305" i="85"/>
  <c r="E305" i="85"/>
  <c r="C305" i="85"/>
  <c r="Q304" i="85"/>
  <c r="O304" i="85"/>
  <c r="M304" i="85"/>
  <c r="K304" i="85"/>
  <c r="I304" i="85"/>
  <c r="G304" i="85"/>
  <c r="E304" i="85"/>
  <c r="C304" i="85"/>
  <c r="Q303" i="85"/>
  <c r="O303" i="85"/>
  <c r="M303" i="85"/>
  <c r="K303" i="85"/>
  <c r="I303" i="85"/>
  <c r="G303" i="85"/>
  <c r="E303" i="85"/>
  <c r="C303" i="85"/>
  <c r="Q302" i="85"/>
  <c r="O302" i="85"/>
  <c r="M302" i="85"/>
  <c r="K302" i="85"/>
  <c r="I302" i="85"/>
  <c r="G302" i="85"/>
  <c r="E302" i="85"/>
  <c r="C302" i="85"/>
  <c r="Q301" i="85"/>
  <c r="O301" i="85"/>
  <c r="M301" i="85"/>
  <c r="K301" i="85"/>
  <c r="I301" i="85"/>
  <c r="G301" i="85"/>
  <c r="E301" i="85"/>
  <c r="C301" i="85"/>
  <c r="Q300" i="85"/>
  <c r="O300" i="85"/>
  <c r="M300" i="85"/>
  <c r="K300" i="85"/>
  <c r="I300" i="85"/>
  <c r="G300" i="85"/>
  <c r="E300" i="85"/>
  <c r="C300" i="85"/>
  <c r="Q299" i="85"/>
  <c r="O299" i="85"/>
  <c r="M299" i="85"/>
  <c r="K299" i="85"/>
  <c r="I299" i="85"/>
  <c r="G299" i="85"/>
  <c r="E299" i="85"/>
  <c r="C299" i="85"/>
  <c r="Q298" i="85"/>
  <c r="O298" i="85"/>
  <c r="M298" i="85"/>
  <c r="K298" i="85"/>
  <c r="I298" i="85"/>
  <c r="G298" i="85"/>
  <c r="E298" i="85"/>
  <c r="C298" i="85"/>
  <c r="Q297" i="85"/>
  <c r="O297" i="85"/>
  <c r="M297" i="85"/>
  <c r="K297" i="85"/>
  <c r="I297" i="85"/>
  <c r="G297" i="85"/>
  <c r="E297" i="85"/>
  <c r="C297" i="85"/>
  <c r="Q296" i="85"/>
  <c r="O296" i="85"/>
  <c r="M296" i="85"/>
  <c r="K296" i="85"/>
  <c r="I296" i="85"/>
  <c r="G296" i="85"/>
  <c r="E296" i="85"/>
  <c r="C296" i="85"/>
  <c r="Q295" i="85"/>
  <c r="O295" i="85"/>
  <c r="M295" i="85"/>
  <c r="K295" i="85"/>
  <c r="I295" i="85"/>
  <c r="G295" i="85"/>
  <c r="E295" i="85"/>
  <c r="C295" i="85"/>
  <c r="Q294" i="85"/>
  <c r="O294" i="85"/>
  <c r="M294" i="85"/>
  <c r="K294" i="85"/>
  <c r="I294" i="85"/>
  <c r="G294" i="85"/>
  <c r="E294" i="85"/>
  <c r="C294" i="85"/>
  <c r="Q293" i="85"/>
  <c r="O293" i="85"/>
  <c r="M293" i="85"/>
  <c r="K293" i="85"/>
  <c r="I293" i="85"/>
  <c r="G293" i="85"/>
  <c r="E293" i="85"/>
  <c r="C293" i="85"/>
  <c r="Q292" i="85"/>
  <c r="O292" i="85"/>
  <c r="M292" i="85"/>
  <c r="K292" i="85"/>
  <c r="I292" i="85"/>
  <c r="G292" i="85"/>
  <c r="E292" i="85"/>
  <c r="C292" i="85"/>
  <c r="Q291" i="85"/>
  <c r="O291" i="85"/>
  <c r="M291" i="85"/>
  <c r="K291" i="85"/>
  <c r="I291" i="85"/>
  <c r="G291" i="85"/>
  <c r="E291" i="85"/>
  <c r="C291" i="85"/>
  <c r="Q290" i="85"/>
  <c r="O290" i="85"/>
  <c r="M290" i="85"/>
  <c r="K290" i="85"/>
  <c r="I290" i="85"/>
  <c r="G290" i="85"/>
  <c r="E290" i="85"/>
  <c r="C290" i="85"/>
  <c r="Q289" i="85"/>
  <c r="O289" i="85"/>
  <c r="M289" i="85"/>
  <c r="K289" i="85"/>
  <c r="I289" i="85"/>
  <c r="G289" i="85"/>
  <c r="E289" i="85"/>
  <c r="C289" i="85"/>
  <c r="Q288" i="85"/>
  <c r="O288" i="85"/>
  <c r="M288" i="85"/>
  <c r="K288" i="85"/>
  <c r="I288" i="85"/>
  <c r="G288" i="85"/>
  <c r="E288" i="85"/>
  <c r="C288" i="85"/>
  <c r="Q287" i="85"/>
  <c r="O287" i="85"/>
  <c r="M287" i="85"/>
  <c r="K287" i="85"/>
  <c r="I287" i="85"/>
  <c r="G287" i="85"/>
  <c r="E287" i="85"/>
  <c r="C287" i="85"/>
  <c r="Q286" i="85"/>
  <c r="O286" i="85"/>
  <c r="M286" i="85"/>
  <c r="K286" i="85"/>
  <c r="I286" i="85"/>
  <c r="G286" i="85"/>
  <c r="E286" i="85"/>
  <c r="C286" i="85"/>
  <c r="Q285" i="85"/>
  <c r="O285" i="85"/>
  <c r="M285" i="85"/>
  <c r="K285" i="85"/>
  <c r="I285" i="85"/>
  <c r="G285" i="85"/>
  <c r="E285" i="85"/>
  <c r="C285" i="85"/>
  <c r="Q284" i="85"/>
  <c r="O284" i="85"/>
  <c r="M284" i="85"/>
  <c r="K284" i="85"/>
  <c r="I284" i="85"/>
  <c r="G284" i="85"/>
  <c r="E284" i="85"/>
  <c r="C284" i="85"/>
  <c r="Q283" i="85"/>
  <c r="O283" i="85"/>
  <c r="M283" i="85"/>
  <c r="K283" i="85"/>
  <c r="I283" i="85"/>
  <c r="G283" i="85"/>
  <c r="E283" i="85"/>
  <c r="C283" i="85"/>
  <c r="Q282" i="85"/>
  <c r="O282" i="85"/>
  <c r="M282" i="85"/>
  <c r="K282" i="85"/>
  <c r="I282" i="85"/>
  <c r="G282" i="85"/>
  <c r="E282" i="85"/>
  <c r="C282" i="85"/>
  <c r="Q281" i="85"/>
  <c r="O281" i="85"/>
  <c r="M281" i="85"/>
  <c r="K281" i="85"/>
  <c r="I281" i="85"/>
  <c r="G281" i="85"/>
  <c r="E281" i="85"/>
  <c r="C281" i="85"/>
  <c r="Q280" i="85"/>
  <c r="O280" i="85"/>
  <c r="M280" i="85"/>
  <c r="K280" i="85"/>
  <c r="I280" i="85"/>
  <c r="G280" i="85"/>
  <c r="E280" i="85"/>
  <c r="C280" i="85"/>
  <c r="Q279" i="85"/>
  <c r="O279" i="85"/>
  <c r="M279" i="85"/>
  <c r="K279" i="85"/>
  <c r="I279" i="85"/>
  <c r="G279" i="85"/>
  <c r="E279" i="85"/>
  <c r="C279" i="85"/>
  <c r="Q278" i="85"/>
  <c r="O278" i="85"/>
  <c r="M278" i="85"/>
  <c r="K278" i="85"/>
  <c r="I278" i="85"/>
  <c r="G278" i="85"/>
  <c r="E278" i="85"/>
  <c r="C278" i="85"/>
  <c r="Q277" i="85"/>
  <c r="O277" i="85"/>
  <c r="M277" i="85"/>
  <c r="K277" i="85"/>
  <c r="I277" i="85"/>
  <c r="G277" i="85"/>
  <c r="E277" i="85"/>
  <c r="C277" i="85"/>
  <c r="Q276" i="85"/>
  <c r="O276" i="85"/>
  <c r="M276" i="85"/>
  <c r="K276" i="85"/>
  <c r="I276" i="85"/>
  <c r="G276" i="85"/>
  <c r="E276" i="85"/>
  <c r="C276" i="85"/>
  <c r="Q275" i="85"/>
  <c r="O275" i="85"/>
  <c r="M275" i="85"/>
  <c r="K275" i="85"/>
  <c r="I275" i="85"/>
  <c r="G275" i="85"/>
  <c r="E275" i="85"/>
  <c r="C275" i="85"/>
  <c r="Q274" i="85"/>
  <c r="O274" i="85"/>
  <c r="M274" i="85"/>
  <c r="K274" i="85"/>
  <c r="I274" i="85"/>
  <c r="G274" i="85"/>
  <c r="E274" i="85"/>
  <c r="C274" i="85"/>
  <c r="Q273" i="85"/>
  <c r="O273" i="85"/>
  <c r="M273" i="85"/>
  <c r="K273" i="85"/>
  <c r="I273" i="85"/>
  <c r="G273" i="85"/>
  <c r="E273" i="85"/>
  <c r="C273" i="85"/>
  <c r="Q272" i="85"/>
  <c r="O272" i="85"/>
  <c r="M272" i="85"/>
  <c r="K272" i="85"/>
  <c r="I272" i="85"/>
  <c r="G272" i="85"/>
  <c r="E272" i="85"/>
  <c r="C272" i="85"/>
  <c r="Q271" i="85"/>
  <c r="O271" i="85"/>
  <c r="M271" i="85"/>
  <c r="K271" i="85"/>
  <c r="I271" i="85"/>
  <c r="G271" i="85"/>
  <c r="E271" i="85"/>
  <c r="C271" i="85"/>
  <c r="Q270" i="85"/>
  <c r="O270" i="85"/>
  <c r="M270" i="85"/>
  <c r="K270" i="85"/>
  <c r="I270" i="85"/>
  <c r="G270" i="85"/>
  <c r="E270" i="85"/>
  <c r="C270" i="85"/>
  <c r="Q269" i="85"/>
  <c r="O269" i="85"/>
  <c r="M269" i="85"/>
  <c r="K269" i="85"/>
  <c r="I269" i="85"/>
  <c r="G269" i="85"/>
  <c r="E269" i="85"/>
  <c r="C269" i="85"/>
  <c r="Q268" i="85"/>
  <c r="O268" i="85"/>
  <c r="M268" i="85"/>
  <c r="K268" i="85"/>
  <c r="I268" i="85"/>
  <c r="G268" i="85"/>
  <c r="E268" i="85"/>
  <c r="C268" i="85"/>
  <c r="Q267" i="85"/>
  <c r="O267" i="85"/>
  <c r="M267" i="85"/>
  <c r="K267" i="85"/>
  <c r="I267" i="85"/>
  <c r="G267" i="85"/>
  <c r="E267" i="85"/>
  <c r="C267" i="85"/>
  <c r="Q266" i="85"/>
  <c r="O266" i="85"/>
  <c r="M266" i="85"/>
  <c r="K266" i="85"/>
  <c r="I266" i="85"/>
  <c r="G266" i="85"/>
  <c r="E266" i="85"/>
  <c r="C266" i="85"/>
  <c r="Q265" i="85"/>
  <c r="O265" i="85"/>
  <c r="M265" i="85"/>
  <c r="K265" i="85"/>
  <c r="I265" i="85"/>
  <c r="G265" i="85"/>
  <c r="E265" i="85"/>
  <c r="C265" i="85"/>
  <c r="Q264" i="85"/>
  <c r="O264" i="85"/>
  <c r="M264" i="85"/>
  <c r="K264" i="85"/>
  <c r="I264" i="85"/>
  <c r="G264" i="85"/>
  <c r="E264" i="85"/>
  <c r="C264" i="85"/>
  <c r="Q263" i="85"/>
  <c r="O263" i="85"/>
  <c r="M263" i="85"/>
  <c r="K263" i="85"/>
  <c r="I263" i="85"/>
  <c r="G263" i="85"/>
  <c r="E263" i="85"/>
  <c r="C263" i="85"/>
  <c r="Q262" i="85"/>
  <c r="O262" i="85"/>
  <c r="M262" i="85"/>
  <c r="K262" i="85"/>
  <c r="I262" i="85"/>
  <c r="G262" i="85"/>
  <c r="E262" i="85"/>
  <c r="C262" i="85"/>
  <c r="Q261" i="85"/>
  <c r="O261" i="85"/>
  <c r="M261" i="85"/>
  <c r="K261" i="85"/>
  <c r="I261" i="85"/>
  <c r="G261" i="85"/>
  <c r="E261" i="85"/>
  <c r="C261" i="85"/>
  <c r="Q260" i="85"/>
  <c r="O260" i="85"/>
  <c r="M260" i="85"/>
  <c r="K260" i="85"/>
  <c r="I260" i="85"/>
  <c r="G260" i="85"/>
  <c r="E260" i="85"/>
  <c r="C260" i="85"/>
  <c r="Q259" i="85"/>
  <c r="O259" i="85"/>
  <c r="M259" i="85"/>
  <c r="K259" i="85"/>
  <c r="I259" i="85"/>
  <c r="G259" i="85"/>
  <c r="E259" i="85"/>
  <c r="C259" i="85"/>
  <c r="Q258" i="85"/>
  <c r="O258" i="85"/>
  <c r="M258" i="85"/>
  <c r="K258" i="85"/>
  <c r="I258" i="85"/>
  <c r="G258" i="85"/>
  <c r="E258" i="85"/>
  <c r="C258" i="85"/>
  <c r="Q257" i="85"/>
  <c r="O257" i="85"/>
  <c r="M257" i="85"/>
  <c r="K257" i="85"/>
  <c r="I257" i="85"/>
  <c r="G257" i="85"/>
  <c r="E257" i="85"/>
  <c r="C257" i="85"/>
  <c r="Q256" i="85"/>
  <c r="O256" i="85"/>
  <c r="M256" i="85"/>
  <c r="K256" i="85"/>
  <c r="I256" i="85"/>
  <c r="G256" i="85"/>
  <c r="E256" i="85"/>
  <c r="C256" i="85"/>
  <c r="Q255" i="85"/>
  <c r="O255" i="85"/>
  <c r="M255" i="85"/>
  <c r="K255" i="85"/>
  <c r="I255" i="85"/>
  <c r="G255" i="85"/>
  <c r="E255" i="85"/>
  <c r="C255" i="85"/>
  <c r="Q254" i="85"/>
  <c r="O254" i="85"/>
  <c r="M254" i="85"/>
  <c r="K254" i="85"/>
  <c r="I254" i="85"/>
  <c r="G254" i="85"/>
  <c r="E254" i="85"/>
  <c r="C254" i="85"/>
  <c r="Q253" i="85"/>
  <c r="O253" i="85"/>
  <c r="M253" i="85"/>
  <c r="K253" i="85"/>
  <c r="I253" i="85"/>
  <c r="G253" i="85"/>
  <c r="E253" i="85"/>
  <c r="C253" i="85"/>
  <c r="Q252" i="85"/>
  <c r="O252" i="85"/>
  <c r="M252" i="85"/>
  <c r="K252" i="85"/>
  <c r="I252" i="85"/>
  <c r="G252" i="85"/>
  <c r="E252" i="85"/>
  <c r="C252" i="85"/>
  <c r="Q251" i="85"/>
  <c r="O251" i="85"/>
  <c r="M251" i="85"/>
  <c r="K251" i="85"/>
  <c r="I251" i="85"/>
  <c r="G251" i="85"/>
  <c r="E251" i="85"/>
  <c r="C251" i="85"/>
  <c r="Q250" i="85"/>
  <c r="O250" i="85"/>
  <c r="M250" i="85"/>
  <c r="K250" i="85"/>
  <c r="I250" i="85"/>
  <c r="G250" i="85"/>
  <c r="E250" i="85"/>
  <c r="C250" i="85"/>
  <c r="Q249" i="85"/>
  <c r="O249" i="85"/>
  <c r="M249" i="85"/>
  <c r="K249" i="85"/>
  <c r="I249" i="85"/>
  <c r="G249" i="85"/>
  <c r="E249" i="85"/>
  <c r="C249" i="85"/>
  <c r="Q248" i="85"/>
  <c r="O248" i="85"/>
  <c r="M248" i="85"/>
  <c r="K248" i="85"/>
  <c r="I248" i="85"/>
  <c r="G248" i="85"/>
  <c r="E248" i="85"/>
  <c r="C248" i="85"/>
  <c r="Q247" i="85"/>
  <c r="O247" i="85"/>
  <c r="M247" i="85"/>
  <c r="K247" i="85"/>
  <c r="I247" i="85"/>
  <c r="G247" i="85"/>
  <c r="E247" i="85"/>
  <c r="C247" i="85"/>
  <c r="Q246" i="85"/>
  <c r="O246" i="85"/>
  <c r="M246" i="85"/>
  <c r="K246" i="85"/>
  <c r="I246" i="85"/>
  <c r="G246" i="85"/>
  <c r="E246" i="85"/>
  <c r="C246" i="85"/>
  <c r="Q245" i="85"/>
  <c r="O245" i="85"/>
  <c r="M245" i="85"/>
  <c r="K245" i="85"/>
  <c r="I245" i="85"/>
  <c r="G245" i="85"/>
  <c r="E245" i="85"/>
  <c r="C245" i="85"/>
  <c r="Q244" i="85"/>
  <c r="O244" i="85"/>
  <c r="M244" i="85"/>
  <c r="K244" i="85"/>
  <c r="I244" i="85"/>
  <c r="G244" i="85"/>
  <c r="E244" i="85"/>
  <c r="C244" i="85"/>
  <c r="Q243" i="85"/>
  <c r="O243" i="85"/>
  <c r="M243" i="85"/>
  <c r="K243" i="85"/>
  <c r="I243" i="85"/>
  <c r="G243" i="85"/>
  <c r="E243" i="85"/>
  <c r="C243" i="85"/>
  <c r="Q242" i="85"/>
  <c r="O242" i="85"/>
  <c r="M242" i="85"/>
  <c r="K242" i="85"/>
  <c r="I242" i="85"/>
  <c r="G242" i="85"/>
  <c r="E242" i="85"/>
  <c r="C242" i="85"/>
  <c r="Q241" i="85"/>
  <c r="O241" i="85"/>
  <c r="M241" i="85"/>
  <c r="K241" i="85"/>
  <c r="I241" i="85"/>
  <c r="G241" i="85"/>
  <c r="E241" i="85"/>
  <c r="C241" i="85"/>
  <c r="Q240" i="85"/>
  <c r="O240" i="85"/>
  <c r="M240" i="85"/>
  <c r="K240" i="85"/>
  <c r="I240" i="85"/>
  <c r="G240" i="85"/>
  <c r="E240" i="85"/>
  <c r="C240" i="85"/>
  <c r="Q239" i="85"/>
  <c r="O239" i="85"/>
  <c r="M239" i="85"/>
  <c r="K239" i="85"/>
  <c r="I239" i="85"/>
  <c r="G239" i="85"/>
  <c r="E239" i="85"/>
  <c r="C239" i="85"/>
  <c r="Q238" i="85"/>
  <c r="O238" i="85"/>
  <c r="M238" i="85"/>
  <c r="K238" i="85"/>
  <c r="I238" i="85"/>
  <c r="G238" i="85"/>
  <c r="E238" i="85"/>
  <c r="C238" i="85"/>
  <c r="Q237" i="85"/>
  <c r="O237" i="85"/>
  <c r="M237" i="85"/>
  <c r="K237" i="85"/>
  <c r="I237" i="85"/>
  <c r="G237" i="85"/>
  <c r="E237" i="85"/>
  <c r="C237" i="85"/>
  <c r="Q236" i="85"/>
  <c r="O236" i="85"/>
  <c r="M236" i="85"/>
  <c r="K236" i="85"/>
  <c r="I236" i="85"/>
  <c r="G236" i="85"/>
  <c r="E236" i="85"/>
  <c r="C236" i="85"/>
  <c r="Q235" i="85"/>
  <c r="O235" i="85"/>
  <c r="M235" i="85"/>
  <c r="K235" i="85"/>
  <c r="I235" i="85"/>
  <c r="G235" i="85"/>
  <c r="E235" i="85"/>
  <c r="C235" i="85"/>
  <c r="Q234" i="85"/>
  <c r="O234" i="85"/>
  <c r="M234" i="85"/>
  <c r="K234" i="85"/>
  <c r="I234" i="85"/>
  <c r="G234" i="85"/>
  <c r="E234" i="85"/>
  <c r="C234" i="85"/>
  <c r="Q233" i="85"/>
  <c r="O233" i="85"/>
  <c r="M233" i="85"/>
  <c r="K233" i="85"/>
  <c r="I233" i="85"/>
  <c r="G233" i="85"/>
  <c r="E233" i="85"/>
  <c r="C233" i="85"/>
  <c r="Q232" i="85"/>
  <c r="O232" i="85"/>
  <c r="M232" i="85"/>
  <c r="K232" i="85"/>
  <c r="I232" i="85"/>
  <c r="G232" i="85"/>
  <c r="E232" i="85"/>
  <c r="C232" i="85"/>
  <c r="Q231" i="85"/>
  <c r="O231" i="85"/>
  <c r="M231" i="85"/>
  <c r="K231" i="85"/>
  <c r="I231" i="85"/>
  <c r="G231" i="85"/>
  <c r="E231" i="85"/>
  <c r="C231" i="85"/>
  <c r="Q230" i="85"/>
  <c r="O230" i="85"/>
  <c r="M230" i="85"/>
  <c r="K230" i="85"/>
  <c r="I230" i="85"/>
  <c r="G230" i="85"/>
  <c r="E230" i="85"/>
  <c r="C230" i="85"/>
  <c r="Q229" i="85"/>
  <c r="O229" i="85"/>
  <c r="M229" i="85"/>
  <c r="K229" i="85"/>
  <c r="I229" i="85"/>
  <c r="G229" i="85"/>
  <c r="E229" i="85"/>
  <c r="C229" i="85"/>
  <c r="Q228" i="85"/>
  <c r="O228" i="85"/>
  <c r="M228" i="85"/>
  <c r="K228" i="85"/>
  <c r="I228" i="85"/>
  <c r="G228" i="85"/>
  <c r="E228" i="85"/>
  <c r="C228" i="85"/>
  <c r="Q227" i="85"/>
  <c r="O227" i="85"/>
  <c r="M227" i="85"/>
  <c r="K227" i="85"/>
  <c r="I227" i="85"/>
  <c r="G227" i="85"/>
  <c r="E227" i="85"/>
  <c r="C227" i="85"/>
  <c r="Q226" i="85"/>
  <c r="O226" i="85"/>
  <c r="M226" i="85"/>
  <c r="K226" i="85"/>
  <c r="I226" i="85"/>
  <c r="G226" i="85"/>
  <c r="E226" i="85"/>
  <c r="C226" i="85"/>
  <c r="Q225" i="85"/>
  <c r="O225" i="85"/>
  <c r="M225" i="85"/>
  <c r="K225" i="85"/>
  <c r="I225" i="85"/>
  <c r="G225" i="85"/>
  <c r="E225" i="85"/>
  <c r="C225" i="85"/>
  <c r="Q224" i="85"/>
  <c r="O224" i="85"/>
  <c r="M224" i="85"/>
  <c r="K224" i="85"/>
  <c r="I224" i="85"/>
  <c r="G224" i="85"/>
  <c r="E224" i="85"/>
  <c r="C224" i="85"/>
  <c r="Q223" i="85"/>
  <c r="O223" i="85"/>
  <c r="M223" i="85"/>
  <c r="K223" i="85"/>
  <c r="I223" i="85"/>
  <c r="G223" i="85"/>
  <c r="E223" i="85"/>
  <c r="C223" i="85"/>
  <c r="Q222" i="85"/>
  <c r="O222" i="85"/>
  <c r="M222" i="85"/>
  <c r="K222" i="85"/>
  <c r="I222" i="85"/>
  <c r="G222" i="85"/>
  <c r="E222" i="85"/>
  <c r="C222" i="85"/>
  <c r="Q221" i="85"/>
  <c r="O221" i="85"/>
  <c r="M221" i="85"/>
  <c r="K221" i="85"/>
  <c r="I221" i="85"/>
  <c r="G221" i="85"/>
  <c r="E221" i="85"/>
  <c r="C221" i="85"/>
  <c r="Q220" i="85"/>
  <c r="O220" i="85"/>
  <c r="M220" i="85"/>
  <c r="K220" i="85"/>
  <c r="I220" i="85"/>
  <c r="G220" i="85"/>
  <c r="E220" i="85"/>
  <c r="C220" i="85"/>
  <c r="Q219" i="85"/>
  <c r="O219" i="85"/>
  <c r="M219" i="85"/>
  <c r="K219" i="85"/>
  <c r="I219" i="85"/>
  <c r="G219" i="85"/>
  <c r="E219" i="85"/>
  <c r="C219" i="85"/>
  <c r="Q218" i="85"/>
  <c r="O218" i="85"/>
  <c r="M218" i="85"/>
  <c r="K218" i="85"/>
  <c r="I218" i="85"/>
  <c r="G218" i="85"/>
  <c r="E218" i="85"/>
  <c r="C218" i="85"/>
  <c r="Q217" i="85"/>
  <c r="O217" i="85"/>
  <c r="M217" i="85"/>
  <c r="K217" i="85"/>
  <c r="I217" i="85"/>
  <c r="G217" i="85"/>
  <c r="E217" i="85"/>
  <c r="C217" i="85"/>
  <c r="Q216" i="85"/>
  <c r="O216" i="85"/>
  <c r="M216" i="85"/>
  <c r="K216" i="85"/>
  <c r="I216" i="85"/>
  <c r="G216" i="85"/>
  <c r="E216" i="85"/>
  <c r="C216" i="85"/>
  <c r="Q215" i="85"/>
  <c r="O215" i="85"/>
  <c r="M215" i="85"/>
  <c r="K215" i="85"/>
  <c r="I215" i="85"/>
  <c r="G215" i="85"/>
  <c r="E215" i="85"/>
  <c r="C215" i="85"/>
  <c r="Q214" i="85"/>
  <c r="O214" i="85"/>
  <c r="M214" i="85"/>
  <c r="K214" i="85"/>
  <c r="I214" i="85"/>
  <c r="G214" i="85"/>
  <c r="E214" i="85"/>
  <c r="C214" i="85"/>
  <c r="Q213" i="85"/>
  <c r="O213" i="85"/>
  <c r="M213" i="85"/>
  <c r="K213" i="85"/>
  <c r="I213" i="85"/>
  <c r="G213" i="85"/>
  <c r="E213" i="85"/>
  <c r="C213" i="85"/>
  <c r="Q212" i="85"/>
  <c r="O212" i="85"/>
  <c r="M212" i="85"/>
  <c r="K212" i="85"/>
  <c r="I212" i="85"/>
  <c r="G212" i="85"/>
  <c r="E212" i="85"/>
  <c r="C212" i="85"/>
  <c r="Q211" i="85"/>
  <c r="O211" i="85"/>
  <c r="M211" i="85"/>
  <c r="K211" i="85"/>
  <c r="I211" i="85"/>
  <c r="G211" i="85"/>
  <c r="E211" i="85"/>
  <c r="C211" i="85"/>
  <c r="Q210" i="85"/>
  <c r="O210" i="85"/>
  <c r="M210" i="85"/>
  <c r="K210" i="85"/>
  <c r="I210" i="85"/>
  <c r="G210" i="85"/>
  <c r="E210" i="85"/>
  <c r="C210" i="85"/>
  <c r="Q209" i="85"/>
  <c r="O209" i="85"/>
  <c r="M209" i="85"/>
  <c r="K209" i="85"/>
  <c r="I209" i="85"/>
  <c r="G209" i="85"/>
  <c r="E209" i="85"/>
  <c r="C209" i="85"/>
  <c r="Q208" i="85"/>
  <c r="O208" i="85"/>
  <c r="M208" i="85"/>
  <c r="K208" i="85"/>
  <c r="I208" i="85"/>
  <c r="G208" i="85"/>
  <c r="E208" i="85"/>
  <c r="C208" i="85"/>
  <c r="Q207" i="85"/>
  <c r="O207" i="85"/>
  <c r="M207" i="85"/>
  <c r="K207" i="85"/>
  <c r="I207" i="85"/>
  <c r="G207" i="85"/>
  <c r="E207" i="85"/>
  <c r="C207" i="85"/>
  <c r="Q206" i="85"/>
  <c r="O206" i="85"/>
  <c r="M206" i="85"/>
  <c r="K206" i="85"/>
  <c r="I206" i="85"/>
  <c r="G206" i="85"/>
  <c r="E206" i="85"/>
  <c r="C206" i="85"/>
  <c r="Q205" i="85"/>
  <c r="O205" i="85"/>
  <c r="M205" i="85"/>
  <c r="K205" i="85"/>
  <c r="I205" i="85"/>
  <c r="G205" i="85"/>
  <c r="E205" i="85"/>
  <c r="C205" i="85"/>
  <c r="Q204" i="85"/>
  <c r="O204" i="85"/>
  <c r="M204" i="85"/>
  <c r="K204" i="85"/>
  <c r="I204" i="85"/>
  <c r="G204" i="85"/>
  <c r="E204" i="85"/>
  <c r="C204" i="85"/>
  <c r="Q203" i="85"/>
  <c r="O203" i="85"/>
  <c r="M203" i="85"/>
  <c r="K203" i="85"/>
  <c r="I203" i="85"/>
  <c r="G203" i="85"/>
  <c r="E203" i="85"/>
  <c r="C203" i="85"/>
  <c r="Q202" i="85"/>
  <c r="O202" i="85"/>
  <c r="M202" i="85"/>
  <c r="K202" i="85"/>
  <c r="I202" i="85"/>
  <c r="G202" i="85"/>
  <c r="E202" i="85"/>
  <c r="C202" i="85"/>
  <c r="Q201" i="85"/>
  <c r="O201" i="85"/>
  <c r="M201" i="85"/>
  <c r="K201" i="85"/>
  <c r="I201" i="85"/>
  <c r="G201" i="85"/>
  <c r="E201" i="85"/>
  <c r="C201" i="85"/>
  <c r="Q200" i="85"/>
  <c r="O200" i="85"/>
  <c r="M200" i="85"/>
  <c r="K200" i="85"/>
  <c r="I200" i="85"/>
  <c r="G200" i="85"/>
  <c r="E200" i="85"/>
  <c r="C200" i="85"/>
  <c r="Q199" i="85"/>
  <c r="O199" i="85"/>
  <c r="M199" i="85"/>
  <c r="K199" i="85"/>
  <c r="I199" i="85"/>
  <c r="G199" i="85"/>
  <c r="E199" i="85"/>
  <c r="C199" i="85"/>
  <c r="Q198" i="85"/>
  <c r="O198" i="85"/>
  <c r="M198" i="85"/>
  <c r="K198" i="85"/>
  <c r="I198" i="85"/>
  <c r="G198" i="85"/>
  <c r="E198" i="85"/>
  <c r="C198" i="85"/>
  <c r="Q197" i="85"/>
  <c r="O197" i="85"/>
  <c r="M197" i="85"/>
  <c r="K197" i="85"/>
  <c r="I197" i="85"/>
  <c r="G197" i="85"/>
  <c r="E197" i="85"/>
  <c r="C197" i="85"/>
  <c r="Q196" i="85"/>
  <c r="O196" i="85"/>
  <c r="M196" i="85"/>
  <c r="K196" i="85"/>
  <c r="I196" i="85"/>
  <c r="G196" i="85"/>
  <c r="E196" i="85"/>
  <c r="C196" i="85"/>
  <c r="Q195" i="85"/>
  <c r="O195" i="85"/>
  <c r="M195" i="85"/>
  <c r="K195" i="85"/>
  <c r="I195" i="85"/>
  <c r="G195" i="85"/>
  <c r="E195" i="85"/>
  <c r="C195" i="85"/>
  <c r="Q194" i="85"/>
  <c r="O194" i="85"/>
  <c r="M194" i="85"/>
  <c r="K194" i="85"/>
  <c r="I194" i="85"/>
  <c r="G194" i="85"/>
  <c r="E194" i="85"/>
  <c r="C194" i="85"/>
  <c r="Q193" i="85"/>
  <c r="O193" i="85"/>
  <c r="M193" i="85"/>
  <c r="K193" i="85"/>
  <c r="I193" i="85"/>
  <c r="G193" i="85"/>
  <c r="E193" i="85"/>
  <c r="C193" i="85"/>
  <c r="Q192" i="85"/>
  <c r="O192" i="85"/>
  <c r="M192" i="85"/>
  <c r="K192" i="85"/>
  <c r="I192" i="85"/>
  <c r="G192" i="85"/>
  <c r="E192" i="85"/>
  <c r="C192" i="85"/>
  <c r="Q191" i="85"/>
  <c r="O191" i="85"/>
  <c r="M191" i="85"/>
  <c r="K191" i="85"/>
  <c r="I191" i="85"/>
  <c r="G191" i="85"/>
  <c r="E191" i="85"/>
  <c r="C191" i="85"/>
  <c r="Q190" i="85"/>
  <c r="O190" i="85"/>
  <c r="M190" i="85"/>
  <c r="K190" i="85"/>
  <c r="I190" i="85"/>
  <c r="G190" i="85"/>
  <c r="E190" i="85"/>
  <c r="C190" i="85"/>
  <c r="Q189" i="85"/>
  <c r="O189" i="85"/>
  <c r="M189" i="85"/>
  <c r="K189" i="85"/>
  <c r="I189" i="85"/>
  <c r="G189" i="85"/>
  <c r="E189" i="85"/>
  <c r="C189" i="85"/>
  <c r="Q188" i="85"/>
  <c r="O188" i="85"/>
  <c r="M188" i="85"/>
  <c r="K188" i="85"/>
  <c r="I188" i="85"/>
  <c r="G188" i="85"/>
  <c r="E188" i="85"/>
  <c r="C188" i="85"/>
  <c r="Q187" i="85"/>
  <c r="O187" i="85"/>
  <c r="M187" i="85"/>
  <c r="K187" i="85"/>
  <c r="I187" i="85"/>
  <c r="G187" i="85"/>
  <c r="E187" i="85"/>
  <c r="C187" i="85"/>
  <c r="Q186" i="85"/>
  <c r="O186" i="85"/>
  <c r="M186" i="85"/>
  <c r="K186" i="85"/>
  <c r="I186" i="85"/>
  <c r="G186" i="85"/>
  <c r="E186" i="85"/>
  <c r="C186" i="85"/>
  <c r="Q185" i="85"/>
  <c r="O185" i="85"/>
  <c r="M185" i="85"/>
  <c r="K185" i="85"/>
  <c r="I185" i="85"/>
  <c r="G185" i="85"/>
  <c r="E185" i="85"/>
  <c r="C185" i="85"/>
  <c r="Q184" i="85"/>
  <c r="O184" i="85"/>
  <c r="M184" i="85"/>
  <c r="K184" i="85"/>
  <c r="I184" i="85"/>
  <c r="G184" i="85"/>
  <c r="E184" i="85"/>
  <c r="C184" i="85"/>
  <c r="Q183" i="85"/>
  <c r="O183" i="85"/>
  <c r="M183" i="85"/>
  <c r="K183" i="85"/>
  <c r="I183" i="85"/>
  <c r="G183" i="85"/>
  <c r="E183" i="85"/>
  <c r="C183" i="85"/>
  <c r="Q182" i="85"/>
  <c r="O182" i="85"/>
  <c r="M182" i="85"/>
  <c r="K182" i="85"/>
  <c r="I182" i="85"/>
  <c r="G182" i="85"/>
  <c r="E182" i="85"/>
  <c r="C182" i="85"/>
  <c r="Q181" i="85"/>
  <c r="O181" i="85"/>
  <c r="M181" i="85"/>
  <c r="K181" i="85"/>
  <c r="I181" i="85"/>
  <c r="G181" i="85"/>
  <c r="E181" i="85"/>
  <c r="C181" i="85"/>
  <c r="Q180" i="85"/>
  <c r="O180" i="85"/>
  <c r="M180" i="85"/>
  <c r="K180" i="85"/>
  <c r="I180" i="85"/>
  <c r="G180" i="85"/>
  <c r="E180" i="85"/>
  <c r="C180" i="85"/>
  <c r="Q179" i="85"/>
  <c r="O179" i="85"/>
  <c r="M179" i="85"/>
  <c r="K179" i="85"/>
  <c r="I179" i="85"/>
  <c r="G179" i="85"/>
  <c r="E179" i="85"/>
  <c r="C179" i="85"/>
  <c r="Q178" i="85"/>
  <c r="O178" i="85"/>
  <c r="M178" i="85"/>
  <c r="K178" i="85"/>
  <c r="I178" i="85"/>
  <c r="G178" i="85"/>
  <c r="E178" i="85"/>
  <c r="C178" i="85"/>
  <c r="Q177" i="85"/>
  <c r="O177" i="85"/>
  <c r="M177" i="85"/>
  <c r="K177" i="85"/>
  <c r="I177" i="85"/>
  <c r="G177" i="85"/>
  <c r="E177" i="85"/>
  <c r="C177" i="85"/>
  <c r="Q176" i="85"/>
  <c r="O176" i="85"/>
  <c r="M176" i="85"/>
  <c r="K176" i="85"/>
  <c r="I176" i="85"/>
  <c r="G176" i="85"/>
  <c r="E176" i="85"/>
  <c r="C176" i="85"/>
  <c r="Q175" i="85"/>
  <c r="O175" i="85"/>
  <c r="M175" i="85"/>
  <c r="K175" i="85"/>
  <c r="I175" i="85"/>
  <c r="G175" i="85"/>
  <c r="E175" i="85"/>
  <c r="C175" i="85"/>
  <c r="Q174" i="85"/>
  <c r="O174" i="85"/>
  <c r="M174" i="85"/>
  <c r="K174" i="85"/>
  <c r="I174" i="85"/>
  <c r="G174" i="85"/>
  <c r="E174" i="85"/>
  <c r="C174" i="85"/>
  <c r="Q173" i="85"/>
  <c r="O173" i="85"/>
  <c r="M173" i="85"/>
  <c r="K173" i="85"/>
  <c r="I173" i="85"/>
  <c r="G173" i="85"/>
  <c r="E173" i="85"/>
  <c r="C173" i="85"/>
  <c r="Q172" i="85"/>
  <c r="O172" i="85"/>
  <c r="M172" i="85"/>
  <c r="K172" i="85"/>
  <c r="I172" i="85"/>
  <c r="G172" i="85"/>
  <c r="E172" i="85"/>
  <c r="C172" i="85"/>
  <c r="Q171" i="85"/>
  <c r="O171" i="85"/>
  <c r="M171" i="85"/>
  <c r="K171" i="85"/>
  <c r="I171" i="85"/>
  <c r="G171" i="85"/>
  <c r="E171" i="85"/>
  <c r="C171" i="85"/>
  <c r="Q170" i="85"/>
  <c r="O170" i="85"/>
  <c r="M170" i="85"/>
  <c r="K170" i="85"/>
  <c r="I170" i="85"/>
  <c r="G170" i="85"/>
  <c r="E170" i="85"/>
  <c r="C170" i="85"/>
  <c r="Q169" i="85"/>
  <c r="O169" i="85"/>
  <c r="M169" i="85"/>
  <c r="K169" i="85"/>
  <c r="I169" i="85"/>
  <c r="G169" i="85"/>
  <c r="E169" i="85"/>
  <c r="C169" i="85"/>
  <c r="Q168" i="85"/>
  <c r="O168" i="85"/>
  <c r="M168" i="85"/>
  <c r="K168" i="85"/>
  <c r="I168" i="85"/>
  <c r="G168" i="85"/>
  <c r="E168" i="85"/>
  <c r="C168" i="85"/>
  <c r="Q167" i="85"/>
  <c r="O167" i="85"/>
  <c r="M167" i="85"/>
  <c r="K167" i="85"/>
  <c r="I167" i="85"/>
  <c r="G167" i="85"/>
  <c r="E167" i="85"/>
  <c r="C167" i="85"/>
  <c r="Q166" i="85"/>
  <c r="O166" i="85"/>
  <c r="M166" i="85"/>
  <c r="K166" i="85"/>
  <c r="I166" i="85"/>
  <c r="G166" i="85"/>
  <c r="E166" i="85"/>
  <c r="C166" i="85"/>
  <c r="Q165" i="85"/>
  <c r="O165" i="85"/>
  <c r="M165" i="85"/>
  <c r="K165" i="85"/>
  <c r="I165" i="85"/>
  <c r="G165" i="85"/>
  <c r="E165" i="85"/>
  <c r="C165" i="85"/>
  <c r="Q164" i="85"/>
  <c r="O164" i="85"/>
  <c r="M164" i="85"/>
  <c r="K164" i="85"/>
  <c r="I164" i="85"/>
  <c r="G164" i="85"/>
  <c r="E164" i="85"/>
  <c r="C164" i="85"/>
  <c r="Q163" i="85"/>
  <c r="O163" i="85"/>
  <c r="M163" i="85"/>
  <c r="K163" i="85"/>
  <c r="I163" i="85"/>
  <c r="G163" i="85"/>
  <c r="E163" i="85"/>
  <c r="C163" i="85"/>
  <c r="Q162" i="85"/>
  <c r="O162" i="85"/>
  <c r="M162" i="85"/>
  <c r="K162" i="85"/>
  <c r="I162" i="85"/>
  <c r="G162" i="85"/>
  <c r="E162" i="85"/>
  <c r="C162" i="85"/>
  <c r="Q161" i="85"/>
  <c r="O161" i="85"/>
  <c r="M161" i="85"/>
  <c r="K161" i="85"/>
  <c r="I161" i="85"/>
  <c r="G161" i="85"/>
  <c r="E161" i="85"/>
  <c r="C161" i="85"/>
  <c r="Q160" i="85"/>
  <c r="O160" i="85"/>
  <c r="M160" i="85"/>
  <c r="K160" i="85"/>
  <c r="I160" i="85"/>
  <c r="G160" i="85"/>
  <c r="E160" i="85"/>
  <c r="C160" i="85"/>
  <c r="Q159" i="85"/>
  <c r="O159" i="85"/>
  <c r="M159" i="85"/>
  <c r="K159" i="85"/>
  <c r="I159" i="85"/>
  <c r="G159" i="85"/>
  <c r="E159" i="85"/>
  <c r="C159" i="85"/>
  <c r="Q158" i="85"/>
  <c r="O158" i="85"/>
  <c r="M158" i="85"/>
  <c r="K158" i="85"/>
  <c r="I158" i="85"/>
  <c r="G158" i="85"/>
  <c r="E158" i="85"/>
  <c r="C158" i="85"/>
  <c r="Q157" i="85"/>
  <c r="O157" i="85"/>
  <c r="M157" i="85"/>
  <c r="K157" i="85"/>
  <c r="I157" i="85"/>
  <c r="G157" i="85"/>
  <c r="E157" i="85"/>
  <c r="C157" i="85"/>
  <c r="Q156" i="85"/>
  <c r="O156" i="85"/>
  <c r="M156" i="85"/>
  <c r="K156" i="85"/>
  <c r="I156" i="85"/>
  <c r="G156" i="85"/>
  <c r="E156" i="85"/>
  <c r="C156" i="85"/>
  <c r="Q155" i="85"/>
  <c r="O155" i="85"/>
  <c r="M155" i="85"/>
  <c r="K155" i="85"/>
  <c r="I155" i="85"/>
  <c r="G155" i="85"/>
  <c r="E155" i="85"/>
  <c r="C155" i="85"/>
  <c r="Q154" i="85"/>
  <c r="O154" i="85"/>
  <c r="M154" i="85"/>
  <c r="K154" i="85"/>
  <c r="I154" i="85"/>
  <c r="G154" i="85"/>
  <c r="E154" i="85"/>
  <c r="C154" i="85"/>
  <c r="Q153" i="85"/>
  <c r="O153" i="85"/>
  <c r="M153" i="85"/>
  <c r="K153" i="85"/>
  <c r="I153" i="85"/>
  <c r="G153" i="85"/>
  <c r="E153" i="85"/>
  <c r="C153" i="85"/>
  <c r="Q152" i="85"/>
  <c r="O152" i="85"/>
  <c r="M152" i="85"/>
  <c r="K152" i="85"/>
  <c r="I152" i="85"/>
  <c r="G152" i="85"/>
  <c r="E152" i="85"/>
  <c r="C152" i="85"/>
  <c r="Q151" i="85"/>
  <c r="O151" i="85"/>
  <c r="M151" i="85"/>
  <c r="K151" i="85"/>
  <c r="I151" i="85"/>
  <c r="G151" i="85"/>
  <c r="E151" i="85"/>
  <c r="C151" i="85"/>
  <c r="Q150" i="85"/>
  <c r="O150" i="85"/>
  <c r="M150" i="85"/>
  <c r="K150" i="85"/>
  <c r="I150" i="85"/>
  <c r="G150" i="85"/>
  <c r="E150" i="85"/>
  <c r="C150" i="85"/>
  <c r="Q149" i="85"/>
  <c r="O149" i="85"/>
  <c r="M149" i="85"/>
  <c r="K149" i="85"/>
  <c r="I149" i="85"/>
  <c r="G149" i="85"/>
  <c r="E149" i="85"/>
  <c r="C149" i="85"/>
  <c r="Q148" i="85"/>
  <c r="O148" i="85"/>
  <c r="M148" i="85"/>
  <c r="K148" i="85"/>
  <c r="I148" i="85"/>
  <c r="G148" i="85"/>
  <c r="E148" i="85"/>
  <c r="C148" i="85"/>
  <c r="Q147" i="85"/>
  <c r="O147" i="85"/>
  <c r="M147" i="85"/>
  <c r="K147" i="85"/>
  <c r="I147" i="85"/>
  <c r="G147" i="85"/>
  <c r="E147" i="85"/>
  <c r="C147" i="85"/>
  <c r="Q146" i="85"/>
  <c r="O146" i="85"/>
  <c r="M146" i="85"/>
  <c r="K146" i="85"/>
  <c r="I146" i="85"/>
  <c r="G146" i="85"/>
  <c r="E146" i="85"/>
  <c r="C146" i="85"/>
  <c r="Q145" i="85"/>
  <c r="O145" i="85"/>
  <c r="M145" i="85"/>
  <c r="K145" i="85"/>
  <c r="I145" i="85"/>
  <c r="G145" i="85"/>
  <c r="E145" i="85"/>
  <c r="C145" i="85"/>
  <c r="Q144" i="85"/>
  <c r="O144" i="85"/>
  <c r="M144" i="85"/>
  <c r="K144" i="85"/>
  <c r="I144" i="85"/>
  <c r="G144" i="85"/>
  <c r="E144" i="85"/>
  <c r="C144" i="85"/>
  <c r="Q143" i="85"/>
  <c r="O143" i="85"/>
  <c r="M143" i="85"/>
  <c r="K143" i="85"/>
  <c r="I143" i="85"/>
  <c r="G143" i="85"/>
  <c r="E143" i="85"/>
  <c r="C143" i="85"/>
  <c r="Q142" i="85"/>
  <c r="O142" i="85"/>
  <c r="M142" i="85"/>
  <c r="K142" i="85"/>
  <c r="I142" i="85"/>
  <c r="G142" i="85"/>
  <c r="E142" i="85"/>
  <c r="C142" i="85"/>
  <c r="Q141" i="85"/>
  <c r="O141" i="85"/>
  <c r="M141" i="85"/>
  <c r="K141" i="85"/>
  <c r="I141" i="85"/>
  <c r="G141" i="85"/>
  <c r="E141" i="85"/>
  <c r="C141" i="85"/>
  <c r="Q140" i="85"/>
  <c r="O140" i="85"/>
  <c r="M140" i="85"/>
  <c r="K140" i="85"/>
  <c r="I140" i="85"/>
  <c r="G140" i="85"/>
  <c r="E140" i="85"/>
  <c r="C140" i="85"/>
  <c r="Q139" i="85"/>
  <c r="O139" i="85"/>
  <c r="M139" i="85"/>
  <c r="K139" i="85"/>
  <c r="I139" i="85"/>
  <c r="G139" i="85"/>
  <c r="E139" i="85"/>
  <c r="C139" i="85"/>
  <c r="Q138" i="85"/>
  <c r="O138" i="85"/>
  <c r="M138" i="85"/>
  <c r="K138" i="85"/>
  <c r="I138" i="85"/>
  <c r="G138" i="85"/>
  <c r="E138" i="85"/>
  <c r="C138" i="85"/>
  <c r="Q137" i="85"/>
  <c r="O137" i="85"/>
  <c r="M137" i="85"/>
  <c r="K137" i="85"/>
  <c r="I137" i="85"/>
  <c r="G137" i="85"/>
  <c r="E137" i="85"/>
  <c r="C137" i="85"/>
  <c r="Q136" i="85"/>
  <c r="O136" i="85"/>
  <c r="M136" i="85"/>
  <c r="K136" i="85"/>
  <c r="I136" i="85"/>
  <c r="G136" i="85"/>
  <c r="E136" i="85"/>
  <c r="C136" i="85"/>
  <c r="Q135" i="85"/>
  <c r="O135" i="85"/>
  <c r="M135" i="85"/>
  <c r="K135" i="85"/>
  <c r="I135" i="85"/>
  <c r="G135" i="85"/>
  <c r="E135" i="85"/>
  <c r="C135" i="85"/>
  <c r="Q134" i="85"/>
  <c r="O134" i="85"/>
  <c r="M134" i="85"/>
  <c r="K134" i="85"/>
  <c r="I134" i="85"/>
  <c r="G134" i="85"/>
  <c r="E134" i="85"/>
  <c r="C134" i="85"/>
  <c r="Q133" i="85"/>
  <c r="O133" i="85"/>
  <c r="M133" i="85"/>
  <c r="K133" i="85"/>
  <c r="I133" i="85"/>
  <c r="G133" i="85"/>
  <c r="E133" i="85"/>
  <c r="C133" i="85"/>
  <c r="Q132" i="85"/>
  <c r="O132" i="85"/>
  <c r="M132" i="85"/>
  <c r="K132" i="85"/>
  <c r="I132" i="85"/>
  <c r="G132" i="85"/>
  <c r="E132" i="85"/>
  <c r="C132" i="85"/>
  <c r="Q131" i="85"/>
  <c r="O131" i="85"/>
  <c r="M131" i="85"/>
  <c r="K131" i="85"/>
  <c r="I131" i="85"/>
  <c r="G131" i="85"/>
  <c r="E131" i="85"/>
  <c r="C131" i="85"/>
  <c r="Q130" i="85"/>
  <c r="O130" i="85"/>
  <c r="M130" i="85"/>
  <c r="K130" i="85"/>
  <c r="I130" i="85"/>
  <c r="G130" i="85"/>
  <c r="E130" i="85"/>
  <c r="C130" i="85"/>
  <c r="Q129" i="85"/>
  <c r="O129" i="85"/>
  <c r="M129" i="85"/>
  <c r="K129" i="85"/>
  <c r="I129" i="85"/>
  <c r="G129" i="85"/>
  <c r="E129" i="85"/>
  <c r="C129" i="85"/>
  <c r="Q128" i="85"/>
  <c r="O128" i="85"/>
  <c r="M128" i="85"/>
  <c r="K128" i="85"/>
  <c r="I128" i="85"/>
  <c r="G128" i="85"/>
  <c r="E128" i="85"/>
  <c r="C128" i="85"/>
  <c r="Q127" i="85"/>
  <c r="O127" i="85"/>
  <c r="M127" i="85"/>
  <c r="K127" i="85"/>
  <c r="I127" i="85"/>
  <c r="G127" i="85"/>
  <c r="E127" i="85"/>
  <c r="C127" i="85"/>
  <c r="Q126" i="85"/>
  <c r="O126" i="85"/>
  <c r="M126" i="85"/>
  <c r="K126" i="85"/>
  <c r="I126" i="85"/>
  <c r="G126" i="85"/>
  <c r="E126" i="85"/>
  <c r="C126" i="85"/>
  <c r="Q125" i="85"/>
  <c r="O125" i="85"/>
  <c r="M125" i="85"/>
  <c r="K125" i="85"/>
  <c r="I125" i="85"/>
  <c r="G125" i="85"/>
  <c r="E125" i="85"/>
  <c r="C125" i="85"/>
  <c r="Q124" i="85"/>
  <c r="O124" i="85"/>
  <c r="M124" i="85"/>
  <c r="K124" i="85"/>
  <c r="I124" i="85"/>
  <c r="G124" i="85"/>
  <c r="E124" i="85"/>
  <c r="C124" i="85"/>
  <c r="Q123" i="85"/>
  <c r="O123" i="85"/>
  <c r="M123" i="85"/>
  <c r="K123" i="85"/>
  <c r="I123" i="85"/>
  <c r="G123" i="85"/>
  <c r="E123" i="85"/>
  <c r="C123" i="85"/>
  <c r="Q122" i="85"/>
  <c r="O122" i="85"/>
  <c r="M122" i="85"/>
  <c r="K122" i="85"/>
  <c r="I122" i="85"/>
  <c r="G122" i="85"/>
  <c r="E122" i="85"/>
  <c r="C122" i="85"/>
  <c r="Q121" i="85"/>
  <c r="O121" i="85"/>
  <c r="M121" i="85"/>
  <c r="K121" i="85"/>
  <c r="I121" i="85"/>
  <c r="G121" i="85"/>
  <c r="E121" i="85"/>
  <c r="C121" i="85"/>
  <c r="Q120" i="85"/>
  <c r="O120" i="85"/>
  <c r="M120" i="85"/>
  <c r="K120" i="85"/>
  <c r="I120" i="85"/>
  <c r="G120" i="85"/>
  <c r="E120" i="85"/>
  <c r="C120" i="85"/>
  <c r="Q119" i="85"/>
  <c r="O119" i="85"/>
  <c r="M119" i="85"/>
  <c r="K119" i="85"/>
  <c r="I119" i="85"/>
  <c r="G119" i="85"/>
  <c r="E119" i="85"/>
  <c r="C119" i="85"/>
  <c r="Q118" i="85"/>
  <c r="O118" i="85"/>
  <c r="M118" i="85"/>
  <c r="K118" i="85"/>
  <c r="I118" i="85"/>
  <c r="G118" i="85"/>
  <c r="E118" i="85"/>
  <c r="C118" i="85"/>
  <c r="Q117" i="85"/>
  <c r="O117" i="85"/>
  <c r="M117" i="85"/>
  <c r="K117" i="85"/>
  <c r="I117" i="85"/>
  <c r="G117" i="85"/>
  <c r="E117" i="85"/>
  <c r="C117" i="85"/>
  <c r="Q116" i="85"/>
  <c r="O116" i="85"/>
  <c r="M116" i="85"/>
  <c r="K116" i="85"/>
  <c r="I116" i="85"/>
  <c r="G116" i="85"/>
  <c r="E116" i="85"/>
  <c r="C116" i="85"/>
  <c r="Q115" i="85"/>
  <c r="O115" i="85"/>
  <c r="M115" i="85"/>
  <c r="K115" i="85"/>
  <c r="I115" i="85"/>
  <c r="G115" i="85"/>
  <c r="E115" i="85"/>
  <c r="C115" i="85"/>
  <c r="Q114" i="85"/>
  <c r="O114" i="85"/>
  <c r="M114" i="85"/>
  <c r="K114" i="85"/>
  <c r="I114" i="85"/>
  <c r="G114" i="85"/>
  <c r="E114" i="85"/>
  <c r="C114" i="85"/>
  <c r="Q113" i="85"/>
  <c r="O113" i="85"/>
  <c r="M113" i="85"/>
  <c r="K113" i="85"/>
  <c r="I113" i="85"/>
  <c r="G113" i="85"/>
  <c r="E113" i="85"/>
  <c r="C113" i="85"/>
  <c r="Q112" i="85"/>
  <c r="O112" i="85"/>
  <c r="M112" i="85"/>
  <c r="K112" i="85"/>
  <c r="I112" i="85"/>
  <c r="G112" i="85"/>
  <c r="E112" i="85"/>
  <c r="C112" i="85"/>
  <c r="Q111" i="85"/>
  <c r="O111" i="85"/>
  <c r="M111" i="85"/>
  <c r="K111" i="85"/>
  <c r="I111" i="85"/>
  <c r="G111" i="85"/>
  <c r="E111" i="85"/>
  <c r="C111" i="85"/>
  <c r="Q110" i="85"/>
  <c r="O110" i="85"/>
  <c r="M110" i="85"/>
  <c r="K110" i="85"/>
  <c r="I110" i="85"/>
  <c r="G110" i="85"/>
  <c r="E110" i="85"/>
  <c r="C110" i="85"/>
  <c r="Q109" i="85"/>
  <c r="O109" i="85"/>
  <c r="M109" i="85"/>
  <c r="K109" i="85"/>
  <c r="I109" i="85"/>
  <c r="G109" i="85"/>
  <c r="E109" i="85"/>
  <c r="C109" i="85"/>
  <c r="Q108" i="85"/>
  <c r="O108" i="85"/>
  <c r="M108" i="85"/>
  <c r="K108" i="85"/>
  <c r="I108" i="85"/>
  <c r="G108" i="85"/>
  <c r="E108" i="85"/>
  <c r="C108" i="85"/>
  <c r="Q107" i="85"/>
  <c r="O107" i="85"/>
  <c r="M107" i="85"/>
  <c r="K107" i="85"/>
  <c r="I107" i="85"/>
  <c r="G107" i="85"/>
  <c r="E107" i="85"/>
  <c r="C107" i="85"/>
  <c r="Q106" i="85"/>
  <c r="O106" i="85"/>
  <c r="M106" i="85"/>
  <c r="K106" i="85"/>
  <c r="I106" i="85"/>
  <c r="G106" i="85"/>
  <c r="E106" i="85"/>
  <c r="C106" i="85"/>
  <c r="Q105" i="85"/>
  <c r="O105" i="85"/>
  <c r="M105" i="85"/>
  <c r="K105" i="85"/>
  <c r="I105" i="85"/>
  <c r="G105" i="85"/>
  <c r="E105" i="85"/>
  <c r="C105" i="85"/>
  <c r="Q104" i="85"/>
  <c r="O104" i="85"/>
  <c r="M104" i="85"/>
  <c r="K104" i="85"/>
  <c r="I104" i="85"/>
  <c r="G104" i="85"/>
  <c r="E104" i="85"/>
  <c r="C104" i="85"/>
  <c r="Q103" i="85"/>
  <c r="O103" i="85"/>
  <c r="M103" i="85"/>
  <c r="K103" i="85"/>
  <c r="I103" i="85"/>
  <c r="G103" i="85"/>
  <c r="E103" i="85"/>
  <c r="C103" i="85"/>
  <c r="Q102" i="85"/>
  <c r="O102" i="85"/>
  <c r="M102" i="85"/>
  <c r="K102" i="85"/>
  <c r="I102" i="85"/>
  <c r="G102" i="85"/>
  <c r="E102" i="85"/>
  <c r="C102" i="85"/>
  <c r="Q101" i="85"/>
  <c r="O101" i="85"/>
  <c r="M101" i="85"/>
  <c r="K101" i="85"/>
  <c r="I101" i="85"/>
  <c r="G101" i="85"/>
  <c r="E101" i="85"/>
  <c r="C101" i="85"/>
  <c r="Q100" i="85"/>
  <c r="O100" i="85"/>
  <c r="M100" i="85"/>
  <c r="K100" i="85"/>
  <c r="I100" i="85"/>
  <c r="G100" i="85"/>
  <c r="E100" i="85"/>
  <c r="C100" i="85"/>
  <c r="Q99" i="85"/>
  <c r="O99" i="85"/>
  <c r="M99" i="85"/>
  <c r="K99" i="85"/>
  <c r="I99" i="85"/>
  <c r="G99" i="85"/>
  <c r="E99" i="85"/>
  <c r="C99" i="85"/>
  <c r="Q98" i="85"/>
  <c r="O98" i="85"/>
  <c r="M98" i="85"/>
  <c r="K98" i="85"/>
  <c r="I98" i="85"/>
  <c r="G98" i="85"/>
  <c r="E98" i="85"/>
  <c r="C98" i="85"/>
  <c r="Q97" i="85"/>
  <c r="O97" i="85"/>
  <c r="M97" i="85"/>
  <c r="K97" i="85"/>
  <c r="I97" i="85"/>
  <c r="G97" i="85"/>
  <c r="E97" i="85"/>
  <c r="C97" i="85"/>
  <c r="Q96" i="85"/>
  <c r="O96" i="85"/>
  <c r="M96" i="85"/>
  <c r="K96" i="85"/>
  <c r="I96" i="85"/>
  <c r="G96" i="85"/>
  <c r="E96" i="85"/>
  <c r="C96" i="85"/>
  <c r="Q95" i="85"/>
  <c r="O95" i="85"/>
  <c r="M95" i="85"/>
  <c r="K95" i="85"/>
  <c r="I95" i="85"/>
  <c r="G95" i="85"/>
  <c r="E95" i="85"/>
  <c r="C95" i="85"/>
  <c r="Q94" i="85"/>
  <c r="O94" i="85"/>
  <c r="M94" i="85"/>
  <c r="K94" i="85"/>
  <c r="I94" i="85"/>
  <c r="G94" i="85"/>
  <c r="E94" i="85"/>
  <c r="C94" i="85"/>
  <c r="Q93" i="85"/>
  <c r="O93" i="85"/>
  <c r="M93" i="85"/>
  <c r="K93" i="85"/>
  <c r="I93" i="85"/>
  <c r="G93" i="85"/>
  <c r="E93" i="85"/>
  <c r="C93" i="85"/>
  <c r="Q92" i="85"/>
  <c r="O92" i="85"/>
  <c r="M92" i="85"/>
  <c r="K92" i="85"/>
  <c r="I92" i="85"/>
  <c r="G92" i="85"/>
  <c r="E92" i="85"/>
  <c r="C92" i="85"/>
  <c r="Q91" i="85"/>
  <c r="O91" i="85"/>
  <c r="M91" i="85"/>
  <c r="K91" i="85"/>
  <c r="I91" i="85"/>
  <c r="G91" i="85"/>
  <c r="E91" i="85"/>
  <c r="C91" i="85"/>
  <c r="Q90" i="85"/>
  <c r="O90" i="85"/>
  <c r="M90" i="85"/>
  <c r="K90" i="85"/>
  <c r="I90" i="85"/>
  <c r="G90" i="85"/>
  <c r="E90" i="85"/>
  <c r="C90" i="85"/>
  <c r="Q89" i="85"/>
  <c r="O89" i="85"/>
  <c r="M89" i="85"/>
  <c r="K89" i="85"/>
  <c r="I89" i="85"/>
  <c r="G89" i="85"/>
  <c r="E89" i="85"/>
  <c r="C89" i="85"/>
  <c r="Q88" i="85"/>
  <c r="O88" i="85"/>
  <c r="M88" i="85"/>
  <c r="K88" i="85"/>
  <c r="I88" i="85"/>
  <c r="G88" i="85"/>
  <c r="E88" i="85"/>
  <c r="C88" i="85"/>
  <c r="Q87" i="85"/>
  <c r="O87" i="85"/>
  <c r="M87" i="85"/>
  <c r="K87" i="85"/>
  <c r="I87" i="85"/>
  <c r="G87" i="85"/>
  <c r="E87" i="85"/>
  <c r="C87" i="85"/>
  <c r="Q86" i="85"/>
  <c r="O86" i="85"/>
  <c r="M86" i="85"/>
  <c r="K86" i="85"/>
  <c r="I86" i="85"/>
  <c r="G86" i="85"/>
  <c r="E86" i="85"/>
  <c r="C86" i="85"/>
  <c r="Q85" i="85"/>
  <c r="O85" i="85"/>
  <c r="M85" i="85"/>
  <c r="K85" i="85"/>
  <c r="I85" i="85"/>
  <c r="G85" i="85"/>
  <c r="E85" i="85"/>
  <c r="C85" i="85"/>
  <c r="Q84" i="85"/>
  <c r="O84" i="85"/>
  <c r="M84" i="85"/>
  <c r="K84" i="85"/>
  <c r="I84" i="85"/>
  <c r="G84" i="85"/>
  <c r="E84" i="85"/>
  <c r="C84" i="85"/>
  <c r="Q83" i="85"/>
  <c r="O83" i="85"/>
  <c r="M83" i="85"/>
  <c r="K83" i="85"/>
  <c r="I83" i="85"/>
  <c r="G83" i="85"/>
  <c r="E83" i="85"/>
  <c r="C83" i="85"/>
  <c r="Q82" i="85"/>
  <c r="O82" i="85"/>
  <c r="M82" i="85"/>
  <c r="K82" i="85"/>
  <c r="I82" i="85"/>
  <c r="G82" i="85"/>
  <c r="E82" i="85"/>
  <c r="C82" i="85"/>
  <c r="Q81" i="85"/>
  <c r="O81" i="85"/>
  <c r="M81" i="85"/>
  <c r="K81" i="85"/>
  <c r="I81" i="85"/>
  <c r="G81" i="85"/>
  <c r="E81" i="85"/>
  <c r="C81" i="85"/>
  <c r="Q80" i="85"/>
  <c r="O80" i="85"/>
  <c r="M80" i="85"/>
  <c r="K80" i="85"/>
  <c r="I80" i="85"/>
  <c r="G80" i="85"/>
  <c r="E80" i="85"/>
  <c r="C80" i="85"/>
  <c r="Q79" i="85"/>
  <c r="O79" i="85"/>
  <c r="M79" i="85"/>
  <c r="K79" i="85"/>
  <c r="I79" i="85"/>
  <c r="G79" i="85"/>
  <c r="E79" i="85"/>
  <c r="C79" i="85"/>
  <c r="Q78" i="85"/>
  <c r="O78" i="85"/>
  <c r="M78" i="85"/>
  <c r="K78" i="85"/>
  <c r="I78" i="85"/>
  <c r="G78" i="85"/>
  <c r="E78" i="85"/>
  <c r="C78" i="85"/>
  <c r="Q77" i="85"/>
  <c r="O77" i="85"/>
  <c r="M77" i="85"/>
  <c r="K77" i="85"/>
  <c r="I77" i="85"/>
  <c r="G77" i="85"/>
  <c r="E77" i="85"/>
  <c r="C77" i="85"/>
  <c r="Q76" i="85"/>
  <c r="O76" i="85"/>
  <c r="M76" i="85"/>
  <c r="K76" i="85"/>
  <c r="I76" i="85"/>
  <c r="G76" i="85"/>
  <c r="E76" i="85"/>
  <c r="C76" i="85"/>
  <c r="Q75" i="85"/>
  <c r="O75" i="85"/>
  <c r="M75" i="85"/>
  <c r="K75" i="85"/>
  <c r="I75" i="85"/>
  <c r="G75" i="85"/>
  <c r="E75" i="85"/>
  <c r="C75" i="85"/>
  <c r="Q74" i="85"/>
  <c r="O74" i="85"/>
  <c r="M74" i="85"/>
  <c r="K74" i="85"/>
  <c r="I74" i="85"/>
  <c r="G74" i="85"/>
  <c r="E74" i="85"/>
  <c r="C74" i="85"/>
  <c r="Q73" i="85"/>
  <c r="O73" i="85"/>
  <c r="M73" i="85"/>
  <c r="K73" i="85"/>
  <c r="I73" i="85"/>
  <c r="G73" i="85"/>
  <c r="E73" i="85"/>
  <c r="C73" i="85"/>
  <c r="Q72" i="85"/>
  <c r="O72" i="85"/>
  <c r="M72" i="85"/>
  <c r="K72" i="85"/>
  <c r="I72" i="85"/>
  <c r="G72" i="85"/>
  <c r="E72" i="85"/>
  <c r="C72" i="85"/>
  <c r="Q71" i="85"/>
  <c r="O71" i="85"/>
  <c r="M71" i="85"/>
  <c r="K71" i="85"/>
  <c r="I71" i="85"/>
  <c r="G71" i="85"/>
  <c r="E71" i="85"/>
  <c r="C71" i="85"/>
  <c r="Q70" i="85"/>
  <c r="O70" i="85"/>
  <c r="M70" i="85"/>
  <c r="K70" i="85"/>
  <c r="I70" i="85"/>
  <c r="G70" i="85"/>
  <c r="E70" i="85"/>
  <c r="C70" i="85"/>
  <c r="Q69" i="85"/>
  <c r="O69" i="85"/>
  <c r="M69" i="85"/>
  <c r="K69" i="85"/>
  <c r="I69" i="85"/>
  <c r="G69" i="85"/>
  <c r="E69" i="85"/>
  <c r="C69" i="85"/>
  <c r="Q68" i="85"/>
  <c r="O68" i="85"/>
  <c r="M68" i="85"/>
  <c r="K68" i="85"/>
  <c r="I68" i="85"/>
  <c r="G68" i="85"/>
  <c r="E68" i="85"/>
  <c r="C68" i="85"/>
  <c r="Q67" i="85"/>
  <c r="O67" i="85"/>
  <c r="M67" i="85"/>
  <c r="K67" i="85"/>
  <c r="I67" i="85"/>
  <c r="G67" i="85"/>
  <c r="E67" i="85"/>
  <c r="C67" i="85"/>
  <c r="Q66" i="85"/>
  <c r="O66" i="85"/>
  <c r="M66" i="85"/>
  <c r="K66" i="85"/>
  <c r="I66" i="85"/>
  <c r="G66" i="85"/>
  <c r="E66" i="85"/>
  <c r="C66" i="85"/>
  <c r="Q65" i="85"/>
  <c r="O65" i="85"/>
  <c r="M65" i="85"/>
  <c r="K65" i="85"/>
  <c r="I65" i="85"/>
  <c r="G65" i="85"/>
  <c r="E65" i="85"/>
  <c r="C65" i="85"/>
  <c r="Q64" i="85"/>
  <c r="O64" i="85"/>
  <c r="M64" i="85"/>
  <c r="K64" i="85"/>
  <c r="I64" i="85"/>
  <c r="G64" i="85"/>
  <c r="E64" i="85"/>
  <c r="C64" i="85"/>
  <c r="Q63" i="85"/>
  <c r="O63" i="85"/>
  <c r="M63" i="85"/>
  <c r="K63" i="85"/>
  <c r="I63" i="85"/>
  <c r="G63" i="85"/>
  <c r="E63" i="85"/>
  <c r="C63" i="85"/>
  <c r="Q62" i="85"/>
  <c r="O62" i="85"/>
  <c r="M62" i="85"/>
  <c r="K62" i="85"/>
  <c r="I62" i="85"/>
  <c r="G62" i="85"/>
  <c r="E62" i="85"/>
  <c r="C62" i="85"/>
  <c r="Q61" i="85"/>
  <c r="O61" i="85"/>
  <c r="M61" i="85"/>
  <c r="K61" i="85"/>
  <c r="I61" i="85"/>
  <c r="G61" i="85"/>
  <c r="E61" i="85"/>
  <c r="C61" i="85"/>
  <c r="Q60" i="85"/>
  <c r="O60" i="85"/>
  <c r="M60" i="85"/>
  <c r="K60" i="85"/>
  <c r="I60" i="85"/>
  <c r="G60" i="85"/>
  <c r="E60" i="85"/>
  <c r="C60" i="85"/>
  <c r="Q59" i="85"/>
  <c r="O59" i="85"/>
  <c r="M59" i="85"/>
  <c r="K59" i="85"/>
  <c r="I59" i="85"/>
  <c r="G59" i="85"/>
  <c r="E59" i="85"/>
  <c r="C59" i="85"/>
  <c r="Q58" i="85"/>
  <c r="O58" i="85"/>
  <c r="M58" i="85"/>
  <c r="K58" i="85"/>
  <c r="I58" i="85"/>
  <c r="G58" i="85"/>
  <c r="E58" i="85"/>
  <c r="C58" i="85"/>
  <c r="Q57" i="85"/>
  <c r="O57" i="85"/>
  <c r="M57" i="85"/>
  <c r="K57" i="85"/>
  <c r="I57" i="85"/>
  <c r="G57" i="85"/>
  <c r="E57" i="85"/>
  <c r="C57" i="85"/>
  <c r="Q56" i="85"/>
  <c r="O56" i="85"/>
  <c r="M56" i="85"/>
  <c r="K56" i="85"/>
  <c r="I56" i="85"/>
  <c r="G56" i="85"/>
  <c r="E56" i="85"/>
  <c r="C56" i="85"/>
  <c r="Q55" i="85"/>
  <c r="O55" i="85"/>
  <c r="M55" i="85"/>
  <c r="K55" i="85"/>
  <c r="I55" i="85"/>
  <c r="G55" i="85"/>
  <c r="E55" i="85"/>
  <c r="C55" i="85"/>
  <c r="Q54" i="85"/>
  <c r="O54" i="85"/>
  <c r="M54" i="85"/>
  <c r="K54" i="85"/>
  <c r="I54" i="85"/>
  <c r="G54" i="85"/>
  <c r="E54" i="85"/>
  <c r="C54" i="85"/>
  <c r="Q53" i="85"/>
  <c r="O53" i="85"/>
  <c r="M53" i="85"/>
  <c r="K53" i="85"/>
  <c r="I53" i="85"/>
  <c r="G53" i="85"/>
  <c r="E53" i="85"/>
  <c r="C53" i="85"/>
  <c r="Q52" i="85"/>
  <c r="O52" i="85"/>
  <c r="M52" i="85"/>
  <c r="K52" i="85"/>
  <c r="I52" i="85"/>
  <c r="G52" i="85"/>
  <c r="E52" i="85"/>
  <c r="C52" i="85"/>
  <c r="Q51" i="85"/>
  <c r="O51" i="85"/>
  <c r="M51" i="85"/>
  <c r="K51" i="85"/>
  <c r="I51" i="85"/>
  <c r="G51" i="85"/>
  <c r="E51" i="85"/>
  <c r="C51" i="85"/>
  <c r="Q50" i="85"/>
  <c r="O50" i="85"/>
  <c r="M50" i="85"/>
  <c r="K50" i="85"/>
  <c r="I50" i="85"/>
  <c r="G50" i="85"/>
  <c r="E50" i="85"/>
  <c r="C50" i="85"/>
  <c r="Q49" i="85"/>
  <c r="O49" i="85"/>
  <c r="M49" i="85"/>
  <c r="K49" i="85"/>
  <c r="I49" i="85"/>
  <c r="G49" i="85"/>
  <c r="E49" i="85"/>
  <c r="C49" i="85"/>
  <c r="Q48" i="85"/>
  <c r="O48" i="85"/>
  <c r="M48" i="85"/>
  <c r="K48" i="85"/>
  <c r="I48" i="85"/>
  <c r="G48" i="85"/>
  <c r="E48" i="85"/>
  <c r="C48" i="85"/>
  <c r="Q47" i="85"/>
  <c r="O47" i="85"/>
  <c r="M47" i="85"/>
  <c r="K47" i="85"/>
  <c r="I47" i="85"/>
  <c r="G47" i="85"/>
  <c r="E47" i="85"/>
  <c r="C47" i="85"/>
  <c r="Q46" i="85"/>
  <c r="O46" i="85"/>
  <c r="M46" i="85"/>
  <c r="K46" i="85"/>
  <c r="I46" i="85"/>
  <c r="G46" i="85"/>
  <c r="E46" i="85"/>
  <c r="C46" i="85"/>
  <c r="Q45" i="85"/>
  <c r="O45" i="85"/>
  <c r="M45" i="85"/>
  <c r="K45" i="85"/>
  <c r="I45" i="85"/>
  <c r="G45" i="85"/>
  <c r="E45" i="85"/>
  <c r="C45" i="85"/>
  <c r="Q44" i="85"/>
  <c r="O44" i="85"/>
  <c r="M44" i="85"/>
  <c r="K44" i="85"/>
  <c r="I44" i="85"/>
  <c r="G44" i="85"/>
  <c r="E44" i="85"/>
  <c r="C44" i="85"/>
  <c r="Q43" i="85"/>
  <c r="O43" i="85"/>
  <c r="M43" i="85"/>
  <c r="K43" i="85"/>
  <c r="I43" i="85"/>
  <c r="G43" i="85"/>
  <c r="E43" i="85"/>
  <c r="C43" i="85"/>
  <c r="Q42" i="85"/>
  <c r="O42" i="85"/>
  <c r="M42" i="85"/>
  <c r="K42" i="85"/>
  <c r="I42" i="85"/>
  <c r="G42" i="85"/>
  <c r="E42" i="85"/>
  <c r="C42" i="85"/>
  <c r="Q41" i="85"/>
  <c r="O41" i="85"/>
  <c r="M41" i="85"/>
  <c r="K41" i="85"/>
  <c r="I41" i="85"/>
  <c r="G41" i="85"/>
  <c r="E41" i="85"/>
  <c r="C41" i="85"/>
  <c r="Q40" i="85"/>
  <c r="O40" i="85"/>
  <c r="M40" i="85"/>
  <c r="K40" i="85"/>
  <c r="I40" i="85"/>
  <c r="G40" i="85"/>
  <c r="E40" i="85"/>
  <c r="C40" i="85"/>
  <c r="Q39" i="85"/>
  <c r="O39" i="85"/>
  <c r="M39" i="85"/>
  <c r="K39" i="85"/>
  <c r="I39" i="85"/>
  <c r="G39" i="85"/>
  <c r="E39" i="85"/>
  <c r="C39" i="85"/>
  <c r="Q38" i="85"/>
  <c r="O38" i="85"/>
  <c r="M38" i="85"/>
  <c r="K38" i="85"/>
  <c r="I38" i="85"/>
  <c r="G38" i="85"/>
  <c r="E38" i="85"/>
  <c r="C38" i="85"/>
  <c r="Q37" i="85"/>
  <c r="O37" i="85"/>
  <c r="M37" i="85"/>
  <c r="K37" i="85"/>
  <c r="I37" i="85"/>
  <c r="G37" i="85"/>
  <c r="E37" i="85"/>
  <c r="C37" i="85"/>
  <c r="Q36" i="85"/>
  <c r="O36" i="85"/>
  <c r="M36" i="85"/>
  <c r="K36" i="85"/>
  <c r="I36" i="85"/>
  <c r="G36" i="85"/>
  <c r="E36" i="85"/>
  <c r="C36" i="85"/>
  <c r="Q35" i="85"/>
  <c r="O35" i="85"/>
  <c r="M35" i="85"/>
  <c r="K35" i="85"/>
  <c r="I35" i="85"/>
  <c r="G35" i="85"/>
  <c r="E35" i="85"/>
  <c r="C35" i="85"/>
  <c r="Q34" i="85"/>
  <c r="O34" i="85"/>
  <c r="M34" i="85"/>
  <c r="K34" i="85"/>
  <c r="I34" i="85"/>
  <c r="G34" i="85"/>
  <c r="E34" i="85"/>
  <c r="C34" i="85"/>
  <c r="Q33" i="85"/>
  <c r="O33" i="85"/>
  <c r="M33" i="85"/>
  <c r="K33" i="85"/>
  <c r="I33" i="85"/>
  <c r="G33" i="85"/>
  <c r="E33" i="85"/>
  <c r="C33" i="85"/>
  <c r="Q32" i="85"/>
  <c r="O32" i="85"/>
  <c r="M32" i="85"/>
  <c r="K32" i="85"/>
  <c r="I32" i="85"/>
  <c r="G32" i="85"/>
  <c r="E32" i="85"/>
  <c r="C32" i="85"/>
  <c r="Q31" i="85"/>
  <c r="O31" i="85"/>
  <c r="M31" i="85"/>
  <c r="K31" i="85"/>
  <c r="I31" i="85"/>
  <c r="G31" i="85"/>
  <c r="E31" i="85"/>
  <c r="C31" i="85"/>
  <c r="Q30" i="85"/>
  <c r="O30" i="85"/>
  <c r="M30" i="85"/>
  <c r="K30" i="85"/>
  <c r="I30" i="85"/>
  <c r="G30" i="85"/>
  <c r="E30" i="85"/>
  <c r="C30" i="85"/>
  <c r="Q29" i="85"/>
  <c r="O29" i="85"/>
  <c r="M29" i="85"/>
  <c r="K29" i="85"/>
  <c r="I29" i="85"/>
  <c r="G29" i="85"/>
  <c r="E29" i="85"/>
  <c r="C29" i="85"/>
  <c r="Q28" i="85"/>
  <c r="O28" i="85"/>
  <c r="M28" i="85"/>
  <c r="K28" i="85"/>
  <c r="I28" i="85"/>
  <c r="G28" i="85"/>
  <c r="E28" i="85"/>
  <c r="C28" i="85"/>
  <c r="Q27" i="85"/>
  <c r="O27" i="85"/>
  <c r="M27" i="85"/>
  <c r="K27" i="85"/>
  <c r="I27" i="85"/>
  <c r="G27" i="85"/>
  <c r="E27" i="85"/>
  <c r="C27" i="85"/>
  <c r="Q26" i="85"/>
  <c r="O26" i="85"/>
  <c r="M26" i="85"/>
  <c r="K26" i="85"/>
  <c r="I26" i="85"/>
  <c r="G26" i="85"/>
  <c r="E26" i="85"/>
  <c r="C26" i="85"/>
  <c r="Q25" i="85"/>
  <c r="O25" i="85"/>
  <c r="M25" i="85"/>
  <c r="K25" i="85"/>
  <c r="I25" i="85"/>
  <c r="G25" i="85"/>
  <c r="E25" i="85"/>
  <c r="C25" i="85"/>
  <c r="P23" i="85"/>
  <c r="N23" i="85"/>
  <c r="L23" i="85"/>
  <c r="J23" i="85"/>
  <c r="H23" i="85"/>
  <c r="F23" i="85"/>
  <c r="D23" i="85"/>
  <c r="B22" i="85"/>
  <c r="B17" i="74" s="1"/>
  <c r="E12" i="85"/>
  <c r="F12" i="85" s="1"/>
  <c r="G12" i="85" s="1"/>
  <c r="H12" i="85" s="1"/>
  <c r="I12" i="85" s="1"/>
  <c r="J12" i="85" s="1"/>
  <c r="K12" i="85" s="1"/>
  <c r="L12" i="85" s="1"/>
  <c r="M12" i="85" s="1"/>
  <c r="N12" i="85" s="1"/>
  <c r="O12" i="85" s="1"/>
  <c r="P12" i="85" s="1"/>
  <c r="Q12" i="85" s="1"/>
  <c r="R12" i="85" s="1"/>
  <c r="S12" i="85" s="1"/>
  <c r="D12" i="85"/>
  <c r="E10" i="85"/>
  <c r="F10" i="85" s="1"/>
  <c r="G10" i="85" s="1"/>
  <c r="H10" i="85" s="1"/>
  <c r="I10" i="85" s="1"/>
  <c r="J10" i="85" s="1"/>
  <c r="K10" i="85" s="1"/>
  <c r="L10" i="85" s="1"/>
  <c r="M10" i="85" s="1"/>
  <c r="N10" i="85" s="1"/>
  <c r="O10" i="85" s="1"/>
  <c r="P10" i="85" s="1"/>
  <c r="Q10" i="85" s="1"/>
  <c r="R10" i="85" s="1"/>
  <c r="S10" i="85" s="1"/>
  <c r="D10" i="85"/>
  <c r="E8" i="85"/>
  <c r="F8" i="85" s="1"/>
  <c r="G8" i="85" s="1"/>
  <c r="H8" i="85" s="1"/>
  <c r="I8" i="85" s="1"/>
  <c r="J8" i="85" s="1"/>
  <c r="K8" i="85" s="1"/>
  <c r="L8" i="85" s="1"/>
  <c r="M8" i="85" s="1"/>
  <c r="N8" i="85" s="1"/>
  <c r="O8" i="85" s="1"/>
  <c r="P8" i="85" s="1"/>
  <c r="Q8" i="85" s="1"/>
  <c r="R8" i="85" s="1"/>
  <c r="S8" i="85" s="1"/>
  <c r="D8" i="85"/>
  <c r="E6" i="85"/>
  <c r="F6" i="85" s="1"/>
  <c r="G6" i="85" s="1"/>
  <c r="H6" i="85" s="1"/>
  <c r="I6" i="85" s="1"/>
  <c r="J6" i="85" s="1"/>
  <c r="K6" i="85" s="1"/>
  <c r="L6" i="85" s="1"/>
  <c r="M6" i="85" s="1"/>
  <c r="N6" i="85" s="1"/>
  <c r="O6" i="85" s="1"/>
  <c r="P6" i="85" s="1"/>
  <c r="Q6" i="85" s="1"/>
  <c r="R6" i="85" s="1"/>
  <c r="S6" i="85" s="1"/>
  <c r="D6" i="85"/>
  <c r="S2" i="85"/>
  <c r="R2" i="85"/>
  <c r="Q2" i="85"/>
  <c r="P2" i="85"/>
  <c r="O2" i="85"/>
  <c r="N2" i="85"/>
  <c r="M2" i="85"/>
  <c r="L2" i="85"/>
  <c r="K2" i="85"/>
  <c r="J2" i="85"/>
  <c r="I2" i="85"/>
  <c r="H2" i="85"/>
  <c r="G2" i="85"/>
  <c r="F2" i="85"/>
  <c r="E2" i="85"/>
  <c r="D2" i="85"/>
  <c r="C2" i="85"/>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R164" i="84"/>
  <c r="S164" i="84" s="1"/>
  <c r="Q164" i="84"/>
  <c r="O164" i="84"/>
  <c r="M164" i="84"/>
  <c r="K164" i="84"/>
  <c r="I164" i="84"/>
  <c r="G164" i="84"/>
  <c r="E164" i="84"/>
  <c r="C164" i="84"/>
  <c r="R163" i="84"/>
  <c r="S163" i="84" s="1"/>
  <c r="Q163" i="84"/>
  <c r="O163" i="84"/>
  <c r="M163" i="84"/>
  <c r="K163" i="84"/>
  <c r="I163" i="84"/>
  <c r="G163" i="84"/>
  <c r="E163" i="84"/>
  <c r="C163" i="84"/>
  <c r="R162" i="84"/>
  <c r="S162" i="84" s="1"/>
  <c r="Q162" i="84"/>
  <c r="O162" i="84"/>
  <c r="M162" i="84"/>
  <c r="K162" i="84"/>
  <c r="I162" i="84"/>
  <c r="G162" i="84"/>
  <c r="E162" i="84"/>
  <c r="C162" i="84"/>
  <c r="R161" i="84"/>
  <c r="S161" i="84" s="1"/>
  <c r="Q161" i="84"/>
  <c r="O161" i="84"/>
  <c r="M161" i="84"/>
  <c r="K161" i="84"/>
  <c r="I161" i="84"/>
  <c r="G161" i="84"/>
  <c r="E161" i="84"/>
  <c r="C161" i="84"/>
  <c r="R160" i="84"/>
  <c r="S160" i="84" s="1"/>
  <c r="Q160" i="84"/>
  <c r="O160" i="84"/>
  <c r="M160" i="84"/>
  <c r="K160" i="84"/>
  <c r="I160" i="84"/>
  <c r="G160" i="84"/>
  <c r="E160" i="84"/>
  <c r="C160" i="84"/>
  <c r="R159" i="84"/>
  <c r="S159" i="84" s="1"/>
  <c r="Q159" i="84"/>
  <c r="O159" i="84"/>
  <c r="M159" i="84"/>
  <c r="K159" i="84"/>
  <c r="I159" i="84"/>
  <c r="G159" i="84"/>
  <c r="E159" i="84"/>
  <c r="C159" i="84"/>
  <c r="R158" i="84"/>
  <c r="S158" i="84" s="1"/>
  <c r="Q158" i="84"/>
  <c r="O158" i="84"/>
  <c r="M158" i="84"/>
  <c r="K158" i="84"/>
  <c r="I158" i="84"/>
  <c r="G158" i="84"/>
  <c r="E158" i="84"/>
  <c r="C158" i="84"/>
  <c r="R157" i="84"/>
  <c r="S157" i="84" s="1"/>
  <c r="Q157" i="84"/>
  <c r="O157" i="84"/>
  <c r="M157" i="84"/>
  <c r="K157" i="84"/>
  <c r="I157" i="84"/>
  <c r="G157" i="84"/>
  <c r="E157" i="84"/>
  <c r="C157" i="84"/>
  <c r="R156" i="84"/>
  <c r="S156" i="84" s="1"/>
  <c r="Q156" i="84"/>
  <c r="O156" i="84"/>
  <c r="M156" i="84"/>
  <c r="K156" i="84"/>
  <c r="I156" i="84"/>
  <c r="G156" i="84"/>
  <c r="E156" i="84"/>
  <c r="C156" i="84"/>
  <c r="R155" i="84"/>
  <c r="S155" i="84" s="1"/>
  <c r="Q155" i="84"/>
  <c r="O155" i="84"/>
  <c r="M155" i="84"/>
  <c r="K155" i="84"/>
  <c r="I155" i="84"/>
  <c r="G155" i="84"/>
  <c r="E155" i="84"/>
  <c r="C155" i="84"/>
  <c r="R154" i="84"/>
  <c r="S154" i="84" s="1"/>
  <c r="Q154" i="84"/>
  <c r="O154" i="84"/>
  <c r="M154" i="84"/>
  <c r="K154" i="84"/>
  <c r="I154" i="84"/>
  <c r="G154" i="84"/>
  <c r="E154" i="84"/>
  <c r="C154" i="84"/>
  <c r="R153" i="84"/>
  <c r="S153" i="84" s="1"/>
  <c r="Q153" i="84"/>
  <c r="O153" i="84"/>
  <c r="M153" i="84"/>
  <c r="K153" i="84"/>
  <c r="I153" i="84"/>
  <c r="G153" i="84"/>
  <c r="E153" i="84"/>
  <c r="C153" i="84"/>
  <c r="R152" i="84"/>
  <c r="S152" i="84" s="1"/>
  <c r="Q152" i="84"/>
  <c r="O152" i="84"/>
  <c r="M152" i="84"/>
  <c r="K152" i="84"/>
  <c r="I152" i="84"/>
  <c r="G152" i="84"/>
  <c r="E152" i="84"/>
  <c r="C152" i="84"/>
  <c r="R151" i="84"/>
  <c r="S151" i="84" s="1"/>
  <c r="Q151" i="84"/>
  <c r="O151" i="84"/>
  <c r="M151" i="84"/>
  <c r="K151" i="84"/>
  <c r="I151" i="84"/>
  <c r="G151" i="84"/>
  <c r="E151" i="84"/>
  <c r="C151" i="84"/>
  <c r="R150" i="84"/>
  <c r="S150" i="84" s="1"/>
  <c r="Q150" i="84"/>
  <c r="O150" i="84"/>
  <c r="M150" i="84"/>
  <c r="K150" i="84"/>
  <c r="I150" i="84"/>
  <c r="G150" i="84"/>
  <c r="E150" i="84"/>
  <c r="C150" i="84"/>
  <c r="R149" i="84"/>
  <c r="S149" i="84" s="1"/>
  <c r="Q149" i="84"/>
  <c r="O149" i="84"/>
  <c r="M149" i="84"/>
  <c r="K149" i="84"/>
  <c r="I149" i="84"/>
  <c r="G149" i="84"/>
  <c r="E149" i="84"/>
  <c r="C149" i="84"/>
  <c r="R148" i="84"/>
  <c r="S148" i="84" s="1"/>
  <c r="Q148" i="84"/>
  <c r="O148" i="84"/>
  <c r="M148" i="84"/>
  <c r="K148" i="84"/>
  <c r="I148" i="84"/>
  <c r="G148" i="84"/>
  <c r="E148" i="84"/>
  <c r="C148" i="84"/>
  <c r="R147" i="84"/>
  <c r="S147" i="84" s="1"/>
  <c r="Q147" i="84"/>
  <c r="O147" i="84"/>
  <c r="M147" i="84"/>
  <c r="K147" i="84"/>
  <c r="I147" i="84"/>
  <c r="G147" i="84"/>
  <c r="E147" i="84"/>
  <c r="C147" i="84"/>
  <c r="R146" i="84"/>
  <c r="S146" i="84" s="1"/>
  <c r="Q146" i="84"/>
  <c r="O146" i="84"/>
  <c r="M146" i="84"/>
  <c r="K146" i="84"/>
  <c r="I146" i="84"/>
  <c r="G146" i="84"/>
  <c r="E146" i="84"/>
  <c r="C146" i="84"/>
  <c r="R145" i="84"/>
  <c r="S145" i="84" s="1"/>
  <c r="Q145" i="84"/>
  <c r="O145" i="84"/>
  <c r="M145" i="84"/>
  <c r="K145" i="84"/>
  <c r="I145" i="84"/>
  <c r="G145" i="84"/>
  <c r="E145" i="84"/>
  <c r="C145" i="84"/>
  <c r="R144" i="84"/>
  <c r="S144" i="84" s="1"/>
  <c r="Q144" i="84"/>
  <c r="O144" i="84"/>
  <c r="M144" i="84"/>
  <c r="K144" i="84"/>
  <c r="I144" i="84"/>
  <c r="G144" i="84"/>
  <c r="E144" i="84"/>
  <c r="C144" i="84"/>
  <c r="R143" i="84"/>
  <c r="S143" i="84" s="1"/>
  <c r="Q143" i="84"/>
  <c r="O143" i="84"/>
  <c r="M143" i="84"/>
  <c r="K143" i="84"/>
  <c r="I143" i="84"/>
  <c r="G143" i="84"/>
  <c r="E143" i="84"/>
  <c r="C143" i="84"/>
  <c r="R142" i="84"/>
  <c r="S142" i="84" s="1"/>
  <c r="Q142" i="84"/>
  <c r="O142" i="84"/>
  <c r="M142" i="84"/>
  <c r="K142" i="84"/>
  <c r="I142" i="84"/>
  <c r="G142" i="84"/>
  <c r="E142" i="84"/>
  <c r="C142" i="84"/>
  <c r="R141" i="84"/>
  <c r="S141" i="84" s="1"/>
  <c r="Q141" i="84"/>
  <c r="O141" i="84"/>
  <c r="M141" i="84"/>
  <c r="K141" i="84"/>
  <c r="I141" i="84"/>
  <c r="G141" i="84"/>
  <c r="E141" i="84"/>
  <c r="C141" i="84"/>
  <c r="R140" i="84"/>
  <c r="S140" i="84" s="1"/>
  <c r="Q140" i="84"/>
  <c r="O140" i="84"/>
  <c r="M140" i="84"/>
  <c r="K140" i="84"/>
  <c r="I140" i="84"/>
  <c r="G140" i="84"/>
  <c r="E140" i="84"/>
  <c r="C140" i="84"/>
  <c r="R139" i="84"/>
  <c r="S139" i="84" s="1"/>
  <c r="Q139" i="84"/>
  <c r="O139" i="84"/>
  <c r="M139" i="84"/>
  <c r="K139" i="84"/>
  <c r="I139" i="84"/>
  <c r="G139" i="84"/>
  <c r="E139" i="84"/>
  <c r="C139" i="84"/>
  <c r="R138" i="84"/>
  <c r="S138" i="84" s="1"/>
  <c r="Q138" i="84"/>
  <c r="O138" i="84"/>
  <c r="M138" i="84"/>
  <c r="K138" i="84"/>
  <c r="I138" i="84"/>
  <c r="G138" i="84"/>
  <c r="E138" i="84"/>
  <c r="C138" i="84"/>
  <c r="R137" i="84"/>
  <c r="S137" i="84" s="1"/>
  <c r="Q137" i="84"/>
  <c r="O137" i="84"/>
  <c r="M137" i="84"/>
  <c r="K137" i="84"/>
  <c r="I137" i="84"/>
  <c r="G137" i="84"/>
  <c r="E137" i="84"/>
  <c r="C137" i="84"/>
  <c r="R136" i="84"/>
  <c r="S136" i="84" s="1"/>
  <c r="Q136" i="84"/>
  <c r="O136" i="84"/>
  <c r="M136" i="84"/>
  <c r="K136" i="84"/>
  <c r="I136" i="84"/>
  <c r="G136" i="84"/>
  <c r="E136" i="84"/>
  <c r="C136" i="84"/>
  <c r="R135" i="84"/>
  <c r="S135" i="84" s="1"/>
  <c r="Q135" i="84"/>
  <c r="O135" i="84"/>
  <c r="M135" i="84"/>
  <c r="K135" i="84"/>
  <c r="I135" i="84"/>
  <c r="G135" i="84"/>
  <c r="E135" i="84"/>
  <c r="C135" i="84"/>
  <c r="R134" i="84"/>
  <c r="S134" i="84" s="1"/>
  <c r="Q134" i="84"/>
  <c r="O134" i="84"/>
  <c r="M134" i="84"/>
  <c r="K134" i="84"/>
  <c r="I134" i="84"/>
  <c r="G134" i="84"/>
  <c r="E134" i="84"/>
  <c r="C134" i="84"/>
  <c r="R133" i="84"/>
  <c r="S133" i="84" s="1"/>
  <c r="Q133" i="84"/>
  <c r="O133" i="84"/>
  <c r="M133" i="84"/>
  <c r="K133" i="84"/>
  <c r="I133" i="84"/>
  <c r="G133" i="84"/>
  <c r="E133" i="84"/>
  <c r="C133" i="84"/>
  <c r="R132" i="84"/>
  <c r="S132" i="84" s="1"/>
  <c r="Q132" i="84"/>
  <c r="O132" i="84"/>
  <c r="M132" i="84"/>
  <c r="K132" i="84"/>
  <c r="I132" i="84"/>
  <c r="G132" i="84"/>
  <c r="E132" i="84"/>
  <c r="C132" i="84"/>
  <c r="R131" i="84"/>
  <c r="S131" i="84" s="1"/>
  <c r="Q131" i="84"/>
  <c r="O131" i="84"/>
  <c r="M131" i="84"/>
  <c r="K131" i="84"/>
  <c r="I131" i="84"/>
  <c r="G131" i="84"/>
  <c r="E131" i="84"/>
  <c r="C131" i="84"/>
  <c r="R130" i="84"/>
  <c r="S130" i="84" s="1"/>
  <c r="Q130" i="84"/>
  <c r="O130" i="84"/>
  <c r="M130" i="84"/>
  <c r="K130" i="84"/>
  <c r="I130" i="84"/>
  <c r="G130" i="84"/>
  <c r="E130" i="84"/>
  <c r="C130" i="84"/>
  <c r="R129" i="84"/>
  <c r="S129" i="84" s="1"/>
  <c r="Q129" i="84"/>
  <c r="O129" i="84"/>
  <c r="M129" i="84"/>
  <c r="K129" i="84"/>
  <c r="I129" i="84"/>
  <c r="G129" i="84"/>
  <c r="E129" i="84"/>
  <c r="C129" i="84"/>
  <c r="R128" i="84"/>
  <c r="S128" i="84" s="1"/>
  <c r="Q128" i="84"/>
  <c r="O128" i="84"/>
  <c r="M128" i="84"/>
  <c r="K128" i="84"/>
  <c r="I128" i="84"/>
  <c r="G128" i="84"/>
  <c r="E128" i="84"/>
  <c r="C128" i="84"/>
  <c r="R127" i="84"/>
  <c r="S127" i="84" s="1"/>
  <c r="Q127" i="84"/>
  <c r="O127" i="84"/>
  <c r="M127" i="84"/>
  <c r="K127" i="84"/>
  <c r="I127" i="84"/>
  <c r="G127" i="84"/>
  <c r="E127" i="84"/>
  <c r="C127" i="84"/>
  <c r="R126" i="84"/>
  <c r="S126" i="84" s="1"/>
  <c r="Q126" i="84"/>
  <c r="O126" i="84"/>
  <c r="M126" i="84"/>
  <c r="K126" i="84"/>
  <c r="I126" i="84"/>
  <c r="G126" i="84"/>
  <c r="E126" i="84"/>
  <c r="C126" i="84"/>
  <c r="R125" i="84"/>
  <c r="S125" i="84" s="1"/>
  <c r="Q125" i="84"/>
  <c r="O125" i="84"/>
  <c r="M125" i="84"/>
  <c r="K125" i="84"/>
  <c r="I125" i="84"/>
  <c r="G125" i="84"/>
  <c r="E125" i="84"/>
  <c r="C125" i="84"/>
  <c r="R124" i="84"/>
  <c r="S124" i="84" s="1"/>
  <c r="Q124" i="84"/>
  <c r="O124" i="84"/>
  <c r="M124" i="84"/>
  <c r="K124" i="84"/>
  <c r="I124" i="84"/>
  <c r="G124" i="84"/>
  <c r="E124" i="84"/>
  <c r="C124" i="84"/>
  <c r="R123" i="84"/>
  <c r="S123" i="84" s="1"/>
  <c r="Q123" i="84"/>
  <c r="O123" i="84"/>
  <c r="M123" i="84"/>
  <c r="K123" i="84"/>
  <c r="I123" i="84"/>
  <c r="G123" i="84"/>
  <c r="E123" i="84"/>
  <c r="C123" i="84"/>
  <c r="R122" i="84"/>
  <c r="S122" i="84" s="1"/>
  <c r="Q122" i="84"/>
  <c r="O122" i="84"/>
  <c r="M122" i="84"/>
  <c r="K122" i="84"/>
  <c r="I122" i="84"/>
  <c r="G122" i="84"/>
  <c r="E122" i="84"/>
  <c r="C122" i="84"/>
  <c r="R121" i="84"/>
  <c r="S121" i="84" s="1"/>
  <c r="Q121" i="84"/>
  <c r="O121" i="84"/>
  <c r="M121" i="84"/>
  <c r="K121" i="84"/>
  <c r="I121" i="84"/>
  <c r="G121" i="84"/>
  <c r="E121" i="84"/>
  <c r="C121" i="84"/>
  <c r="R120" i="84"/>
  <c r="S120" i="84" s="1"/>
  <c r="Q120" i="84"/>
  <c r="O120" i="84"/>
  <c r="M120" i="84"/>
  <c r="K120" i="84"/>
  <c r="I120" i="84"/>
  <c r="G120" i="84"/>
  <c r="E120" i="84"/>
  <c r="C120" i="84"/>
  <c r="R119" i="84"/>
  <c r="S119" i="84" s="1"/>
  <c r="Q119" i="84"/>
  <c r="O119" i="84"/>
  <c r="M119" i="84"/>
  <c r="K119" i="84"/>
  <c r="I119" i="84"/>
  <c r="G119" i="84"/>
  <c r="E119" i="84"/>
  <c r="C119" i="84"/>
  <c r="R118" i="84"/>
  <c r="S118" i="84" s="1"/>
  <c r="Q118" i="84"/>
  <c r="O118" i="84"/>
  <c r="M118" i="84"/>
  <c r="K118" i="84"/>
  <c r="I118" i="84"/>
  <c r="G118" i="84"/>
  <c r="E118" i="84"/>
  <c r="C118" i="84"/>
  <c r="R117" i="84"/>
  <c r="S117" i="84" s="1"/>
  <c r="Q117" i="84"/>
  <c r="O117" i="84"/>
  <c r="M117" i="84"/>
  <c r="K117" i="84"/>
  <c r="I117" i="84"/>
  <c r="G117" i="84"/>
  <c r="E117" i="84"/>
  <c r="C117" i="84"/>
  <c r="R116" i="84"/>
  <c r="S116" i="84" s="1"/>
  <c r="Q116" i="84"/>
  <c r="O116" i="84"/>
  <c r="M116" i="84"/>
  <c r="K116" i="84"/>
  <c r="I116" i="84"/>
  <c r="G116" i="84"/>
  <c r="E116" i="84"/>
  <c r="C116" i="84"/>
  <c r="R115" i="84"/>
  <c r="S115" i="84" s="1"/>
  <c r="Q115" i="84"/>
  <c r="O115" i="84"/>
  <c r="M115" i="84"/>
  <c r="K115" i="84"/>
  <c r="I115" i="84"/>
  <c r="G115" i="84"/>
  <c r="E115" i="84"/>
  <c r="C115" i="84"/>
  <c r="R114" i="84"/>
  <c r="S114" i="84" s="1"/>
  <c r="Q114" i="84"/>
  <c r="O114" i="84"/>
  <c r="M114" i="84"/>
  <c r="K114" i="84"/>
  <c r="I114" i="84"/>
  <c r="G114" i="84"/>
  <c r="E114" i="84"/>
  <c r="C114" i="84"/>
  <c r="R113" i="84"/>
  <c r="S113" i="84" s="1"/>
  <c r="Q113" i="84"/>
  <c r="O113" i="84"/>
  <c r="M113" i="84"/>
  <c r="K113" i="84"/>
  <c r="I113" i="84"/>
  <c r="G113" i="84"/>
  <c r="E113" i="84"/>
  <c r="C113" i="84"/>
  <c r="R112" i="84"/>
  <c r="S112" i="84" s="1"/>
  <c r="Q112" i="84"/>
  <c r="O112" i="84"/>
  <c r="M112" i="84"/>
  <c r="K112" i="84"/>
  <c r="I112" i="84"/>
  <c r="G112" i="84"/>
  <c r="E112" i="84"/>
  <c r="C112" i="84"/>
  <c r="R111" i="84"/>
  <c r="S111" i="84" s="1"/>
  <c r="Q111" i="84"/>
  <c r="O111" i="84"/>
  <c r="M111" i="84"/>
  <c r="K111" i="84"/>
  <c r="I111" i="84"/>
  <c r="G111" i="84"/>
  <c r="E111" i="84"/>
  <c r="C111" i="84"/>
  <c r="R110" i="84"/>
  <c r="S110" i="84" s="1"/>
  <c r="Q110" i="84"/>
  <c r="O110" i="84"/>
  <c r="M110" i="84"/>
  <c r="K110" i="84"/>
  <c r="I110" i="84"/>
  <c r="G110" i="84"/>
  <c r="E110" i="84"/>
  <c r="C110" i="84"/>
  <c r="R109" i="84"/>
  <c r="S109" i="84" s="1"/>
  <c r="Q109" i="84"/>
  <c r="O109" i="84"/>
  <c r="M109" i="84"/>
  <c r="K109" i="84"/>
  <c r="I109" i="84"/>
  <c r="G109" i="84"/>
  <c r="E109" i="84"/>
  <c r="C109" i="84"/>
  <c r="R108" i="84"/>
  <c r="S108" i="84" s="1"/>
  <c r="Q108" i="84"/>
  <c r="O108" i="84"/>
  <c r="M108" i="84"/>
  <c r="K108" i="84"/>
  <c r="I108" i="84"/>
  <c r="G108" i="84"/>
  <c r="E108" i="84"/>
  <c r="C108" i="84"/>
  <c r="R107" i="84"/>
  <c r="S107" i="84" s="1"/>
  <c r="Q107" i="84"/>
  <c r="O107" i="84"/>
  <c r="M107" i="84"/>
  <c r="K107" i="84"/>
  <c r="I107" i="84"/>
  <c r="G107" i="84"/>
  <c r="E107" i="84"/>
  <c r="C107" i="84"/>
  <c r="R106" i="84"/>
  <c r="S106" i="84" s="1"/>
  <c r="Q106" i="84"/>
  <c r="O106" i="84"/>
  <c r="M106" i="84"/>
  <c r="K106" i="84"/>
  <c r="I106" i="84"/>
  <c r="G106" i="84"/>
  <c r="E106" i="84"/>
  <c r="C106" i="84"/>
  <c r="R105" i="84"/>
  <c r="S105" i="84" s="1"/>
  <c r="Q105" i="84"/>
  <c r="O105" i="84"/>
  <c r="M105" i="84"/>
  <c r="K105" i="84"/>
  <c r="I105" i="84"/>
  <c r="G105" i="84"/>
  <c r="E105" i="84"/>
  <c r="C105" i="84"/>
  <c r="R104" i="84"/>
  <c r="S104" i="84" s="1"/>
  <c r="Q104" i="84"/>
  <c r="O104" i="84"/>
  <c r="M104" i="84"/>
  <c r="K104" i="84"/>
  <c r="I104" i="84"/>
  <c r="G104" i="84"/>
  <c r="E104" i="84"/>
  <c r="C104" i="84"/>
  <c r="R103" i="84"/>
  <c r="S103" i="84" s="1"/>
  <c r="Q103" i="84"/>
  <c r="O103" i="84"/>
  <c r="M103" i="84"/>
  <c r="K103" i="84"/>
  <c r="I103" i="84"/>
  <c r="G103" i="84"/>
  <c r="E103" i="84"/>
  <c r="C103" i="84"/>
  <c r="R102" i="84"/>
  <c r="S102" i="84" s="1"/>
  <c r="Q102" i="84"/>
  <c r="O102" i="84"/>
  <c r="M102" i="84"/>
  <c r="K102" i="84"/>
  <c r="I102" i="84"/>
  <c r="G102" i="84"/>
  <c r="E102" i="84"/>
  <c r="C102" i="84"/>
  <c r="R101" i="84"/>
  <c r="S101" i="84" s="1"/>
  <c r="Q101" i="84"/>
  <c r="O101" i="84"/>
  <c r="M101" i="84"/>
  <c r="K101" i="84"/>
  <c r="I101" i="84"/>
  <c r="G101" i="84"/>
  <c r="E101" i="84"/>
  <c r="C101" i="84"/>
  <c r="R100" i="84"/>
  <c r="S100" i="84" s="1"/>
  <c r="Q100" i="84"/>
  <c r="O100" i="84"/>
  <c r="M100" i="84"/>
  <c r="K100" i="84"/>
  <c r="I100" i="84"/>
  <c r="G100" i="84"/>
  <c r="E100" i="84"/>
  <c r="C100" i="84"/>
  <c r="R99" i="84"/>
  <c r="S99" i="84" s="1"/>
  <c r="Q99" i="84"/>
  <c r="O99" i="84"/>
  <c r="M99" i="84"/>
  <c r="K99" i="84"/>
  <c r="I99" i="84"/>
  <c r="G99" i="84"/>
  <c r="E99" i="84"/>
  <c r="C99" i="84"/>
  <c r="R98" i="84"/>
  <c r="S98" i="84" s="1"/>
  <c r="Q98" i="84"/>
  <c r="O98" i="84"/>
  <c r="M98" i="84"/>
  <c r="K98" i="84"/>
  <c r="I98" i="84"/>
  <c r="G98" i="84"/>
  <c r="E98" i="84"/>
  <c r="C98" i="84"/>
  <c r="R97" i="84"/>
  <c r="S97" i="84" s="1"/>
  <c r="Q97" i="84"/>
  <c r="O97" i="84"/>
  <c r="M97" i="84"/>
  <c r="K97" i="84"/>
  <c r="I97" i="84"/>
  <c r="G97" i="84"/>
  <c r="E97" i="84"/>
  <c r="C97" i="84"/>
  <c r="R96" i="84"/>
  <c r="S96" i="84" s="1"/>
  <c r="Q96" i="84"/>
  <c r="O96" i="84"/>
  <c r="M96" i="84"/>
  <c r="K96" i="84"/>
  <c r="I96" i="84"/>
  <c r="G96" i="84"/>
  <c r="E96" i="84"/>
  <c r="C96" i="84"/>
  <c r="R95" i="84"/>
  <c r="S95" i="84" s="1"/>
  <c r="Q95" i="84"/>
  <c r="O95" i="84"/>
  <c r="M95" i="84"/>
  <c r="K95" i="84"/>
  <c r="I95" i="84"/>
  <c r="G95" i="84"/>
  <c r="E95" i="84"/>
  <c r="C95" i="84"/>
  <c r="R94" i="84"/>
  <c r="S94" i="84" s="1"/>
  <c r="Q94" i="84"/>
  <c r="O94" i="84"/>
  <c r="M94" i="84"/>
  <c r="K94" i="84"/>
  <c r="I94" i="84"/>
  <c r="G94" i="84"/>
  <c r="E94" i="84"/>
  <c r="C94" i="84"/>
  <c r="R93" i="84"/>
  <c r="S93" i="84" s="1"/>
  <c r="Q93" i="84"/>
  <c r="O93" i="84"/>
  <c r="M93" i="84"/>
  <c r="K93" i="84"/>
  <c r="I93" i="84"/>
  <c r="G93" i="84"/>
  <c r="E93" i="84"/>
  <c r="C93" i="84"/>
  <c r="R92" i="84"/>
  <c r="S92" i="84" s="1"/>
  <c r="Q92" i="84"/>
  <c r="O92" i="84"/>
  <c r="M92" i="84"/>
  <c r="K92" i="84"/>
  <c r="I92" i="84"/>
  <c r="G92" i="84"/>
  <c r="E92" i="84"/>
  <c r="C92" i="84"/>
  <c r="R91" i="84"/>
  <c r="S91" i="84" s="1"/>
  <c r="Q91" i="84"/>
  <c r="O91" i="84"/>
  <c r="M91" i="84"/>
  <c r="K91" i="84"/>
  <c r="I91" i="84"/>
  <c r="G91" i="84"/>
  <c r="E91" i="84"/>
  <c r="C91" i="84"/>
  <c r="R90" i="84"/>
  <c r="S90" i="84" s="1"/>
  <c r="Q90" i="84"/>
  <c r="O90" i="84"/>
  <c r="M90" i="84"/>
  <c r="K90" i="84"/>
  <c r="I90" i="84"/>
  <c r="G90" i="84"/>
  <c r="E90" i="84"/>
  <c r="C90" i="84"/>
  <c r="R89" i="84"/>
  <c r="S89" i="84" s="1"/>
  <c r="Q89" i="84"/>
  <c r="O89" i="84"/>
  <c r="M89" i="84"/>
  <c r="K89" i="84"/>
  <c r="I89" i="84"/>
  <c r="G89" i="84"/>
  <c r="E89" i="84"/>
  <c r="C89" i="84"/>
  <c r="R88" i="84"/>
  <c r="S88" i="84" s="1"/>
  <c r="Q88" i="84"/>
  <c r="O88" i="84"/>
  <c r="M88" i="84"/>
  <c r="K88" i="84"/>
  <c r="I88" i="84"/>
  <c r="G88" i="84"/>
  <c r="E88" i="84"/>
  <c r="C88" i="84"/>
  <c r="R87" i="84"/>
  <c r="S87" i="84" s="1"/>
  <c r="Q87" i="84"/>
  <c r="O87" i="84"/>
  <c r="M87" i="84"/>
  <c r="K87" i="84"/>
  <c r="I87" i="84"/>
  <c r="G87" i="84"/>
  <c r="E87" i="84"/>
  <c r="C87" i="84"/>
  <c r="R86" i="84"/>
  <c r="S86" i="84" s="1"/>
  <c r="Q86" i="84"/>
  <c r="O86" i="84"/>
  <c r="M86" i="84"/>
  <c r="K86" i="84"/>
  <c r="I86" i="84"/>
  <c r="G86" i="84"/>
  <c r="E86" i="84"/>
  <c r="C86" i="84"/>
  <c r="R85" i="84"/>
  <c r="S85" i="84" s="1"/>
  <c r="Q85" i="84"/>
  <c r="O85" i="84"/>
  <c r="M85" i="84"/>
  <c r="K85" i="84"/>
  <c r="I85" i="84"/>
  <c r="G85" i="84"/>
  <c r="E85" i="84"/>
  <c r="C85" i="84"/>
  <c r="R84" i="84"/>
  <c r="S84" i="84" s="1"/>
  <c r="Q84" i="84"/>
  <c r="O84" i="84"/>
  <c r="M84" i="84"/>
  <c r="K84" i="84"/>
  <c r="I84" i="84"/>
  <c r="G84" i="84"/>
  <c r="E84" i="84"/>
  <c r="C84" i="84"/>
  <c r="R83" i="84"/>
  <c r="S83" i="84" s="1"/>
  <c r="Q83" i="84"/>
  <c r="O83" i="84"/>
  <c r="M83" i="84"/>
  <c r="K83" i="84"/>
  <c r="I83" i="84"/>
  <c r="G83" i="84"/>
  <c r="E83" i="84"/>
  <c r="C83" i="84"/>
  <c r="R82" i="84"/>
  <c r="S82" i="84" s="1"/>
  <c r="Q82" i="84"/>
  <c r="O82" i="84"/>
  <c r="M82" i="84"/>
  <c r="K82" i="84"/>
  <c r="I82" i="84"/>
  <c r="G82" i="84"/>
  <c r="E82" i="84"/>
  <c r="C82" i="84"/>
  <c r="R81" i="84"/>
  <c r="S81" i="84" s="1"/>
  <c r="Q81" i="84"/>
  <c r="O81" i="84"/>
  <c r="M81" i="84"/>
  <c r="K81" i="84"/>
  <c r="I81" i="84"/>
  <c r="G81" i="84"/>
  <c r="E81" i="84"/>
  <c r="C81" i="84"/>
  <c r="R80" i="84"/>
  <c r="S80" i="84" s="1"/>
  <c r="Q80" i="84"/>
  <c r="O80" i="84"/>
  <c r="M80" i="84"/>
  <c r="K80" i="84"/>
  <c r="I80" i="84"/>
  <c r="G80" i="84"/>
  <c r="E80" i="84"/>
  <c r="C80" i="84"/>
  <c r="R79" i="84"/>
  <c r="S79" i="84" s="1"/>
  <c r="Q79" i="84"/>
  <c r="O79" i="84"/>
  <c r="M79" i="84"/>
  <c r="K79" i="84"/>
  <c r="I79" i="84"/>
  <c r="G79" i="84"/>
  <c r="E79" i="84"/>
  <c r="C79" i="84"/>
  <c r="R78" i="84"/>
  <c r="S78" i="84" s="1"/>
  <c r="Q78" i="84"/>
  <c r="O78" i="84"/>
  <c r="M78" i="84"/>
  <c r="K78" i="84"/>
  <c r="I78" i="84"/>
  <c r="G78" i="84"/>
  <c r="E78" i="84"/>
  <c r="C78" i="84"/>
  <c r="R77" i="84"/>
  <c r="S77" i="84" s="1"/>
  <c r="Q77" i="84"/>
  <c r="O77" i="84"/>
  <c r="M77" i="84"/>
  <c r="K77" i="84"/>
  <c r="I77" i="84"/>
  <c r="G77" i="84"/>
  <c r="E77" i="84"/>
  <c r="C77" i="84"/>
  <c r="R76" i="84"/>
  <c r="S76" i="84" s="1"/>
  <c r="Q76" i="84"/>
  <c r="O76" i="84"/>
  <c r="M76" i="84"/>
  <c r="K76" i="84"/>
  <c r="I76" i="84"/>
  <c r="G76" i="84"/>
  <c r="E76" i="84"/>
  <c r="C76" i="84"/>
  <c r="R75" i="84"/>
  <c r="S75" i="84" s="1"/>
  <c r="Q75" i="84"/>
  <c r="O75" i="84"/>
  <c r="M75" i="84"/>
  <c r="K75" i="84"/>
  <c r="I75" i="84"/>
  <c r="G75" i="84"/>
  <c r="E75" i="84"/>
  <c r="C75" i="84"/>
  <c r="R74" i="84"/>
  <c r="S74" i="84" s="1"/>
  <c r="Q74" i="84"/>
  <c r="O74" i="84"/>
  <c r="M74" i="84"/>
  <c r="K74" i="84"/>
  <c r="I74" i="84"/>
  <c r="G74" i="84"/>
  <c r="E74" i="84"/>
  <c r="C74" i="84"/>
  <c r="R73" i="84"/>
  <c r="S73" i="84" s="1"/>
  <c r="Q73" i="84"/>
  <c r="O73" i="84"/>
  <c r="M73" i="84"/>
  <c r="K73" i="84"/>
  <c r="I73" i="84"/>
  <c r="G73" i="84"/>
  <c r="E73" i="84"/>
  <c r="C73" i="84"/>
  <c r="R72" i="84"/>
  <c r="S72" i="84" s="1"/>
  <c r="Q72" i="84"/>
  <c r="O72" i="84"/>
  <c r="M72" i="84"/>
  <c r="K72" i="84"/>
  <c r="I72" i="84"/>
  <c r="G72" i="84"/>
  <c r="E72" i="84"/>
  <c r="C72" i="84"/>
  <c r="R71" i="84"/>
  <c r="S71" i="84" s="1"/>
  <c r="Q71" i="84"/>
  <c r="O71" i="84"/>
  <c r="M71" i="84"/>
  <c r="K71" i="84"/>
  <c r="I71" i="84"/>
  <c r="G71" i="84"/>
  <c r="E71" i="84"/>
  <c r="C71" i="84"/>
  <c r="R70" i="84"/>
  <c r="S70" i="84" s="1"/>
  <c r="Q70" i="84"/>
  <c r="O70" i="84"/>
  <c r="M70" i="84"/>
  <c r="K70" i="84"/>
  <c r="I70" i="84"/>
  <c r="G70" i="84"/>
  <c r="E70" i="84"/>
  <c r="C70" i="84"/>
  <c r="R69" i="84"/>
  <c r="S69" i="84" s="1"/>
  <c r="Q69" i="84"/>
  <c r="O69" i="84"/>
  <c r="M69" i="84"/>
  <c r="K69" i="84"/>
  <c r="I69" i="84"/>
  <c r="G69" i="84"/>
  <c r="E69" i="84"/>
  <c r="C69" i="84"/>
  <c r="R68" i="84"/>
  <c r="S68" i="84" s="1"/>
  <c r="Q68" i="84"/>
  <c r="O68" i="84"/>
  <c r="M68" i="84"/>
  <c r="K68" i="84"/>
  <c r="I68" i="84"/>
  <c r="G68" i="84"/>
  <c r="E68" i="84"/>
  <c r="C68" i="84"/>
  <c r="R67" i="84"/>
  <c r="S67" i="84" s="1"/>
  <c r="Q67" i="84"/>
  <c r="O67" i="84"/>
  <c r="M67" i="84"/>
  <c r="K67" i="84"/>
  <c r="I67" i="84"/>
  <c r="G67" i="84"/>
  <c r="E67" i="84"/>
  <c r="C67" i="84"/>
  <c r="Q66" i="84"/>
  <c r="O66" i="84"/>
  <c r="M66" i="84"/>
  <c r="K66" i="84"/>
  <c r="I66" i="84"/>
  <c r="G66" i="84"/>
  <c r="E66" i="84"/>
  <c r="C66" i="84"/>
  <c r="Q65" i="84"/>
  <c r="O65" i="84"/>
  <c r="M65" i="84"/>
  <c r="K65" i="84"/>
  <c r="I65" i="84"/>
  <c r="G65" i="84"/>
  <c r="E65" i="84"/>
  <c r="C65" i="84"/>
  <c r="Q64" i="84"/>
  <c r="O64" i="84"/>
  <c r="M64" i="84"/>
  <c r="K64" i="84"/>
  <c r="I64" i="84"/>
  <c r="G64" i="84"/>
  <c r="E64" i="84"/>
  <c r="C64" i="84"/>
  <c r="Q63" i="84"/>
  <c r="O63" i="84"/>
  <c r="M63" i="84"/>
  <c r="K63" i="84"/>
  <c r="I63" i="84"/>
  <c r="G63" i="84"/>
  <c r="E63" i="84"/>
  <c r="C63" i="84"/>
  <c r="Q62" i="84"/>
  <c r="O62" i="84"/>
  <c r="M62" i="84"/>
  <c r="K62" i="84"/>
  <c r="I62" i="84"/>
  <c r="G62" i="84"/>
  <c r="E62" i="84"/>
  <c r="C62" i="84"/>
  <c r="Q61" i="84"/>
  <c r="O61" i="84"/>
  <c r="M61" i="84"/>
  <c r="K61" i="84"/>
  <c r="I61" i="84"/>
  <c r="G61" i="84"/>
  <c r="E61" i="84"/>
  <c r="C61" i="84"/>
  <c r="Q60" i="84"/>
  <c r="O60" i="84"/>
  <c r="M60" i="84"/>
  <c r="K60" i="84"/>
  <c r="I60" i="84"/>
  <c r="G60" i="84"/>
  <c r="E60" i="84"/>
  <c r="C60" i="84"/>
  <c r="Q59" i="84"/>
  <c r="O59" i="84"/>
  <c r="M59" i="84"/>
  <c r="K59" i="84"/>
  <c r="I59" i="84"/>
  <c r="G59" i="84"/>
  <c r="E59" i="84"/>
  <c r="C59" i="84"/>
  <c r="Q58" i="84"/>
  <c r="O58" i="84"/>
  <c r="M58" i="84"/>
  <c r="K58" i="84"/>
  <c r="I58" i="84"/>
  <c r="G58" i="84"/>
  <c r="E58" i="84"/>
  <c r="C58" i="84"/>
  <c r="Q57" i="84"/>
  <c r="O57" i="84"/>
  <c r="M57" i="84"/>
  <c r="K57" i="84"/>
  <c r="I57" i="84"/>
  <c r="G57" i="84"/>
  <c r="E57" i="84"/>
  <c r="C57" i="84"/>
  <c r="Q56" i="84"/>
  <c r="O56" i="84"/>
  <c r="M56" i="84"/>
  <c r="K56" i="84"/>
  <c r="I56" i="84"/>
  <c r="G56" i="84"/>
  <c r="E56" i="84"/>
  <c r="C56" i="84"/>
  <c r="Q55" i="84"/>
  <c r="O55" i="84"/>
  <c r="M55" i="84"/>
  <c r="K55" i="84"/>
  <c r="I55" i="84"/>
  <c r="G55" i="84"/>
  <c r="E55" i="84"/>
  <c r="C55" i="84"/>
  <c r="Q54" i="84"/>
  <c r="O54" i="84"/>
  <c r="M54" i="84"/>
  <c r="K54" i="84"/>
  <c r="I54" i="84"/>
  <c r="G54" i="84"/>
  <c r="E54" i="84"/>
  <c r="C54" i="84"/>
  <c r="Q53" i="84"/>
  <c r="O53" i="84"/>
  <c r="M53" i="84"/>
  <c r="K53" i="84"/>
  <c r="I53" i="84"/>
  <c r="G53" i="84"/>
  <c r="E53" i="84"/>
  <c r="C53" i="84"/>
  <c r="Q52" i="84"/>
  <c r="O52" i="84"/>
  <c r="M52" i="84"/>
  <c r="K52" i="84"/>
  <c r="I52" i="84"/>
  <c r="G52" i="84"/>
  <c r="E52" i="84"/>
  <c r="C52" i="84"/>
  <c r="Q51" i="84"/>
  <c r="O51" i="84"/>
  <c r="M51" i="84"/>
  <c r="K51" i="84"/>
  <c r="I51" i="84"/>
  <c r="G51" i="84"/>
  <c r="E51" i="84"/>
  <c r="C51" i="84"/>
  <c r="Q50" i="84"/>
  <c r="O50" i="84"/>
  <c r="M50" i="84"/>
  <c r="K50" i="84"/>
  <c r="I50" i="84"/>
  <c r="G50" i="84"/>
  <c r="E50" i="84"/>
  <c r="C50" i="84"/>
  <c r="Q49" i="84"/>
  <c r="O49" i="84"/>
  <c r="M49" i="84"/>
  <c r="K49" i="84"/>
  <c r="I49" i="84"/>
  <c r="G49" i="84"/>
  <c r="E49" i="84"/>
  <c r="C49" i="84"/>
  <c r="Q48" i="84"/>
  <c r="O48" i="84"/>
  <c r="M48" i="84"/>
  <c r="K48" i="84"/>
  <c r="I48" i="84"/>
  <c r="G48" i="84"/>
  <c r="E48" i="84"/>
  <c r="C48" i="84"/>
  <c r="Q47" i="84"/>
  <c r="O47" i="84"/>
  <c r="M47" i="84"/>
  <c r="K47" i="84"/>
  <c r="I47" i="84"/>
  <c r="G47" i="84"/>
  <c r="E47" i="84"/>
  <c r="C47" i="84"/>
  <c r="Q46" i="84"/>
  <c r="O46" i="84"/>
  <c r="M46" i="84"/>
  <c r="K46" i="84"/>
  <c r="I46" i="84"/>
  <c r="G46" i="84"/>
  <c r="E46" i="84"/>
  <c r="C46" i="84"/>
  <c r="Q45" i="84"/>
  <c r="O45" i="84"/>
  <c r="M45" i="84"/>
  <c r="K45" i="84"/>
  <c r="I45" i="84"/>
  <c r="G45" i="84"/>
  <c r="E45" i="84"/>
  <c r="C45" i="84"/>
  <c r="Q44" i="84"/>
  <c r="O44" i="84"/>
  <c r="M44" i="84"/>
  <c r="K44" i="84"/>
  <c r="I44" i="84"/>
  <c r="G44" i="84"/>
  <c r="E44" i="84"/>
  <c r="C44" i="84"/>
  <c r="Q43" i="84"/>
  <c r="O43" i="84"/>
  <c r="M43" i="84"/>
  <c r="K43" i="84"/>
  <c r="I43" i="84"/>
  <c r="G43" i="84"/>
  <c r="E43" i="84"/>
  <c r="C43" i="84"/>
  <c r="Q42" i="84"/>
  <c r="O42" i="84"/>
  <c r="M42" i="84"/>
  <c r="K42" i="84"/>
  <c r="I42" i="84"/>
  <c r="G42" i="84"/>
  <c r="E42" i="84"/>
  <c r="C42" i="84"/>
  <c r="Q41" i="84"/>
  <c r="O41" i="84"/>
  <c r="M41" i="84"/>
  <c r="K41" i="84"/>
  <c r="I41" i="84"/>
  <c r="G41" i="84"/>
  <c r="E41" i="84"/>
  <c r="C41" i="84"/>
  <c r="Q40" i="84"/>
  <c r="O40" i="84"/>
  <c r="M40" i="84"/>
  <c r="K40" i="84"/>
  <c r="I40" i="84"/>
  <c r="G40" i="84"/>
  <c r="E40" i="84"/>
  <c r="C40" i="84"/>
  <c r="Q39" i="84"/>
  <c r="O39" i="84"/>
  <c r="M39" i="84"/>
  <c r="K39" i="84"/>
  <c r="I39" i="84"/>
  <c r="G39" i="84"/>
  <c r="E39" i="84"/>
  <c r="C39" i="84"/>
  <c r="Q38" i="84"/>
  <c r="O38" i="84"/>
  <c r="M38" i="84"/>
  <c r="K38" i="84"/>
  <c r="I38" i="84"/>
  <c r="G38" i="84"/>
  <c r="E38" i="84"/>
  <c r="C38" i="84"/>
  <c r="Q37" i="84"/>
  <c r="O37" i="84"/>
  <c r="M37" i="84"/>
  <c r="K37" i="84"/>
  <c r="I37" i="84"/>
  <c r="G37" i="84"/>
  <c r="E37" i="84"/>
  <c r="C37" i="84"/>
  <c r="Q36" i="84"/>
  <c r="O36" i="84"/>
  <c r="M36" i="84"/>
  <c r="K36" i="84"/>
  <c r="I36" i="84"/>
  <c r="G36" i="84"/>
  <c r="E36" i="84"/>
  <c r="C36" i="84"/>
  <c r="Q35" i="84"/>
  <c r="O35" i="84"/>
  <c r="M35" i="84"/>
  <c r="K35" i="84"/>
  <c r="I35" i="84"/>
  <c r="G35" i="84"/>
  <c r="E35" i="84"/>
  <c r="C35" i="84"/>
  <c r="Q34" i="84"/>
  <c r="O34" i="84"/>
  <c r="M34" i="84"/>
  <c r="K34" i="84"/>
  <c r="I34" i="84"/>
  <c r="G34" i="84"/>
  <c r="E34" i="84"/>
  <c r="C34" i="84"/>
  <c r="Q33" i="84"/>
  <c r="O33" i="84"/>
  <c r="M33" i="84"/>
  <c r="K33" i="84"/>
  <c r="I33" i="84"/>
  <c r="G33" i="84"/>
  <c r="E33" i="84"/>
  <c r="C33" i="84"/>
  <c r="Q32" i="84"/>
  <c r="O32" i="84"/>
  <c r="M32" i="84"/>
  <c r="K32" i="84"/>
  <c r="I32" i="84"/>
  <c r="G32" i="84"/>
  <c r="E32" i="84"/>
  <c r="C32" i="84"/>
  <c r="Q31" i="84"/>
  <c r="O31" i="84"/>
  <c r="M31" i="84"/>
  <c r="K31" i="84"/>
  <c r="I31" i="84"/>
  <c r="G31" i="84"/>
  <c r="E31" i="84"/>
  <c r="C31" i="84"/>
  <c r="Q30" i="84"/>
  <c r="O30" i="84"/>
  <c r="M30" i="84"/>
  <c r="K30" i="84"/>
  <c r="I30" i="84"/>
  <c r="G30" i="84"/>
  <c r="E30" i="84"/>
  <c r="C30" i="84"/>
  <c r="Q29" i="84"/>
  <c r="O29" i="84"/>
  <c r="M29" i="84"/>
  <c r="K29" i="84"/>
  <c r="I29" i="84"/>
  <c r="G29" i="84"/>
  <c r="E29" i="84"/>
  <c r="C29" i="84"/>
  <c r="Q28" i="84"/>
  <c r="O28" i="84"/>
  <c r="M28" i="84"/>
  <c r="K28" i="84"/>
  <c r="I28" i="84"/>
  <c r="G28" i="84"/>
  <c r="E28" i="84"/>
  <c r="C28" i="84"/>
  <c r="Q27" i="84"/>
  <c r="O27" i="84"/>
  <c r="M27" i="84"/>
  <c r="K27" i="84"/>
  <c r="I27" i="84"/>
  <c r="G27" i="84"/>
  <c r="E27" i="84"/>
  <c r="C27" i="84"/>
  <c r="Q26" i="84"/>
  <c r="O26" i="84"/>
  <c r="M26" i="84"/>
  <c r="K26" i="84"/>
  <c r="I26" i="84"/>
  <c r="G26" i="84"/>
  <c r="E26" i="84"/>
  <c r="C26" i="84"/>
  <c r="Q25" i="84"/>
  <c r="O25" i="84"/>
  <c r="M25" i="84"/>
  <c r="K25" i="84"/>
  <c r="I25" i="84"/>
  <c r="G25" i="84"/>
  <c r="E25" i="84"/>
  <c r="C25" i="84"/>
  <c r="P23" i="84"/>
  <c r="N23" i="84"/>
  <c r="L23" i="84"/>
  <c r="J23" i="84"/>
  <c r="H23" i="84"/>
  <c r="F23" i="84"/>
  <c r="D23" i="84"/>
  <c r="B22" i="84"/>
  <c r="B16" i="74" s="1"/>
  <c r="E12" i="84"/>
  <c r="F12" i="84" s="1"/>
  <c r="G12" i="84" s="1"/>
  <c r="H12" i="84" s="1"/>
  <c r="I12" i="84" s="1"/>
  <c r="J12" i="84" s="1"/>
  <c r="K12" i="84" s="1"/>
  <c r="L12" i="84" s="1"/>
  <c r="M12" i="84" s="1"/>
  <c r="N12" i="84" s="1"/>
  <c r="O12" i="84" s="1"/>
  <c r="P12" i="84" s="1"/>
  <c r="Q12" i="84" s="1"/>
  <c r="R12" i="84" s="1"/>
  <c r="S12" i="84" s="1"/>
  <c r="D12" i="84"/>
  <c r="E10" i="84"/>
  <c r="F10" i="84" s="1"/>
  <c r="G10" i="84" s="1"/>
  <c r="H10" i="84" s="1"/>
  <c r="I10" i="84" s="1"/>
  <c r="J10" i="84" s="1"/>
  <c r="K10" i="84" s="1"/>
  <c r="L10" i="84" s="1"/>
  <c r="M10" i="84" s="1"/>
  <c r="N10" i="84" s="1"/>
  <c r="O10" i="84" s="1"/>
  <c r="P10" i="84" s="1"/>
  <c r="Q10" i="84" s="1"/>
  <c r="R10" i="84" s="1"/>
  <c r="S10" i="84" s="1"/>
  <c r="D10" i="84"/>
  <c r="E8" i="84"/>
  <c r="F8" i="84" s="1"/>
  <c r="G8" i="84" s="1"/>
  <c r="H8" i="84" s="1"/>
  <c r="I8" i="84" s="1"/>
  <c r="J8" i="84" s="1"/>
  <c r="K8" i="84" s="1"/>
  <c r="L8" i="84" s="1"/>
  <c r="M8" i="84" s="1"/>
  <c r="N8" i="84" s="1"/>
  <c r="O8" i="84" s="1"/>
  <c r="P8" i="84" s="1"/>
  <c r="Q8" i="84" s="1"/>
  <c r="R8" i="84" s="1"/>
  <c r="S8" i="84" s="1"/>
  <c r="D8" i="84"/>
  <c r="E6" i="84"/>
  <c r="F6" i="84" s="1"/>
  <c r="G6" i="84" s="1"/>
  <c r="H6" i="84" s="1"/>
  <c r="I6" i="84" s="1"/>
  <c r="J6" i="84" s="1"/>
  <c r="K6" i="84" s="1"/>
  <c r="L6" i="84" s="1"/>
  <c r="M6" i="84" s="1"/>
  <c r="N6" i="84" s="1"/>
  <c r="O6" i="84" s="1"/>
  <c r="P6" i="84" s="1"/>
  <c r="Q6" i="84" s="1"/>
  <c r="R6" i="84" s="1"/>
  <c r="S6" i="84" s="1"/>
  <c r="D6" i="84"/>
  <c r="S2" i="84"/>
  <c r="R2" i="84"/>
  <c r="Q2" i="84"/>
  <c r="P2" i="84"/>
  <c r="O2" i="84"/>
  <c r="N2" i="84"/>
  <c r="M2" i="84"/>
  <c r="L2" i="84"/>
  <c r="K2" i="84"/>
  <c r="J2" i="84"/>
  <c r="I2" i="84"/>
  <c r="H2" i="84"/>
  <c r="G2" i="84"/>
  <c r="F2" i="84"/>
  <c r="E2" i="84"/>
  <c r="D2" i="84"/>
  <c r="C2" i="84"/>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Q214" i="83"/>
  <c r="O214" i="83"/>
  <c r="M214" i="83"/>
  <c r="K214" i="83"/>
  <c r="I214" i="83"/>
  <c r="G214" i="83"/>
  <c r="E214" i="83"/>
  <c r="C214" i="83"/>
  <c r="Q213" i="83"/>
  <c r="O213" i="83"/>
  <c r="M213" i="83"/>
  <c r="K213" i="83"/>
  <c r="I213" i="83"/>
  <c r="G213" i="83"/>
  <c r="E213" i="83"/>
  <c r="C213" i="83"/>
  <c r="Q212" i="83"/>
  <c r="O212" i="83"/>
  <c r="M212" i="83"/>
  <c r="K212" i="83"/>
  <c r="I212" i="83"/>
  <c r="G212" i="83"/>
  <c r="E212" i="83"/>
  <c r="C212" i="83"/>
  <c r="Q211" i="83"/>
  <c r="O211" i="83"/>
  <c r="M211" i="83"/>
  <c r="K211" i="83"/>
  <c r="I211" i="83"/>
  <c r="G211" i="83"/>
  <c r="E211" i="83"/>
  <c r="C211" i="83"/>
  <c r="Q210" i="83"/>
  <c r="O210" i="83"/>
  <c r="M210" i="83"/>
  <c r="K210" i="83"/>
  <c r="I210" i="83"/>
  <c r="G210" i="83"/>
  <c r="E210" i="83"/>
  <c r="C210" i="83"/>
  <c r="Q209" i="83"/>
  <c r="O209" i="83"/>
  <c r="M209" i="83"/>
  <c r="K209" i="83"/>
  <c r="I209" i="83"/>
  <c r="G209" i="83"/>
  <c r="E209" i="83"/>
  <c r="C209" i="83"/>
  <c r="Q208" i="83"/>
  <c r="O208" i="83"/>
  <c r="M208" i="83"/>
  <c r="K208" i="83"/>
  <c r="I208" i="83"/>
  <c r="G208" i="83"/>
  <c r="E208" i="83"/>
  <c r="C208" i="83"/>
  <c r="Q207" i="83"/>
  <c r="O207" i="83"/>
  <c r="M207" i="83"/>
  <c r="K207" i="83"/>
  <c r="I207" i="83"/>
  <c r="G207" i="83"/>
  <c r="E207" i="83"/>
  <c r="C207" i="83"/>
  <c r="Q206" i="83"/>
  <c r="O206" i="83"/>
  <c r="M206" i="83"/>
  <c r="K206" i="83"/>
  <c r="I206" i="83"/>
  <c r="G206" i="83"/>
  <c r="E206" i="83"/>
  <c r="C206" i="83"/>
  <c r="Q205" i="83"/>
  <c r="O205" i="83"/>
  <c r="M205" i="83"/>
  <c r="K205" i="83"/>
  <c r="I205" i="83"/>
  <c r="G205" i="83"/>
  <c r="E205" i="83"/>
  <c r="C205" i="83"/>
  <c r="Q204" i="83"/>
  <c r="O204" i="83"/>
  <c r="M204" i="83"/>
  <c r="K204" i="83"/>
  <c r="I204" i="83"/>
  <c r="G204" i="83"/>
  <c r="E204" i="83"/>
  <c r="C204" i="83"/>
  <c r="Q203" i="83"/>
  <c r="O203" i="83"/>
  <c r="M203" i="83"/>
  <c r="K203" i="83"/>
  <c r="I203" i="83"/>
  <c r="G203" i="83"/>
  <c r="E203" i="83"/>
  <c r="C203" i="83"/>
  <c r="Q202" i="83"/>
  <c r="O202" i="83"/>
  <c r="M202" i="83"/>
  <c r="K202" i="83"/>
  <c r="I202" i="83"/>
  <c r="G202" i="83"/>
  <c r="E202" i="83"/>
  <c r="C202" i="83"/>
  <c r="Q201" i="83"/>
  <c r="O201" i="83"/>
  <c r="M201" i="83"/>
  <c r="K201" i="83"/>
  <c r="I201" i="83"/>
  <c r="G201" i="83"/>
  <c r="E201" i="83"/>
  <c r="C201" i="83"/>
  <c r="Q200" i="83"/>
  <c r="O200" i="83"/>
  <c r="M200" i="83"/>
  <c r="K200" i="83"/>
  <c r="I200" i="83"/>
  <c r="G200" i="83"/>
  <c r="E200" i="83"/>
  <c r="C200" i="83"/>
  <c r="Q199" i="83"/>
  <c r="O199" i="83"/>
  <c r="M199" i="83"/>
  <c r="K199" i="83"/>
  <c r="I199" i="83"/>
  <c r="G199" i="83"/>
  <c r="E199" i="83"/>
  <c r="C199" i="83"/>
  <c r="Q198" i="83"/>
  <c r="O198" i="83"/>
  <c r="M198" i="83"/>
  <c r="K198" i="83"/>
  <c r="I198" i="83"/>
  <c r="G198" i="83"/>
  <c r="E198" i="83"/>
  <c r="C198" i="83"/>
  <c r="Q197" i="83"/>
  <c r="O197" i="83"/>
  <c r="M197" i="83"/>
  <c r="K197" i="83"/>
  <c r="I197" i="83"/>
  <c r="G197" i="83"/>
  <c r="E197" i="83"/>
  <c r="C197" i="83"/>
  <c r="Q196" i="83"/>
  <c r="O196" i="83"/>
  <c r="M196" i="83"/>
  <c r="K196" i="83"/>
  <c r="I196" i="83"/>
  <c r="G196" i="83"/>
  <c r="E196" i="83"/>
  <c r="C196" i="83"/>
  <c r="Q195" i="83"/>
  <c r="O195" i="83"/>
  <c r="M195" i="83"/>
  <c r="K195" i="83"/>
  <c r="I195" i="83"/>
  <c r="G195" i="83"/>
  <c r="E195" i="83"/>
  <c r="C195" i="83"/>
  <c r="Q194" i="83"/>
  <c r="O194" i="83"/>
  <c r="M194" i="83"/>
  <c r="K194" i="83"/>
  <c r="I194" i="83"/>
  <c r="G194" i="83"/>
  <c r="E194" i="83"/>
  <c r="C194" i="83"/>
  <c r="Q193" i="83"/>
  <c r="O193" i="83"/>
  <c r="M193" i="83"/>
  <c r="K193" i="83"/>
  <c r="I193" i="83"/>
  <c r="G193" i="83"/>
  <c r="E193" i="83"/>
  <c r="C193" i="83"/>
  <c r="Q192" i="83"/>
  <c r="O192" i="83"/>
  <c r="M192" i="83"/>
  <c r="K192" i="83"/>
  <c r="I192" i="83"/>
  <c r="G192" i="83"/>
  <c r="E192" i="83"/>
  <c r="C192" i="83"/>
  <c r="Q191" i="83"/>
  <c r="O191" i="83"/>
  <c r="M191" i="83"/>
  <c r="K191" i="83"/>
  <c r="I191" i="83"/>
  <c r="G191" i="83"/>
  <c r="E191" i="83"/>
  <c r="C191" i="83"/>
  <c r="Q190" i="83"/>
  <c r="O190" i="83"/>
  <c r="M190" i="83"/>
  <c r="K190" i="83"/>
  <c r="I190" i="83"/>
  <c r="G190" i="83"/>
  <c r="E190" i="83"/>
  <c r="C190" i="83"/>
  <c r="Q189" i="83"/>
  <c r="O189" i="83"/>
  <c r="M189" i="83"/>
  <c r="K189" i="83"/>
  <c r="I189" i="83"/>
  <c r="G189" i="83"/>
  <c r="E189" i="83"/>
  <c r="C189" i="83"/>
  <c r="Q188" i="83"/>
  <c r="O188" i="83"/>
  <c r="M188" i="83"/>
  <c r="K188" i="83"/>
  <c r="I188" i="83"/>
  <c r="G188" i="83"/>
  <c r="E188" i="83"/>
  <c r="C188" i="83"/>
  <c r="Q187" i="83"/>
  <c r="O187" i="83"/>
  <c r="M187" i="83"/>
  <c r="K187" i="83"/>
  <c r="I187" i="83"/>
  <c r="G187" i="83"/>
  <c r="E187" i="83"/>
  <c r="C187" i="83"/>
  <c r="Q186" i="83"/>
  <c r="O186" i="83"/>
  <c r="M186" i="83"/>
  <c r="K186" i="83"/>
  <c r="I186" i="83"/>
  <c r="G186" i="83"/>
  <c r="E186" i="83"/>
  <c r="C186" i="83"/>
  <c r="Q185" i="83"/>
  <c r="O185" i="83"/>
  <c r="M185" i="83"/>
  <c r="K185" i="83"/>
  <c r="I185" i="83"/>
  <c r="G185" i="83"/>
  <c r="E185" i="83"/>
  <c r="C185" i="83"/>
  <c r="Q184" i="83"/>
  <c r="O184" i="83"/>
  <c r="M184" i="83"/>
  <c r="K184" i="83"/>
  <c r="I184" i="83"/>
  <c r="G184" i="83"/>
  <c r="E184" i="83"/>
  <c r="C184" i="83"/>
  <c r="Q183" i="83"/>
  <c r="O183" i="83"/>
  <c r="M183" i="83"/>
  <c r="K183" i="83"/>
  <c r="I183" i="83"/>
  <c r="G183" i="83"/>
  <c r="E183" i="83"/>
  <c r="C183" i="83"/>
  <c r="Q182" i="83"/>
  <c r="O182" i="83"/>
  <c r="M182" i="83"/>
  <c r="K182" i="83"/>
  <c r="I182" i="83"/>
  <c r="G182" i="83"/>
  <c r="E182" i="83"/>
  <c r="C182" i="83"/>
  <c r="Q181" i="83"/>
  <c r="O181" i="83"/>
  <c r="M181" i="83"/>
  <c r="K181" i="83"/>
  <c r="I181" i="83"/>
  <c r="G181" i="83"/>
  <c r="E181" i="83"/>
  <c r="C181" i="83"/>
  <c r="Q180" i="83"/>
  <c r="O180" i="83"/>
  <c r="M180" i="83"/>
  <c r="K180" i="83"/>
  <c r="I180" i="83"/>
  <c r="G180" i="83"/>
  <c r="E180" i="83"/>
  <c r="C180" i="83"/>
  <c r="Q179" i="83"/>
  <c r="O179" i="83"/>
  <c r="M179" i="83"/>
  <c r="K179" i="83"/>
  <c r="I179" i="83"/>
  <c r="G179" i="83"/>
  <c r="E179" i="83"/>
  <c r="C179" i="83"/>
  <c r="Q178" i="83"/>
  <c r="O178" i="83"/>
  <c r="M178" i="83"/>
  <c r="K178" i="83"/>
  <c r="I178" i="83"/>
  <c r="G178" i="83"/>
  <c r="E178" i="83"/>
  <c r="C178" i="83"/>
  <c r="Q177" i="83"/>
  <c r="O177" i="83"/>
  <c r="M177" i="83"/>
  <c r="K177" i="83"/>
  <c r="I177" i="83"/>
  <c r="G177" i="83"/>
  <c r="E177" i="83"/>
  <c r="C177" i="83"/>
  <c r="Q176" i="83"/>
  <c r="O176" i="83"/>
  <c r="M176" i="83"/>
  <c r="K176" i="83"/>
  <c r="I176" i="83"/>
  <c r="G176" i="83"/>
  <c r="E176" i="83"/>
  <c r="C176" i="83"/>
  <c r="Q175" i="83"/>
  <c r="O175" i="83"/>
  <c r="M175" i="83"/>
  <c r="K175" i="83"/>
  <c r="I175" i="83"/>
  <c r="G175" i="83"/>
  <c r="E175" i="83"/>
  <c r="C175" i="83"/>
  <c r="Q174" i="83"/>
  <c r="O174" i="83"/>
  <c r="M174" i="83"/>
  <c r="K174" i="83"/>
  <c r="I174" i="83"/>
  <c r="G174" i="83"/>
  <c r="E174" i="83"/>
  <c r="C174" i="83"/>
  <c r="Q173" i="83"/>
  <c r="O173" i="83"/>
  <c r="M173" i="83"/>
  <c r="K173" i="83"/>
  <c r="I173" i="83"/>
  <c r="G173" i="83"/>
  <c r="E173" i="83"/>
  <c r="C173" i="83"/>
  <c r="Q172" i="83"/>
  <c r="O172" i="83"/>
  <c r="M172" i="83"/>
  <c r="K172" i="83"/>
  <c r="I172" i="83"/>
  <c r="G172" i="83"/>
  <c r="E172" i="83"/>
  <c r="C172" i="83"/>
  <c r="Q171" i="83"/>
  <c r="O171" i="83"/>
  <c r="M171" i="83"/>
  <c r="K171" i="83"/>
  <c r="I171" i="83"/>
  <c r="G171" i="83"/>
  <c r="E171" i="83"/>
  <c r="C171" i="83"/>
  <c r="Q170" i="83"/>
  <c r="O170" i="83"/>
  <c r="M170" i="83"/>
  <c r="K170" i="83"/>
  <c r="I170" i="83"/>
  <c r="G170" i="83"/>
  <c r="E170" i="83"/>
  <c r="C170" i="83"/>
  <c r="Q169" i="83"/>
  <c r="O169" i="83"/>
  <c r="M169" i="83"/>
  <c r="K169" i="83"/>
  <c r="I169" i="83"/>
  <c r="G169" i="83"/>
  <c r="E169" i="83"/>
  <c r="C169" i="83"/>
  <c r="Q168" i="83"/>
  <c r="O168" i="83"/>
  <c r="M168" i="83"/>
  <c r="K168" i="83"/>
  <c r="I168" i="83"/>
  <c r="G168" i="83"/>
  <c r="E168" i="83"/>
  <c r="C168" i="83"/>
  <c r="Q167" i="83"/>
  <c r="O167" i="83"/>
  <c r="M167" i="83"/>
  <c r="K167" i="83"/>
  <c r="I167" i="83"/>
  <c r="G167" i="83"/>
  <c r="E167" i="83"/>
  <c r="C167" i="83"/>
  <c r="Q166" i="83"/>
  <c r="O166" i="83"/>
  <c r="M166" i="83"/>
  <c r="K166" i="83"/>
  <c r="I166" i="83"/>
  <c r="G166" i="83"/>
  <c r="E166" i="83"/>
  <c r="C166" i="83"/>
  <c r="Q165" i="83"/>
  <c r="O165" i="83"/>
  <c r="M165" i="83"/>
  <c r="K165" i="83"/>
  <c r="I165" i="83"/>
  <c r="G165" i="83"/>
  <c r="E165" i="83"/>
  <c r="C165" i="83"/>
  <c r="Q164" i="83"/>
  <c r="O164" i="83"/>
  <c r="M164" i="83"/>
  <c r="K164" i="83"/>
  <c r="I164" i="83"/>
  <c r="G164" i="83"/>
  <c r="E164" i="83"/>
  <c r="C164" i="83"/>
  <c r="Q163" i="83"/>
  <c r="O163" i="83"/>
  <c r="M163" i="83"/>
  <c r="K163" i="83"/>
  <c r="I163" i="83"/>
  <c r="G163" i="83"/>
  <c r="E163" i="83"/>
  <c r="C163" i="83"/>
  <c r="Q162" i="83"/>
  <c r="O162" i="83"/>
  <c r="M162" i="83"/>
  <c r="K162" i="83"/>
  <c r="I162" i="83"/>
  <c r="G162" i="83"/>
  <c r="E162" i="83"/>
  <c r="C162" i="83"/>
  <c r="Q161" i="83"/>
  <c r="O161" i="83"/>
  <c r="M161" i="83"/>
  <c r="K161" i="83"/>
  <c r="I161" i="83"/>
  <c r="G161" i="83"/>
  <c r="E161" i="83"/>
  <c r="C161" i="83"/>
  <c r="Q160" i="83"/>
  <c r="O160" i="83"/>
  <c r="M160" i="83"/>
  <c r="K160" i="83"/>
  <c r="I160" i="83"/>
  <c r="G160" i="83"/>
  <c r="E160" i="83"/>
  <c r="C160" i="83"/>
  <c r="Q159" i="83"/>
  <c r="O159" i="83"/>
  <c r="M159" i="83"/>
  <c r="K159" i="83"/>
  <c r="I159" i="83"/>
  <c r="G159" i="83"/>
  <c r="E159" i="83"/>
  <c r="C159" i="83"/>
  <c r="Q158" i="83"/>
  <c r="O158" i="83"/>
  <c r="M158" i="83"/>
  <c r="K158" i="83"/>
  <c r="I158" i="83"/>
  <c r="G158" i="83"/>
  <c r="E158" i="83"/>
  <c r="C158" i="83"/>
  <c r="Q157" i="83"/>
  <c r="O157" i="83"/>
  <c r="M157" i="83"/>
  <c r="K157" i="83"/>
  <c r="I157" i="83"/>
  <c r="G157" i="83"/>
  <c r="E157" i="83"/>
  <c r="C157" i="83"/>
  <c r="Q156" i="83"/>
  <c r="O156" i="83"/>
  <c r="M156" i="83"/>
  <c r="K156" i="83"/>
  <c r="I156" i="83"/>
  <c r="G156" i="83"/>
  <c r="E156" i="83"/>
  <c r="C156" i="83"/>
  <c r="Q155" i="83"/>
  <c r="O155" i="83"/>
  <c r="M155" i="83"/>
  <c r="K155" i="83"/>
  <c r="I155" i="83"/>
  <c r="G155" i="83"/>
  <c r="E155" i="83"/>
  <c r="C155" i="83"/>
  <c r="Q154" i="83"/>
  <c r="O154" i="83"/>
  <c r="M154" i="83"/>
  <c r="K154" i="83"/>
  <c r="I154" i="83"/>
  <c r="G154" i="83"/>
  <c r="E154" i="83"/>
  <c r="C154" i="83"/>
  <c r="Q153" i="83"/>
  <c r="O153" i="83"/>
  <c r="M153" i="83"/>
  <c r="K153" i="83"/>
  <c r="I153" i="83"/>
  <c r="G153" i="83"/>
  <c r="E153" i="83"/>
  <c r="C153" i="83"/>
  <c r="Q152" i="83"/>
  <c r="O152" i="83"/>
  <c r="M152" i="83"/>
  <c r="K152" i="83"/>
  <c r="I152" i="83"/>
  <c r="G152" i="83"/>
  <c r="E152" i="83"/>
  <c r="C152" i="83"/>
  <c r="Q151" i="83"/>
  <c r="O151" i="83"/>
  <c r="M151" i="83"/>
  <c r="K151" i="83"/>
  <c r="I151" i="83"/>
  <c r="G151" i="83"/>
  <c r="E151" i="83"/>
  <c r="C151" i="83"/>
  <c r="Q150" i="83"/>
  <c r="O150" i="83"/>
  <c r="M150" i="83"/>
  <c r="K150" i="83"/>
  <c r="I150" i="83"/>
  <c r="G150" i="83"/>
  <c r="E150" i="83"/>
  <c r="C150" i="83"/>
  <c r="Q149" i="83"/>
  <c r="O149" i="83"/>
  <c r="M149" i="83"/>
  <c r="K149" i="83"/>
  <c r="I149" i="83"/>
  <c r="G149" i="83"/>
  <c r="E149" i="83"/>
  <c r="C149" i="83"/>
  <c r="Q148" i="83"/>
  <c r="O148" i="83"/>
  <c r="M148" i="83"/>
  <c r="K148" i="83"/>
  <c r="I148" i="83"/>
  <c r="G148" i="83"/>
  <c r="E148" i="83"/>
  <c r="C148" i="83"/>
  <c r="Q147" i="83"/>
  <c r="O147" i="83"/>
  <c r="M147" i="83"/>
  <c r="K147" i="83"/>
  <c r="I147" i="83"/>
  <c r="G147" i="83"/>
  <c r="E147" i="83"/>
  <c r="C147" i="83"/>
  <c r="Q146" i="83"/>
  <c r="O146" i="83"/>
  <c r="M146" i="83"/>
  <c r="K146" i="83"/>
  <c r="I146" i="83"/>
  <c r="G146" i="83"/>
  <c r="E146" i="83"/>
  <c r="C146" i="83"/>
  <c r="Q145" i="83"/>
  <c r="O145" i="83"/>
  <c r="M145" i="83"/>
  <c r="K145" i="83"/>
  <c r="I145" i="83"/>
  <c r="G145" i="83"/>
  <c r="E145" i="83"/>
  <c r="C145" i="83"/>
  <c r="Q144" i="83"/>
  <c r="O144" i="83"/>
  <c r="M144" i="83"/>
  <c r="K144" i="83"/>
  <c r="I144" i="83"/>
  <c r="G144" i="83"/>
  <c r="E144" i="83"/>
  <c r="C144" i="83"/>
  <c r="Q143" i="83"/>
  <c r="O143" i="83"/>
  <c r="M143" i="83"/>
  <c r="K143" i="83"/>
  <c r="I143" i="83"/>
  <c r="G143" i="83"/>
  <c r="E143" i="83"/>
  <c r="C143" i="83"/>
  <c r="Q142" i="83"/>
  <c r="O142" i="83"/>
  <c r="M142" i="83"/>
  <c r="K142" i="83"/>
  <c r="I142" i="83"/>
  <c r="G142" i="83"/>
  <c r="E142" i="83"/>
  <c r="C142" i="83"/>
  <c r="Q141" i="83"/>
  <c r="O141" i="83"/>
  <c r="M141" i="83"/>
  <c r="K141" i="83"/>
  <c r="I141" i="83"/>
  <c r="G141" i="83"/>
  <c r="E141" i="83"/>
  <c r="C141" i="83"/>
  <c r="Q140" i="83"/>
  <c r="O140" i="83"/>
  <c r="M140" i="83"/>
  <c r="K140" i="83"/>
  <c r="I140" i="83"/>
  <c r="G140" i="83"/>
  <c r="E140" i="83"/>
  <c r="C140" i="83"/>
  <c r="Q139" i="83"/>
  <c r="O139" i="83"/>
  <c r="M139" i="83"/>
  <c r="K139" i="83"/>
  <c r="I139" i="83"/>
  <c r="G139" i="83"/>
  <c r="E139" i="83"/>
  <c r="C139" i="83"/>
  <c r="Q138" i="83"/>
  <c r="O138" i="83"/>
  <c r="M138" i="83"/>
  <c r="K138" i="83"/>
  <c r="I138" i="83"/>
  <c r="G138" i="83"/>
  <c r="E138" i="83"/>
  <c r="C138" i="83"/>
  <c r="Q137" i="83"/>
  <c r="O137" i="83"/>
  <c r="M137" i="83"/>
  <c r="K137" i="83"/>
  <c r="I137" i="83"/>
  <c r="G137" i="83"/>
  <c r="E137" i="83"/>
  <c r="C137" i="83"/>
  <c r="Q136" i="83"/>
  <c r="O136" i="83"/>
  <c r="M136" i="83"/>
  <c r="K136" i="83"/>
  <c r="I136" i="83"/>
  <c r="G136" i="83"/>
  <c r="E136" i="83"/>
  <c r="C136" i="83"/>
  <c r="Q135" i="83"/>
  <c r="O135" i="83"/>
  <c r="M135" i="83"/>
  <c r="K135" i="83"/>
  <c r="I135" i="83"/>
  <c r="G135" i="83"/>
  <c r="E135" i="83"/>
  <c r="C135" i="83"/>
  <c r="Q134" i="83"/>
  <c r="O134" i="83"/>
  <c r="M134" i="83"/>
  <c r="K134" i="83"/>
  <c r="I134" i="83"/>
  <c r="G134" i="83"/>
  <c r="E134" i="83"/>
  <c r="C134" i="83"/>
  <c r="Q133" i="83"/>
  <c r="O133" i="83"/>
  <c r="M133" i="83"/>
  <c r="K133" i="83"/>
  <c r="I133" i="83"/>
  <c r="G133" i="83"/>
  <c r="E133" i="83"/>
  <c r="C133" i="83"/>
  <c r="Q132" i="83"/>
  <c r="O132" i="83"/>
  <c r="M132" i="83"/>
  <c r="K132" i="83"/>
  <c r="I132" i="83"/>
  <c r="G132" i="83"/>
  <c r="E132" i="83"/>
  <c r="C132" i="83"/>
  <c r="Q131" i="83"/>
  <c r="O131" i="83"/>
  <c r="M131" i="83"/>
  <c r="K131" i="83"/>
  <c r="I131" i="83"/>
  <c r="G131" i="83"/>
  <c r="E131" i="83"/>
  <c r="C131" i="83"/>
  <c r="Q130" i="83"/>
  <c r="O130" i="83"/>
  <c r="M130" i="83"/>
  <c r="K130" i="83"/>
  <c r="I130" i="83"/>
  <c r="G130" i="83"/>
  <c r="E130" i="83"/>
  <c r="C130" i="83"/>
  <c r="Q129" i="83"/>
  <c r="O129" i="83"/>
  <c r="M129" i="83"/>
  <c r="K129" i="83"/>
  <c r="I129" i="83"/>
  <c r="G129" i="83"/>
  <c r="E129" i="83"/>
  <c r="C129" i="83"/>
  <c r="Q128" i="83"/>
  <c r="O128" i="83"/>
  <c r="M128" i="83"/>
  <c r="K128" i="83"/>
  <c r="I128" i="83"/>
  <c r="G128" i="83"/>
  <c r="E128" i="83"/>
  <c r="C128" i="83"/>
  <c r="Q127" i="83"/>
  <c r="O127" i="83"/>
  <c r="M127" i="83"/>
  <c r="K127" i="83"/>
  <c r="I127" i="83"/>
  <c r="G127" i="83"/>
  <c r="E127" i="83"/>
  <c r="C127" i="83"/>
  <c r="Q126" i="83"/>
  <c r="O126" i="83"/>
  <c r="M126" i="83"/>
  <c r="K126" i="83"/>
  <c r="I126" i="83"/>
  <c r="G126" i="83"/>
  <c r="E126" i="83"/>
  <c r="C126" i="83"/>
  <c r="Q125" i="83"/>
  <c r="O125" i="83"/>
  <c r="M125" i="83"/>
  <c r="K125" i="83"/>
  <c r="I125" i="83"/>
  <c r="G125" i="83"/>
  <c r="E125" i="83"/>
  <c r="C125" i="83"/>
  <c r="Q124" i="83"/>
  <c r="O124" i="83"/>
  <c r="M124" i="83"/>
  <c r="K124" i="83"/>
  <c r="I124" i="83"/>
  <c r="G124" i="83"/>
  <c r="E124" i="83"/>
  <c r="C124" i="83"/>
  <c r="Q123" i="83"/>
  <c r="O123" i="83"/>
  <c r="M123" i="83"/>
  <c r="K123" i="83"/>
  <c r="I123" i="83"/>
  <c r="G123" i="83"/>
  <c r="E123" i="83"/>
  <c r="C123" i="83"/>
  <c r="Q122" i="83"/>
  <c r="O122" i="83"/>
  <c r="M122" i="83"/>
  <c r="K122" i="83"/>
  <c r="I122" i="83"/>
  <c r="G122" i="83"/>
  <c r="E122" i="83"/>
  <c r="C122" i="83"/>
  <c r="Q121" i="83"/>
  <c r="O121" i="83"/>
  <c r="M121" i="83"/>
  <c r="K121" i="83"/>
  <c r="I121" i="83"/>
  <c r="G121" i="83"/>
  <c r="E121" i="83"/>
  <c r="C121" i="83"/>
  <c r="Q120" i="83"/>
  <c r="O120" i="83"/>
  <c r="M120" i="83"/>
  <c r="K120" i="83"/>
  <c r="I120" i="83"/>
  <c r="G120" i="83"/>
  <c r="E120" i="83"/>
  <c r="C120" i="83"/>
  <c r="Q119" i="83"/>
  <c r="O119" i="83"/>
  <c r="M119" i="83"/>
  <c r="K119" i="83"/>
  <c r="I119" i="83"/>
  <c r="G119" i="83"/>
  <c r="E119" i="83"/>
  <c r="C119" i="83"/>
  <c r="Q118" i="83"/>
  <c r="O118" i="83"/>
  <c r="M118" i="83"/>
  <c r="K118" i="83"/>
  <c r="I118" i="83"/>
  <c r="G118" i="83"/>
  <c r="E118" i="83"/>
  <c r="C118" i="83"/>
  <c r="Q117" i="83"/>
  <c r="O117" i="83"/>
  <c r="M117" i="83"/>
  <c r="K117" i="83"/>
  <c r="I117" i="83"/>
  <c r="G117" i="83"/>
  <c r="E117" i="83"/>
  <c r="C117" i="83"/>
  <c r="Q116" i="83"/>
  <c r="O116" i="83"/>
  <c r="M116" i="83"/>
  <c r="K116" i="83"/>
  <c r="I116" i="83"/>
  <c r="G116" i="83"/>
  <c r="E116" i="83"/>
  <c r="C116" i="83"/>
  <c r="Q115" i="83"/>
  <c r="O115" i="83"/>
  <c r="M115" i="83"/>
  <c r="K115" i="83"/>
  <c r="I115" i="83"/>
  <c r="G115" i="83"/>
  <c r="E115" i="83"/>
  <c r="C115" i="83"/>
  <c r="Q114" i="83"/>
  <c r="O114" i="83"/>
  <c r="M114" i="83"/>
  <c r="K114" i="83"/>
  <c r="I114" i="83"/>
  <c r="G114" i="83"/>
  <c r="E114" i="83"/>
  <c r="C114" i="83"/>
  <c r="Q113" i="83"/>
  <c r="O113" i="83"/>
  <c r="M113" i="83"/>
  <c r="K113" i="83"/>
  <c r="I113" i="83"/>
  <c r="G113" i="83"/>
  <c r="E113" i="83"/>
  <c r="C113" i="83"/>
  <c r="Q112" i="83"/>
  <c r="O112" i="83"/>
  <c r="M112" i="83"/>
  <c r="K112" i="83"/>
  <c r="I112" i="83"/>
  <c r="G112" i="83"/>
  <c r="E112" i="83"/>
  <c r="C112" i="83"/>
  <c r="Q111" i="83"/>
  <c r="O111" i="83"/>
  <c r="M111" i="83"/>
  <c r="K111" i="83"/>
  <c r="I111" i="83"/>
  <c r="G111" i="83"/>
  <c r="E111" i="83"/>
  <c r="C111" i="83"/>
  <c r="Q110" i="83"/>
  <c r="O110" i="83"/>
  <c r="M110" i="83"/>
  <c r="K110" i="83"/>
  <c r="I110" i="83"/>
  <c r="G110" i="83"/>
  <c r="E110" i="83"/>
  <c r="C110" i="83"/>
  <c r="Q109" i="83"/>
  <c r="O109" i="83"/>
  <c r="M109" i="83"/>
  <c r="K109" i="83"/>
  <c r="I109" i="83"/>
  <c r="G109" i="83"/>
  <c r="E109" i="83"/>
  <c r="C109" i="83"/>
  <c r="Q108" i="83"/>
  <c r="O108" i="83"/>
  <c r="M108" i="83"/>
  <c r="K108" i="83"/>
  <c r="I108" i="83"/>
  <c r="G108" i="83"/>
  <c r="E108" i="83"/>
  <c r="C108" i="83"/>
  <c r="Q107" i="83"/>
  <c r="O107" i="83"/>
  <c r="M107" i="83"/>
  <c r="K107" i="83"/>
  <c r="I107" i="83"/>
  <c r="G107" i="83"/>
  <c r="E107" i="83"/>
  <c r="C107" i="83"/>
  <c r="Q106" i="83"/>
  <c r="O106" i="83"/>
  <c r="M106" i="83"/>
  <c r="K106" i="83"/>
  <c r="I106" i="83"/>
  <c r="G106" i="83"/>
  <c r="E106" i="83"/>
  <c r="C106" i="83"/>
  <c r="Q105" i="83"/>
  <c r="O105" i="83"/>
  <c r="M105" i="83"/>
  <c r="K105" i="83"/>
  <c r="I105" i="83"/>
  <c r="G105" i="83"/>
  <c r="E105" i="83"/>
  <c r="C105" i="83"/>
  <c r="Q104" i="83"/>
  <c r="O104" i="83"/>
  <c r="M104" i="83"/>
  <c r="K104" i="83"/>
  <c r="I104" i="83"/>
  <c r="G104" i="83"/>
  <c r="E104" i="83"/>
  <c r="C104" i="83"/>
  <c r="Q103" i="83"/>
  <c r="O103" i="83"/>
  <c r="M103" i="83"/>
  <c r="K103" i="83"/>
  <c r="I103" i="83"/>
  <c r="G103" i="83"/>
  <c r="E103" i="83"/>
  <c r="C103" i="83"/>
  <c r="Q102" i="83"/>
  <c r="O102" i="83"/>
  <c r="M102" i="83"/>
  <c r="K102" i="83"/>
  <c r="I102" i="83"/>
  <c r="G102" i="83"/>
  <c r="E102" i="83"/>
  <c r="C102" i="83"/>
  <c r="Q101" i="83"/>
  <c r="O101" i="83"/>
  <c r="M101" i="83"/>
  <c r="K101" i="83"/>
  <c r="I101" i="83"/>
  <c r="G101" i="83"/>
  <c r="E101" i="83"/>
  <c r="C101" i="83"/>
  <c r="Q100" i="83"/>
  <c r="O100" i="83"/>
  <c r="M100" i="83"/>
  <c r="K100" i="83"/>
  <c r="I100" i="83"/>
  <c r="G100" i="83"/>
  <c r="E100" i="83"/>
  <c r="C100" i="83"/>
  <c r="Q99" i="83"/>
  <c r="O99" i="83"/>
  <c r="M99" i="83"/>
  <c r="K99" i="83"/>
  <c r="I99" i="83"/>
  <c r="G99" i="83"/>
  <c r="E99" i="83"/>
  <c r="C99" i="83"/>
  <c r="Q98" i="83"/>
  <c r="O98" i="83"/>
  <c r="M98" i="83"/>
  <c r="K98" i="83"/>
  <c r="I98" i="83"/>
  <c r="G98" i="83"/>
  <c r="E98" i="83"/>
  <c r="C98" i="83"/>
  <c r="Q97" i="83"/>
  <c r="O97" i="83"/>
  <c r="M97" i="83"/>
  <c r="K97" i="83"/>
  <c r="I97" i="83"/>
  <c r="G97" i="83"/>
  <c r="E97" i="83"/>
  <c r="C97" i="83"/>
  <c r="Q96" i="83"/>
  <c r="O96" i="83"/>
  <c r="M96" i="83"/>
  <c r="K96" i="83"/>
  <c r="I96" i="83"/>
  <c r="G96" i="83"/>
  <c r="E96" i="83"/>
  <c r="C96" i="83"/>
  <c r="Q95" i="83"/>
  <c r="O95" i="83"/>
  <c r="M95" i="83"/>
  <c r="K95" i="83"/>
  <c r="I95" i="83"/>
  <c r="G95" i="83"/>
  <c r="E95" i="83"/>
  <c r="C95" i="83"/>
  <c r="Q94" i="83"/>
  <c r="O94" i="83"/>
  <c r="M94" i="83"/>
  <c r="K94" i="83"/>
  <c r="I94" i="83"/>
  <c r="G94" i="83"/>
  <c r="E94" i="83"/>
  <c r="C94" i="83"/>
  <c r="Q93" i="83"/>
  <c r="O93" i="83"/>
  <c r="M93" i="83"/>
  <c r="K93" i="83"/>
  <c r="I93" i="83"/>
  <c r="G93" i="83"/>
  <c r="E93" i="83"/>
  <c r="C93" i="83"/>
  <c r="Q92" i="83"/>
  <c r="O92" i="83"/>
  <c r="M92" i="83"/>
  <c r="K92" i="83"/>
  <c r="I92" i="83"/>
  <c r="G92" i="83"/>
  <c r="E92" i="83"/>
  <c r="C92" i="83"/>
  <c r="Q91" i="83"/>
  <c r="O91" i="83"/>
  <c r="M91" i="83"/>
  <c r="K91" i="83"/>
  <c r="I91" i="83"/>
  <c r="G91" i="83"/>
  <c r="E91" i="83"/>
  <c r="C91" i="83"/>
  <c r="Q90" i="83"/>
  <c r="O90" i="83"/>
  <c r="M90" i="83"/>
  <c r="K90" i="83"/>
  <c r="I90" i="83"/>
  <c r="G90" i="83"/>
  <c r="E90" i="83"/>
  <c r="C90" i="83"/>
  <c r="Q89" i="83"/>
  <c r="O89" i="83"/>
  <c r="M89" i="83"/>
  <c r="K89" i="83"/>
  <c r="I89" i="83"/>
  <c r="G89" i="83"/>
  <c r="E89" i="83"/>
  <c r="C89" i="83"/>
  <c r="Q88" i="83"/>
  <c r="O88" i="83"/>
  <c r="M88" i="83"/>
  <c r="K88" i="83"/>
  <c r="I88" i="83"/>
  <c r="G88" i="83"/>
  <c r="E88" i="83"/>
  <c r="C88" i="83"/>
  <c r="Q87" i="83"/>
  <c r="O87" i="83"/>
  <c r="M87" i="83"/>
  <c r="K87" i="83"/>
  <c r="I87" i="83"/>
  <c r="G87" i="83"/>
  <c r="E87" i="83"/>
  <c r="C87" i="83"/>
  <c r="Q86" i="83"/>
  <c r="O86" i="83"/>
  <c r="M86" i="83"/>
  <c r="K86" i="83"/>
  <c r="I86" i="83"/>
  <c r="G86" i="83"/>
  <c r="E86" i="83"/>
  <c r="C86" i="83"/>
  <c r="Q85" i="83"/>
  <c r="O85" i="83"/>
  <c r="M85" i="83"/>
  <c r="K85" i="83"/>
  <c r="I85" i="83"/>
  <c r="G85" i="83"/>
  <c r="E85" i="83"/>
  <c r="C85" i="83"/>
  <c r="Q84" i="83"/>
  <c r="O84" i="83"/>
  <c r="M84" i="83"/>
  <c r="K84" i="83"/>
  <c r="I84" i="83"/>
  <c r="G84" i="83"/>
  <c r="E84" i="83"/>
  <c r="C84" i="83"/>
  <c r="Q83" i="83"/>
  <c r="O83" i="83"/>
  <c r="M83" i="83"/>
  <c r="K83" i="83"/>
  <c r="I83" i="83"/>
  <c r="G83" i="83"/>
  <c r="E83" i="83"/>
  <c r="C83" i="83"/>
  <c r="Q82" i="83"/>
  <c r="O82" i="83"/>
  <c r="M82" i="83"/>
  <c r="K82" i="83"/>
  <c r="I82" i="83"/>
  <c r="G82" i="83"/>
  <c r="E82" i="83"/>
  <c r="C82" i="83"/>
  <c r="Q81" i="83"/>
  <c r="O81" i="83"/>
  <c r="M81" i="83"/>
  <c r="K81" i="83"/>
  <c r="I81" i="83"/>
  <c r="G81" i="83"/>
  <c r="E81" i="83"/>
  <c r="C81" i="83"/>
  <c r="Q80" i="83"/>
  <c r="O80" i="83"/>
  <c r="M80" i="83"/>
  <c r="K80" i="83"/>
  <c r="I80" i="83"/>
  <c r="G80" i="83"/>
  <c r="E80" i="83"/>
  <c r="C80" i="83"/>
  <c r="Q79" i="83"/>
  <c r="O79" i="83"/>
  <c r="M79" i="83"/>
  <c r="K79" i="83"/>
  <c r="I79" i="83"/>
  <c r="G79" i="83"/>
  <c r="E79" i="83"/>
  <c r="C79" i="83"/>
  <c r="Q78" i="83"/>
  <c r="O78" i="83"/>
  <c r="M78" i="83"/>
  <c r="K78" i="83"/>
  <c r="I78" i="83"/>
  <c r="G78" i="83"/>
  <c r="E78" i="83"/>
  <c r="C78" i="83"/>
  <c r="Q77" i="83"/>
  <c r="O77" i="83"/>
  <c r="M77" i="83"/>
  <c r="K77" i="83"/>
  <c r="I77" i="83"/>
  <c r="G77" i="83"/>
  <c r="E77" i="83"/>
  <c r="C77" i="83"/>
  <c r="Q76" i="83"/>
  <c r="O76" i="83"/>
  <c r="M76" i="83"/>
  <c r="K76" i="83"/>
  <c r="I76" i="83"/>
  <c r="G76" i="83"/>
  <c r="E76" i="83"/>
  <c r="C76" i="83"/>
  <c r="Q75" i="83"/>
  <c r="O75" i="83"/>
  <c r="M75" i="83"/>
  <c r="K75" i="83"/>
  <c r="I75" i="83"/>
  <c r="G75" i="83"/>
  <c r="E75" i="83"/>
  <c r="C75" i="83"/>
  <c r="Q74" i="83"/>
  <c r="O74" i="83"/>
  <c r="M74" i="83"/>
  <c r="K74" i="83"/>
  <c r="I74" i="83"/>
  <c r="G74" i="83"/>
  <c r="E74" i="83"/>
  <c r="C74" i="83"/>
  <c r="Q73" i="83"/>
  <c r="O73" i="83"/>
  <c r="M73" i="83"/>
  <c r="K73" i="83"/>
  <c r="I73" i="83"/>
  <c r="G73" i="83"/>
  <c r="E73" i="83"/>
  <c r="C73" i="83"/>
  <c r="Q72" i="83"/>
  <c r="O72" i="83"/>
  <c r="M72" i="83"/>
  <c r="K72" i="83"/>
  <c r="I72" i="83"/>
  <c r="G72" i="83"/>
  <c r="E72" i="83"/>
  <c r="C72" i="83"/>
  <c r="Q71" i="83"/>
  <c r="O71" i="83"/>
  <c r="M71" i="83"/>
  <c r="K71" i="83"/>
  <c r="I71" i="83"/>
  <c r="G71" i="83"/>
  <c r="E71" i="83"/>
  <c r="C71" i="83"/>
  <c r="Q70" i="83"/>
  <c r="O70" i="83"/>
  <c r="M70" i="83"/>
  <c r="K70" i="83"/>
  <c r="I70" i="83"/>
  <c r="G70" i="83"/>
  <c r="E70" i="83"/>
  <c r="C70" i="83"/>
  <c r="Q69" i="83"/>
  <c r="O69" i="83"/>
  <c r="M69" i="83"/>
  <c r="K69" i="83"/>
  <c r="I69" i="83"/>
  <c r="G69" i="83"/>
  <c r="E69" i="83"/>
  <c r="C69" i="83"/>
  <c r="Q68" i="83"/>
  <c r="O68" i="83"/>
  <c r="M68" i="83"/>
  <c r="K68" i="83"/>
  <c r="I68" i="83"/>
  <c r="G68" i="83"/>
  <c r="E68" i="83"/>
  <c r="C68" i="83"/>
  <c r="Q67" i="83"/>
  <c r="O67" i="83"/>
  <c r="M67" i="83"/>
  <c r="K67" i="83"/>
  <c r="I67" i="83"/>
  <c r="G67" i="83"/>
  <c r="E67" i="83"/>
  <c r="C67" i="83"/>
  <c r="Q66" i="83"/>
  <c r="O66" i="83"/>
  <c r="M66" i="83"/>
  <c r="K66" i="83"/>
  <c r="I66" i="83"/>
  <c r="G66" i="83"/>
  <c r="E66" i="83"/>
  <c r="C66" i="83"/>
  <c r="Q65" i="83"/>
  <c r="O65" i="83"/>
  <c r="M65" i="83"/>
  <c r="K65" i="83"/>
  <c r="I65" i="83"/>
  <c r="G65" i="83"/>
  <c r="E65" i="83"/>
  <c r="C65" i="83"/>
  <c r="Q64" i="83"/>
  <c r="O64" i="83"/>
  <c r="M64" i="83"/>
  <c r="K64" i="83"/>
  <c r="I64" i="83"/>
  <c r="G64" i="83"/>
  <c r="E64" i="83"/>
  <c r="C64" i="83"/>
  <c r="Q63" i="83"/>
  <c r="O63" i="83"/>
  <c r="M63" i="83"/>
  <c r="K63" i="83"/>
  <c r="I63" i="83"/>
  <c r="G63" i="83"/>
  <c r="E63" i="83"/>
  <c r="C63" i="83"/>
  <c r="Q62" i="83"/>
  <c r="O62" i="83"/>
  <c r="M62" i="83"/>
  <c r="K62" i="83"/>
  <c r="I62" i="83"/>
  <c r="G62" i="83"/>
  <c r="E62" i="83"/>
  <c r="C62" i="83"/>
  <c r="Q61" i="83"/>
  <c r="O61" i="83"/>
  <c r="M61" i="83"/>
  <c r="K61" i="83"/>
  <c r="I61" i="83"/>
  <c r="G61" i="83"/>
  <c r="E61" i="83"/>
  <c r="C61" i="83"/>
  <c r="Q60" i="83"/>
  <c r="O60" i="83"/>
  <c r="M60" i="83"/>
  <c r="K60" i="83"/>
  <c r="I60" i="83"/>
  <c r="G60" i="83"/>
  <c r="E60" i="83"/>
  <c r="C60" i="83"/>
  <c r="Q59" i="83"/>
  <c r="O59" i="83"/>
  <c r="M59" i="83"/>
  <c r="K59" i="83"/>
  <c r="I59" i="83"/>
  <c r="G59" i="83"/>
  <c r="E59" i="83"/>
  <c r="C59" i="83"/>
  <c r="Q58" i="83"/>
  <c r="O58" i="83"/>
  <c r="M58" i="83"/>
  <c r="K58" i="83"/>
  <c r="I58" i="83"/>
  <c r="G58" i="83"/>
  <c r="E58" i="83"/>
  <c r="C58" i="83"/>
  <c r="Q57" i="83"/>
  <c r="O57" i="83"/>
  <c r="M57" i="83"/>
  <c r="K57" i="83"/>
  <c r="I57" i="83"/>
  <c r="G57" i="83"/>
  <c r="E57" i="83"/>
  <c r="C57" i="83"/>
  <c r="Q56" i="83"/>
  <c r="O56" i="83"/>
  <c r="M56" i="83"/>
  <c r="K56" i="83"/>
  <c r="I56" i="83"/>
  <c r="G56" i="83"/>
  <c r="E56" i="83"/>
  <c r="C56" i="83"/>
  <c r="Q55" i="83"/>
  <c r="O55" i="83"/>
  <c r="M55" i="83"/>
  <c r="K55" i="83"/>
  <c r="I55" i="83"/>
  <c r="G55" i="83"/>
  <c r="E55" i="83"/>
  <c r="C55" i="83"/>
  <c r="Q54" i="83"/>
  <c r="O54" i="83"/>
  <c r="M54" i="83"/>
  <c r="K54" i="83"/>
  <c r="I54" i="83"/>
  <c r="G54" i="83"/>
  <c r="E54" i="83"/>
  <c r="C54" i="83"/>
  <c r="Q53" i="83"/>
  <c r="O53" i="83"/>
  <c r="M53" i="83"/>
  <c r="K53" i="83"/>
  <c r="I53" i="83"/>
  <c r="G53" i="83"/>
  <c r="E53" i="83"/>
  <c r="C53" i="83"/>
  <c r="Q52" i="83"/>
  <c r="O52" i="83"/>
  <c r="M52" i="83"/>
  <c r="K52" i="83"/>
  <c r="I52" i="83"/>
  <c r="G52" i="83"/>
  <c r="E52" i="83"/>
  <c r="C52" i="83"/>
  <c r="Q51" i="83"/>
  <c r="O51" i="83"/>
  <c r="M51" i="83"/>
  <c r="K51" i="83"/>
  <c r="I51" i="83"/>
  <c r="G51" i="83"/>
  <c r="E51" i="83"/>
  <c r="C51" i="83"/>
  <c r="Q50" i="83"/>
  <c r="O50" i="83"/>
  <c r="M50" i="83"/>
  <c r="K50" i="83"/>
  <c r="I50" i="83"/>
  <c r="G50" i="83"/>
  <c r="E50" i="83"/>
  <c r="C50" i="83"/>
  <c r="Q49" i="83"/>
  <c r="O49" i="83"/>
  <c r="M49" i="83"/>
  <c r="K49" i="83"/>
  <c r="I49" i="83"/>
  <c r="G49" i="83"/>
  <c r="E49" i="83"/>
  <c r="C49" i="83"/>
  <c r="Q48" i="83"/>
  <c r="O48" i="83"/>
  <c r="M48" i="83"/>
  <c r="K48" i="83"/>
  <c r="I48" i="83"/>
  <c r="G48" i="83"/>
  <c r="E48" i="83"/>
  <c r="C48" i="83"/>
  <c r="Q47" i="83"/>
  <c r="O47" i="83"/>
  <c r="M47" i="83"/>
  <c r="K47" i="83"/>
  <c r="I47" i="83"/>
  <c r="G47" i="83"/>
  <c r="E47" i="83"/>
  <c r="C47" i="83"/>
  <c r="Q46" i="83"/>
  <c r="O46" i="83"/>
  <c r="M46" i="83"/>
  <c r="K46" i="83"/>
  <c r="I46" i="83"/>
  <c r="G46" i="83"/>
  <c r="E46" i="83"/>
  <c r="C46" i="83"/>
  <c r="Q45" i="83"/>
  <c r="O45" i="83"/>
  <c r="M45" i="83"/>
  <c r="K45" i="83"/>
  <c r="I45" i="83"/>
  <c r="G45" i="83"/>
  <c r="E45" i="83"/>
  <c r="C45" i="83"/>
  <c r="Q44" i="83"/>
  <c r="O44" i="83"/>
  <c r="M44" i="83"/>
  <c r="K44" i="83"/>
  <c r="I44" i="83"/>
  <c r="G44" i="83"/>
  <c r="E44" i="83"/>
  <c r="C44" i="83"/>
  <c r="Q43" i="83"/>
  <c r="O43" i="83"/>
  <c r="M43" i="83"/>
  <c r="K43" i="83"/>
  <c r="I43" i="83"/>
  <c r="G43" i="83"/>
  <c r="E43" i="83"/>
  <c r="C43" i="83"/>
  <c r="Q42" i="83"/>
  <c r="O42" i="83"/>
  <c r="M42" i="83"/>
  <c r="K42" i="83"/>
  <c r="I42" i="83"/>
  <c r="G42" i="83"/>
  <c r="E42" i="83"/>
  <c r="C42" i="83"/>
  <c r="Q41" i="83"/>
  <c r="O41" i="83"/>
  <c r="M41" i="83"/>
  <c r="K41" i="83"/>
  <c r="I41" i="83"/>
  <c r="G41" i="83"/>
  <c r="E41" i="83"/>
  <c r="C41" i="83"/>
  <c r="Q40" i="83"/>
  <c r="O40" i="83"/>
  <c r="M40" i="83"/>
  <c r="K40" i="83"/>
  <c r="I40" i="83"/>
  <c r="G40" i="83"/>
  <c r="E40" i="83"/>
  <c r="C40" i="83"/>
  <c r="Q39" i="83"/>
  <c r="O39" i="83"/>
  <c r="M39" i="83"/>
  <c r="K39" i="83"/>
  <c r="I39" i="83"/>
  <c r="G39" i="83"/>
  <c r="E39" i="83"/>
  <c r="C39" i="83"/>
  <c r="Q38" i="83"/>
  <c r="O38" i="83"/>
  <c r="M38" i="83"/>
  <c r="K38" i="83"/>
  <c r="I38" i="83"/>
  <c r="G38" i="83"/>
  <c r="E38" i="83"/>
  <c r="C38" i="83"/>
  <c r="Q37" i="83"/>
  <c r="O37" i="83"/>
  <c r="M37" i="83"/>
  <c r="K37" i="83"/>
  <c r="I37" i="83"/>
  <c r="G37" i="83"/>
  <c r="E37" i="83"/>
  <c r="C37" i="83"/>
  <c r="Q36" i="83"/>
  <c r="O36" i="83"/>
  <c r="M36" i="83"/>
  <c r="K36" i="83"/>
  <c r="I36" i="83"/>
  <c r="G36" i="83"/>
  <c r="E36" i="83"/>
  <c r="C36" i="83"/>
  <c r="Q35" i="83"/>
  <c r="O35" i="83"/>
  <c r="M35" i="83"/>
  <c r="K35" i="83"/>
  <c r="I35" i="83"/>
  <c r="G35" i="83"/>
  <c r="E35" i="83"/>
  <c r="C35" i="83"/>
  <c r="Q34" i="83"/>
  <c r="O34" i="83"/>
  <c r="M34" i="83"/>
  <c r="K34" i="83"/>
  <c r="I34" i="83"/>
  <c r="G34" i="83"/>
  <c r="E34" i="83"/>
  <c r="C34" i="83"/>
  <c r="Q33" i="83"/>
  <c r="O33" i="83"/>
  <c r="M33" i="83"/>
  <c r="K33" i="83"/>
  <c r="I33" i="83"/>
  <c r="G33" i="83"/>
  <c r="E33" i="83"/>
  <c r="C33" i="83"/>
  <c r="Q32" i="83"/>
  <c r="O32" i="83"/>
  <c r="M32" i="83"/>
  <c r="K32" i="83"/>
  <c r="I32" i="83"/>
  <c r="G32" i="83"/>
  <c r="E32" i="83"/>
  <c r="C32" i="83"/>
  <c r="Q31" i="83"/>
  <c r="O31" i="83"/>
  <c r="M31" i="83"/>
  <c r="K31" i="83"/>
  <c r="I31" i="83"/>
  <c r="G31" i="83"/>
  <c r="E31" i="83"/>
  <c r="C31" i="83"/>
  <c r="Q30" i="83"/>
  <c r="O30" i="83"/>
  <c r="M30" i="83"/>
  <c r="K30" i="83"/>
  <c r="I30" i="83"/>
  <c r="G30" i="83"/>
  <c r="E30" i="83"/>
  <c r="C30" i="83"/>
  <c r="Q29" i="83"/>
  <c r="O29" i="83"/>
  <c r="M29" i="83"/>
  <c r="K29" i="83"/>
  <c r="I29" i="83"/>
  <c r="G29" i="83"/>
  <c r="E29" i="83"/>
  <c r="C29" i="83"/>
  <c r="Q28" i="83"/>
  <c r="O28" i="83"/>
  <c r="M28" i="83"/>
  <c r="K28" i="83"/>
  <c r="I28" i="83"/>
  <c r="G28" i="83"/>
  <c r="E28" i="83"/>
  <c r="C28" i="83"/>
  <c r="Q27" i="83"/>
  <c r="O27" i="83"/>
  <c r="M27" i="83"/>
  <c r="K27" i="83"/>
  <c r="I27" i="83"/>
  <c r="G27" i="83"/>
  <c r="E27" i="83"/>
  <c r="C27" i="83"/>
  <c r="Q26" i="83"/>
  <c r="O26" i="83"/>
  <c r="M26" i="83"/>
  <c r="K26" i="83"/>
  <c r="I26" i="83"/>
  <c r="G26" i="83"/>
  <c r="E26" i="83"/>
  <c r="C26" i="83"/>
  <c r="Q25" i="83"/>
  <c r="O25" i="83"/>
  <c r="M25" i="83"/>
  <c r="K25" i="83"/>
  <c r="I25" i="83"/>
  <c r="G25" i="83"/>
  <c r="E25" i="83"/>
  <c r="C25" i="83"/>
  <c r="P23" i="83"/>
  <c r="N23" i="83"/>
  <c r="L23" i="83"/>
  <c r="J23" i="83"/>
  <c r="H23" i="83"/>
  <c r="F23" i="83"/>
  <c r="D23" i="83"/>
  <c r="B22" i="83"/>
  <c r="E12" i="83"/>
  <c r="F12" i="83" s="1"/>
  <c r="G12" i="83" s="1"/>
  <c r="H12" i="83" s="1"/>
  <c r="I12" i="83" s="1"/>
  <c r="J12" i="83" s="1"/>
  <c r="K12" i="83" s="1"/>
  <c r="L12" i="83" s="1"/>
  <c r="M12" i="83" s="1"/>
  <c r="N12" i="83" s="1"/>
  <c r="O12" i="83" s="1"/>
  <c r="P12" i="83" s="1"/>
  <c r="Q12" i="83" s="1"/>
  <c r="R12" i="83" s="1"/>
  <c r="S12" i="83" s="1"/>
  <c r="D12" i="83"/>
  <c r="D10" i="83"/>
  <c r="E10" i="83" s="1"/>
  <c r="F10" i="83" s="1"/>
  <c r="G10" i="83" s="1"/>
  <c r="H10" i="83" s="1"/>
  <c r="I10" i="83" s="1"/>
  <c r="J10" i="83" s="1"/>
  <c r="K10" i="83" s="1"/>
  <c r="L10" i="83" s="1"/>
  <c r="M10" i="83" s="1"/>
  <c r="N10" i="83" s="1"/>
  <c r="O10" i="83" s="1"/>
  <c r="P10" i="83" s="1"/>
  <c r="Q10" i="83" s="1"/>
  <c r="R10" i="83" s="1"/>
  <c r="S10" i="83" s="1"/>
  <c r="E8" i="83"/>
  <c r="F8" i="83" s="1"/>
  <c r="G8" i="83" s="1"/>
  <c r="H8" i="83" s="1"/>
  <c r="I8" i="83" s="1"/>
  <c r="J8" i="83" s="1"/>
  <c r="K8" i="83" s="1"/>
  <c r="L8" i="83" s="1"/>
  <c r="M8" i="83" s="1"/>
  <c r="N8" i="83" s="1"/>
  <c r="O8" i="83" s="1"/>
  <c r="P8" i="83" s="1"/>
  <c r="Q8" i="83" s="1"/>
  <c r="R8" i="83" s="1"/>
  <c r="S8" i="83" s="1"/>
  <c r="D8" i="83"/>
  <c r="D6" i="83"/>
  <c r="E6" i="83" s="1"/>
  <c r="F6" i="83" s="1"/>
  <c r="G6" i="83" s="1"/>
  <c r="H6" i="83" s="1"/>
  <c r="I6" i="83" s="1"/>
  <c r="J6" i="83" s="1"/>
  <c r="K6" i="83" s="1"/>
  <c r="L6" i="83" s="1"/>
  <c r="M6" i="83" s="1"/>
  <c r="N6" i="83" s="1"/>
  <c r="O6" i="83" s="1"/>
  <c r="P6" i="83" s="1"/>
  <c r="Q6" i="83" s="1"/>
  <c r="R6" i="83" s="1"/>
  <c r="S6" i="83" s="1"/>
  <c r="S2" i="83"/>
  <c r="R2" i="83"/>
  <c r="Q2" i="83"/>
  <c r="P2" i="83"/>
  <c r="O2" i="83"/>
  <c r="N2" i="83"/>
  <c r="M2" i="83"/>
  <c r="L2" i="83"/>
  <c r="K2" i="83"/>
  <c r="J2" i="83"/>
  <c r="I2" i="83"/>
  <c r="H2" i="83"/>
  <c r="G2" i="83"/>
  <c r="F2" i="83"/>
  <c r="E2" i="83"/>
  <c r="D2" i="83"/>
  <c r="C2" i="83"/>
  <c r="G41" i="82"/>
  <c r="F38" i="82"/>
  <c r="E37" i="82"/>
  <c r="F36" i="82"/>
  <c r="F35" i="82"/>
  <c r="F30" i="82"/>
  <c r="F48" i="82" s="1"/>
  <c r="G22" i="82"/>
  <c r="F21" i="82"/>
  <c r="F40" i="82" s="1"/>
  <c r="F20" i="82"/>
  <c r="F39" i="82" s="1"/>
  <c r="E19" i="82"/>
  <c r="E10" i="82"/>
  <c r="E9" i="82"/>
  <c r="F7" i="82"/>
  <c r="H1" i="82"/>
  <c r="G1" i="82"/>
  <c r="F70" i="39"/>
  <c r="E70" i="39"/>
  <c r="D70" i="39"/>
  <c r="A120" i="81"/>
  <c r="E111" i="81"/>
  <c r="H112" i="81" s="1"/>
  <c r="E109" i="81"/>
  <c r="A124" i="81" s="1"/>
  <c r="E107" i="81"/>
  <c r="A122" i="81" s="1"/>
  <c r="H106" i="81"/>
  <c r="H105" i="81"/>
  <c r="H104" i="81"/>
  <c r="H103" i="81"/>
  <c r="D120" i="81" s="1"/>
  <c r="D101" i="81"/>
  <c r="C101" i="81"/>
  <c r="C91" i="81"/>
  <c r="E90" i="81"/>
  <c r="D89" i="81"/>
  <c r="C89" i="81" s="1"/>
  <c r="C87" i="81" s="1"/>
  <c r="H77" i="81"/>
  <c r="D77" i="81"/>
  <c r="C76" i="81"/>
  <c r="F59" i="81"/>
  <c r="E59" i="81"/>
  <c r="N55" i="81" s="1"/>
  <c r="N56" i="81"/>
  <c r="M56" i="81"/>
  <c r="K56" i="81"/>
  <c r="J56" i="81"/>
  <c r="F56" i="81"/>
  <c r="O55" i="81"/>
  <c r="K55" i="81"/>
  <c r="J55" i="81"/>
  <c r="J57" i="81" s="1"/>
  <c r="J59" i="81" s="1"/>
  <c r="J61" i="81" s="1"/>
  <c r="I55" i="81"/>
  <c r="F55" i="81"/>
  <c r="O53" i="81" s="1"/>
  <c r="O54" i="81"/>
  <c r="N54" i="81"/>
  <c r="N53" i="81"/>
  <c r="K49" i="81"/>
  <c r="E48" i="81"/>
  <c r="N52" i="81" s="1"/>
  <c r="D48" i="81"/>
  <c r="M52" i="81" s="1"/>
  <c r="F33" i="81"/>
  <c r="D27" i="81"/>
  <c r="C25" i="81"/>
  <c r="C24" i="81"/>
  <c r="D17" i="81"/>
  <c r="C18" i="81" s="1"/>
  <c r="D18" i="81" s="1"/>
  <c r="C17" i="81"/>
  <c r="L4" i="81"/>
  <c r="K4" i="81"/>
  <c r="H1" i="81"/>
  <c r="G20" i="6"/>
  <c r="C30" i="36" s="1"/>
  <c r="F19" i="6"/>
  <c r="C20" i="6"/>
  <c r="C19" i="6"/>
  <c r="E22" i="80"/>
  <c r="L354" i="80"/>
  <c r="E138" i="80"/>
  <c r="L29" i="80"/>
  <c r="E16" i="80"/>
  <c r="E27" i="45"/>
  <c r="E2" i="82"/>
  <c r="F20" i="85"/>
  <c r="F20" i="84"/>
  <c r="F27" i="82"/>
  <c r="D9" i="82"/>
  <c r="F20" i="83"/>
  <c r="U22" i="83" l="1"/>
  <c r="B15" i="74" s="1"/>
  <c r="B25" i="74" s="1"/>
  <c r="U21" i="85"/>
  <c r="F45" i="82"/>
  <c r="C9" i="82"/>
  <c r="C19" i="82"/>
  <c r="C40" i="82"/>
  <c r="C21" i="82"/>
  <c r="C29" i="82" s="1"/>
  <c r="D27" i="82" s="1"/>
  <c r="C92" i="81"/>
  <c r="C94" i="81"/>
  <c r="D121" i="81"/>
  <c r="K120" i="81"/>
  <c r="H111" i="81"/>
  <c r="D126" i="81" s="1"/>
  <c r="D127" i="81" s="1"/>
  <c r="A126" i="81"/>
  <c r="H109" i="81"/>
  <c r="G14" i="73"/>
  <c r="F14" i="73"/>
  <c r="E14" i="73"/>
  <c r="C36" i="82"/>
  <c r="C47" i="82" l="1"/>
  <c r="D45" i="82" s="1"/>
  <c r="D124" i="81"/>
  <c r="D125" i="81" s="1"/>
  <c r="H110" i="81"/>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3" i="79"/>
  <c r="AG33" i="79" s="1"/>
  <c r="S35" i="79"/>
  <c r="AG35" i="79" s="1"/>
  <c r="S34" i="79"/>
  <c r="AG34" i="79" s="1"/>
  <c r="T40" i="79"/>
  <c r="U46" i="79"/>
  <c r="AI46" i="79" s="1"/>
  <c r="AD47" i="79"/>
  <c r="S48" i="79"/>
  <c r="AG48" i="79" s="1"/>
  <c r="U50" i="79"/>
  <c r="AI50" i="79" s="1"/>
  <c r="AD51" i="79"/>
  <c r="AR18" i="79"/>
  <c r="AR19" i="79" s="1"/>
  <c r="AR20" i="79" s="1"/>
  <c r="AR21" i="79" s="1"/>
  <c r="AR22" i="79" s="1"/>
  <c r="AR23" i="79" s="1"/>
  <c r="AR24" i="79" s="1"/>
  <c r="T33" i="79"/>
  <c r="T34" i="79"/>
  <c r="T35" i="79"/>
  <c r="AD38" i="79"/>
  <c r="AD34" i="79"/>
  <c r="AD36" i="79"/>
  <c r="AD37" i="79"/>
  <c r="AD35" i="79"/>
  <c r="AR40" i="79"/>
  <c r="AR41" i="79" s="1"/>
  <c r="AR42" i="79" s="1"/>
  <c r="AR43" i="79" s="1"/>
  <c r="AR44" i="79" s="1"/>
  <c r="AR45" i="79" s="1"/>
  <c r="AR46" i="79" s="1"/>
  <c r="AR47" i="79" s="1"/>
  <c r="AR48" i="79" s="1"/>
  <c r="AR49" i="79" s="1"/>
  <c r="AR50" i="79" s="1"/>
  <c r="AR51" i="79" s="1"/>
  <c r="AR52" i="79" s="1"/>
  <c r="AA31" i="79"/>
  <c r="AD31"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8" i="79"/>
  <c r="AK18" i="79" s="1"/>
  <c r="AH18" i="79"/>
  <c r="W20" i="79"/>
  <c r="AK20" i="79" s="1"/>
  <c r="AH20" i="79"/>
  <c r="W19" i="79"/>
  <c r="AK19" i="79" s="1"/>
  <c r="AH19" i="79"/>
  <c r="W16" i="79"/>
  <c r="AK16" i="79" s="1"/>
  <c r="AH16" i="79"/>
  <c r="W50" i="79"/>
  <c r="AK50" i="79" s="1"/>
  <c r="AH50" i="79"/>
  <c r="W41" i="79"/>
  <c r="AK41" i="79" s="1"/>
  <c r="AH41" i="79"/>
  <c r="W46" i="79"/>
  <c r="AK46" i="79" s="1"/>
  <c r="AH46" i="79"/>
  <c r="W15" i="79"/>
  <c r="AK15" i="79" s="1"/>
  <c r="AH15" i="79"/>
  <c r="W13" i="79"/>
  <c r="AK13" i="79" s="1"/>
  <c r="AH13" i="79"/>
  <c r="W48" i="79"/>
  <c r="AK48" i="79" s="1"/>
  <c r="AH48" i="79"/>
  <c r="W49" i="79"/>
  <c r="AK49" i="79" s="1"/>
  <c r="AH49" i="79"/>
  <c r="W43" i="79"/>
  <c r="AK43" i="79" s="1"/>
  <c r="AH43" i="79"/>
  <c r="W38" i="79"/>
  <c r="AK38" i="79" s="1"/>
  <c r="AH38" i="79"/>
  <c r="W33" i="79"/>
  <c r="AK33" i="79" s="1"/>
  <c r="AH33" i="79"/>
  <c r="W17" i="79"/>
  <c r="AK17" i="79" s="1"/>
  <c r="AH17" i="79"/>
  <c r="W10" i="79"/>
  <c r="AK10" i="79" s="1"/>
  <c r="AH10" i="79"/>
  <c r="W35" i="79"/>
  <c r="AK35" i="79" s="1"/>
  <c r="AH35" i="79"/>
  <c r="W14" i="79"/>
  <c r="AK14" i="79" s="1"/>
  <c r="AH14" i="79"/>
  <c r="W42" i="79"/>
  <c r="AK42" i="79" s="1"/>
  <c r="W51" i="79"/>
  <c r="AK51" i="79" s="1"/>
  <c r="AH51" i="79"/>
  <c r="W44" i="79"/>
  <c r="AK44" i="79" s="1"/>
  <c r="AH44" i="79"/>
  <c r="AH34" i="79"/>
  <c r="W34" i="79"/>
  <c r="AK34" i="79" s="1"/>
  <c r="W40" i="79"/>
  <c r="AK40" i="79" s="1"/>
  <c r="AH40"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B14" i="74" s="1"/>
  <c r="B24" i="74" s="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N33" i="71"/>
  <c r="D33" i="71"/>
  <c r="Q32" i="71"/>
  <c r="AB32" i="71"/>
  <c r="P32" i="71"/>
  <c r="O32" i="71"/>
  <c r="N32" i="71"/>
  <c r="Q31" i="71"/>
  <c r="P31" i="71"/>
  <c r="O31" i="71"/>
  <c r="N31" i="71"/>
  <c r="Q30" i="71"/>
  <c r="AB26" i="71" s="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44" i="71" s="1"/>
  <c r="C51" i="71"/>
  <c r="P28" i="71"/>
  <c r="E28" i="71" s="1"/>
  <c r="E55" i="71"/>
  <c r="E56" i="71" s="1"/>
  <c r="U56" i="71" s="1"/>
  <c r="E63" i="71"/>
  <c r="E64" i="71"/>
  <c r="U64" i="71" s="1"/>
  <c r="E67" i="71"/>
  <c r="P67" i="71" s="1"/>
  <c r="Q28" i="71"/>
  <c r="C59" i="71"/>
  <c r="C60" i="71" s="1"/>
  <c r="D58" i="71"/>
  <c r="N67" i="71"/>
  <c r="O68"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s="1"/>
  <c r="S25" i="40"/>
  <c r="H25" i="40"/>
  <c r="J25" i="40"/>
  <c r="W25" i="40" s="1"/>
  <c r="H29" i="39"/>
  <c r="AB29" i="39" s="1"/>
  <c r="J29" i="39"/>
  <c r="AC29" i="39" s="1"/>
  <c r="J18" i="36"/>
  <c r="F68" i="35"/>
  <c r="G68" i="35" s="1"/>
  <c r="H18" i="35"/>
  <c r="AB18" i="35" s="1"/>
  <c r="J18" i="35"/>
  <c r="H21" i="37"/>
  <c r="AB21" i="37" s="1"/>
  <c r="F21" i="37"/>
  <c r="AA21" i="37" s="1"/>
  <c r="H21" i="34"/>
  <c r="H21" i="33"/>
  <c r="F21" i="33"/>
  <c r="E83" i="21"/>
  <c r="F83" i="21" s="1"/>
  <c r="G83" i="21" s="1"/>
  <c r="H1" i="69"/>
  <c r="AC25" i="40"/>
  <c r="U29" i="39"/>
  <c r="S21" i="37"/>
  <c r="AA21" i="33"/>
  <c r="S21" i="33"/>
  <c r="J21" i="37"/>
  <c r="G84" i="34"/>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81"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R39" i="31" s="1"/>
  <c r="S39" i="31" s="1"/>
  <c r="C40" i="31"/>
  <c r="C41" i="31"/>
  <c r="R41" i="31" s="1"/>
  <c r="S41" i="31" s="1"/>
  <c r="C42" i="31"/>
  <c r="C43" i="31"/>
  <c r="C44" i="31"/>
  <c r="C45" i="31"/>
  <c r="R45" i="31" s="1"/>
  <c r="S45" i="31" s="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5" i="3" s="1"/>
  <c r="BS15" i="3"/>
  <c r="BS16" i="3"/>
  <c r="BS17" i="3"/>
  <c r="BR14" i="3"/>
  <c r="BR5" i="3" s="1"/>
  <c r="BR15" i="3"/>
  <c r="BR16" i="3"/>
  <c r="BR17" i="3"/>
  <c r="BT13" i="3"/>
  <c r="BT14" i="3"/>
  <c r="BT15" i="3"/>
  <c r="BT16" i="3"/>
  <c r="BT17" i="3"/>
  <c r="BM14" i="3"/>
  <c r="BM15" i="3"/>
  <c r="BM16" i="3"/>
  <c r="BM17" i="3"/>
  <c r="BO13" i="3"/>
  <c r="BO14" i="3"/>
  <c r="BO15" i="3"/>
  <c r="BO16" i="3"/>
  <c r="BO17" i="3"/>
  <c r="BN13" i="3"/>
  <c r="BN14" i="3"/>
  <c r="BL14" i="3" s="1"/>
  <c r="BN15" i="3"/>
  <c r="BN16" i="3"/>
  <c r="BL16" i="3" s="1"/>
  <c r="BN17" i="3"/>
  <c r="BP13" i="3"/>
  <c r="BP14" i="3"/>
  <c r="BP5" i="3" s="1"/>
  <c r="BP15" i="3"/>
  <c r="BP16" i="3"/>
  <c r="BP17" i="3"/>
  <c r="E19" i="6"/>
  <c r="E20" i="6"/>
  <c r="D3" i="36"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I5" i="3" s="1"/>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4" i="31"/>
  <c r="S280" i="31"/>
  <c r="S260" i="31"/>
  <c r="S227" i="31"/>
  <c r="S427" i="31"/>
  <c r="S212" i="31"/>
  <c r="S192" i="31"/>
  <c r="S180" i="31"/>
  <c r="S179" i="31"/>
  <c r="S164" i="31"/>
  <c r="S147" i="31"/>
  <c r="S136" i="31"/>
  <c r="S472" i="31"/>
  <c r="S112" i="31"/>
  <c r="S459" i="31"/>
  <c r="S52" i="31"/>
  <c r="S60" i="31"/>
  <c r="S8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F88" i="40" s="1"/>
  <c r="G88" i="40" s="1"/>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J27" i="39" s="1"/>
  <c r="AC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AB44" i="39" s="1"/>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D92" i="39"/>
  <c r="E92" i="39" s="1"/>
  <c r="F92" i="39" s="1"/>
  <c r="G92" i="39" s="1"/>
  <c r="D90" i="39"/>
  <c r="E90" i="39" s="1"/>
  <c r="F90" i="39" s="1"/>
  <c r="G90" i="39" s="1"/>
  <c r="D88" i="39"/>
  <c r="E88" i="39" s="1"/>
  <c r="B85" i="39"/>
  <c r="F14" i="39" s="1"/>
  <c r="B83" i="39"/>
  <c r="B81" i="39"/>
  <c r="F12" i="39" s="1"/>
  <c r="J12" i="39"/>
  <c r="AC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U33" i="36" s="1"/>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AB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H34" i="35" s="1"/>
  <c r="U34" i="35" s="1"/>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W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A40" i="33"/>
  <c r="Q39" i="33"/>
  <c r="Z39" i="33"/>
  <c r="J39" i="33"/>
  <c r="AC39" i="33" s="1"/>
  <c r="Q38" i="33"/>
  <c r="Z38" i="33" s="1"/>
  <c r="J38" i="33"/>
  <c r="AC38" i="33" s="1"/>
  <c r="H38" i="33"/>
  <c r="AB38" i="33"/>
  <c r="F38" i="33"/>
  <c r="AA38" i="33" s="1"/>
  <c r="Q37" i="33"/>
  <c r="Z37" i="33" s="1"/>
  <c r="Q36" i="33"/>
  <c r="Z36" i="33" s="1"/>
  <c r="Q35" i="33"/>
  <c r="Z35" i="33"/>
  <c r="H35" i="33"/>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B94" i="21"/>
  <c r="J29" i="21" s="1"/>
  <c r="B92" i="21"/>
  <c r="B90" i="21"/>
  <c r="J27" i="21"/>
  <c r="W27" i="21" s="1"/>
  <c r="B74" i="21"/>
  <c r="J14" i="21" s="1"/>
  <c r="W14" i="21" s="1"/>
  <c r="B72" i="21"/>
  <c r="H13" i="21"/>
  <c r="U13" i="21" s="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s="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Q39" i="21"/>
  <c r="Z39" i="2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F43" i="21"/>
  <c r="S43" i="21" s="1"/>
  <c r="H38" i="21"/>
  <c r="U38" i="21"/>
  <c r="H43" i="21"/>
  <c r="F38" i="21"/>
  <c r="S38" i="21" s="1"/>
  <c r="F36" i="21"/>
  <c r="S36" i="21" s="1"/>
  <c r="F39" i="21"/>
  <c r="AA39" i="21" s="1"/>
  <c r="J40" i="21"/>
  <c r="W40" i="21" s="1"/>
  <c r="H35" i="21"/>
  <c r="AB35" i="21" s="1"/>
  <c r="J8" i="21"/>
  <c r="AC8" i="21" s="1"/>
  <c r="H8" i="21"/>
  <c r="U8" i="21" s="1"/>
  <c r="H10" i="21"/>
  <c r="AB10" i="21" s="1"/>
  <c r="J34" i="21"/>
  <c r="AC34" i="21" s="1"/>
  <c r="H36" i="21"/>
  <c r="U36" i="21" s="1"/>
  <c r="F35" i="21"/>
  <c r="AA35" i="21" s="1"/>
  <c r="J10" i="21"/>
  <c r="AC10" i="21" s="1"/>
  <c r="H26" i="21"/>
  <c r="AB26" i="21" s="1"/>
  <c r="AB19" i="21"/>
  <c r="J19" i="21"/>
  <c r="W19" i="21" s="1"/>
  <c r="J26" i="21"/>
  <c r="W26" i="21" s="1"/>
  <c r="F26" i="21"/>
  <c r="S26" i="21" s="1"/>
  <c r="AA41" i="21"/>
  <c r="F45" i="39"/>
  <c r="S45" i="39" s="1"/>
  <c r="J44" i="39"/>
  <c r="AC44" i="39" s="1"/>
  <c r="F36" i="39"/>
  <c r="S36" i="39" s="1"/>
  <c r="H36" i="39"/>
  <c r="AB36" i="39" s="1"/>
  <c r="J35" i="39"/>
  <c r="AC35" i="39" s="1"/>
  <c r="F35" i="39"/>
  <c r="AA35" i="39" s="1"/>
  <c r="J36" i="39"/>
  <c r="AC36" i="39" s="1"/>
  <c r="W40"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F36" i="34"/>
  <c r="J35" i="34"/>
  <c r="W9" i="34"/>
  <c r="U34" i="34"/>
  <c r="H39" i="33"/>
  <c r="AB39" i="33" s="1"/>
  <c r="F26" i="33"/>
  <c r="AA26" i="33" s="1"/>
  <c r="U33" i="33"/>
  <c r="S40" i="33"/>
  <c r="W33" i="33"/>
  <c r="W39" i="33"/>
  <c r="S27" i="35"/>
  <c r="F11" i="40"/>
  <c r="AA11" i="40" s="1"/>
  <c r="H11" i="40"/>
  <c r="AB11" i="40" s="1"/>
  <c r="W8" i="40"/>
  <c r="AA9" i="40"/>
  <c r="S34" i="40"/>
  <c r="W31" i="40"/>
  <c r="U34" i="40"/>
  <c r="F42" i="39"/>
  <c r="AA42" i="39" s="1"/>
  <c r="F41" i="39"/>
  <c r="H40" i="39"/>
  <c r="AB40" i="39" s="1"/>
  <c r="H39" i="39"/>
  <c r="U39" i="39" s="1"/>
  <c r="S38"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J19" i="39"/>
  <c r="J17" i="39"/>
  <c r="AC17" i="39" s="1"/>
  <c r="F11" i="21"/>
  <c r="S11" i="21" s="1"/>
  <c r="S40" i="21"/>
  <c r="C25" i="39"/>
  <c r="H11" i="39"/>
  <c r="AB11" i="39" s="1"/>
  <c r="H32" i="33"/>
  <c r="AB32" i="33"/>
  <c r="H11" i="21"/>
  <c r="U11" i="21" s="1"/>
  <c r="J11" i="21"/>
  <c r="W11" i="21" s="1"/>
  <c r="H37" i="40"/>
  <c r="U37" i="40"/>
  <c r="H36" i="40"/>
  <c r="AB36" i="40" s="1"/>
  <c r="F35" i="40"/>
  <c r="AA35" i="40" s="1"/>
  <c r="H23" i="40"/>
  <c r="AB23" i="40" s="1"/>
  <c r="H17" i="40"/>
  <c r="U17" i="40"/>
  <c r="J15" i="40"/>
  <c r="W15" i="40" s="1"/>
  <c r="J11" i="40"/>
  <c r="AB8" i="39"/>
  <c r="AC12" i="34"/>
  <c r="F37" i="39"/>
  <c r="AA37" i="39" s="1"/>
  <c r="J34" i="36"/>
  <c r="W34" i="36" s="1"/>
  <c r="J30" i="35"/>
  <c r="W30" i="35" s="1"/>
  <c r="H30" i="35"/>
  <c r="AB30" i="35" s="1"/>
  <c r="F22" i="35"/>
  <c r="AA22" i="35"/>
  <c r="H10" i="35"/>
  <c r="U10" i="35" s="1"/>
  <c r="F33" i="36"/>
  <c r="AA33" i="36" s="1"/>
  <c r="H16" i="36"/>
  <c r="AB16" i="36" s="1"/>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5" i="34"/>
  <c r="H23" i="34"/>
  <c r="AB23" i="34" s="1"/>
  <c r="J23" i="34"/>
  <c r="F19" i="34"/>
  <c r="H17" i="34"/>
  <c r="U17" i="34" s="1"/>
  <c r="F15" i="34"/>
  <c r="AA15" i="34" s="1"/>
  <c r="J15" i="34"/>
  <c r="W15" i="34" s="1"/>
  <c r="H15" i="34"/>
  <c r="AB15" i="34" s="1"/>
  <c r="W8" i="34"/>
  <c r="F41" i="33"/>
  <c r="S41" i="33" s="1"/>
  <c r="S38" i="33"/>
  <c r="E113" i="33"/>
  <c r="F113" i="33" s="1"/>
  <c r="G113" i="33" s="1"/>
  <c r="H113" i="33" s="1"/>
  <c r="I113" i="33" s="1"/>
  <c r="J113" i="33" s="1"/>
  <c r="K113" i="33" s="1"/>
  <c r="L113" i="33" s="1"/>
  <c r="M113" i="33" s="1"/>
  <c r="F32" i="33"/>
  <c r="AA32" i="33" s="1"/>
  <c r="J19" i="33"/>
  <c r="AC19" i="33"/>
  <c r="J15" i="33"/>
  <c r="AC15" i="33" s="1"/>
  <c r="F11" i="33"/>
  <c r="AA11" i="33" s="1"/>
  <c r="S26" i="33"/>
  <c r="W40" i="33"/>
  <c r="F37" i="40"/>
  <c r="AA37" i="40"/>
  <c r="F36" i="40"/>
  <c r="AA36" i="40" s="1"/>
  <c r="H28" i="40"/>
  <c r="U28" i="40"/>
  <c r="F23" i="40"/>
  <c r="AA23" i="40" s="1"/>
  <c r="F17" i="40"/>
  <c r="AA17" i="40" s="1"/>
  <c r="J17" i="40"/>
  <c r="W17" i="40" s="1"/>
  <c r="F15" i="40"/>
  <c r="S15" i="40" s="1"/>
  <c r="H15" i="40"/>
  <c r="AB15" i="40"/>
  <c r="S12" i="36"/>
  <c r="AA12"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H37" i="33"/>
  <c r="AB37" i="33" s="1"/>
  <c r="H15" i="33"/>
  <c r="AB15" i="33" s="1"/>
  <c r="H11" i="33"/>
  <c r="AB11" i="33" s="1"/>
  <c r="F28" i="40"/>
  <c r="AA28" i="40" s="1"/>
  <c r="S42" i="34"/>
  <c r="AC38" i="34"/>
  <c r="J37" i="34"/>
  <c r="AC37" i="34" s="1"/>
  <c r="J11" i="33"/>
  <c r="W11" i="33" s="1"/>
  <c r="I123" i="21"/>
  <c r="J123" i="21" s="1"/>
  <c r="K123" i="21" s="1"/>
  <c r="L123" i="21" s="1"/>
  <c r="M123" i="21" s="1"/>
  <c r="J42" i="21"/>
  <c r="AC42" i="21" s="1"/>
  <c r="H42" i="21"/>
  <c r="U42" i="21" s="1"/>
  <c r="J44" i="34"/>
  <c r="AC44" i="34" s="1"/>
  <c r="F44" i="34"/>
  <c r="AA44" i="34" s="1"/>
  <c r="J10" i="35"/>
  <c r="AC10" i="35" s="1"/>
  <c r="H14" i="21"/>
  <c r="U14" i="21" s="1"/>
  <c r="H28" i="21"/>
  <c r="AB28" i="21" s="1"/>
  <c r="F28" i="21"/>
  <c r="AA28" i="21" s="1"/>
  <c r="J28" i="21"/>
  <c r="H30" i="21"/>
  <c r="AB30" i="21" s="1"/>
  <c r="F30" i="21"/>
  <c r="S30" i="21" s="1"/>
  <c r="J30" i="21"/>
  <c r="AC30" i="21" s="1"/>
  <c r="J44" i="21"/>
  <c r="AC44" i="21" s="1"/>
  <c r="H44" i="21"/>
  <c r="AB44" i="21" s="1"/>
  <c r="F44" i="21"/>
  <c r="AA44" i="21" s="1"/>
  <c r="J46" i="21"/>
  <c r="H26" i="33"/>
  <c r="F28" i="33"/>
  <c r="AA28" i="33" s="1"/>
  <c r="F33" i="35"/>
  <c r="S33" i="35" s="1"/>
  <c r="J33" i="35"/>
  <c r="AC33" i="35" s="1"/>
  <c r="F30" i="35"/>
  <c r="S30" i="35" s="1"/>
  <c r="E89" i="35"/>
  <c r="F89" i="35" s="1"/>
  <c r="G89" i="35" s="1"/>
  <c r="H89" i="35" s="1"/>
  <c r="I89" i="35" s="1"/>
  <c r="J89" i="35" s="1"/>
  <c r="K89" i="35" s="1"/>
  <c r="L89" i="35" s="1"/>
  <c r="M89" i="35" s="1"/>
  <c r="H10" i="36"/>
  <c r="AB10" i="36" s="1"/>
  <c r="F28" i="36"/>
  <c r="AA28" i="36" s="1"/>
  <c r="J13" i="21"/>
  <c r="AC13" i="21" s="1"/>
  <c r="H27" i="21"/>
  <c r="AB27" i="21"/>
  <c r="F27" i="21"/>
  <c r="AA27" i="21" s="1"/>
  <c r="F31" i="21"/>
  <c r="S31" i="21" s="1"/>
  <c r="F45" i="21"/>
  <c r="AA45" i="21" s="1"/>
  <c r="F27" i="33"/>
  <c r="AA27" i="33"/>
  <c r="J13" i="33"/>
  <c r="H13" i="33"/>
  <c r="U13" i="33" s="1"/>
  <c r="F13" i="33"/>
  <c r="S13" i="33"/>
  <c r="F29" i="33"/>
  <c r="S29" i="33" s="1"/>
  <c r="J31" i="33"/>
  <c r="W31" i="33" s="1"/>
  <c r="H31" i="33"/>
  <c r="F31" i="33"/>
  <c r="F45" i="33"/>
  <c r="H30" i="34"/>
  <c r="F30" i="34"/>
  <c r="S30" i="34"/>
  <c r="J30" i="34"/>
  <c r="J32" i="34"/>
  <c r="W32" i="34" s="1"/>
  <c r="H46" i="34"/>
  <c r="AB46" i="34" s="1"/>
  <c r="F46" i="34"/>
  <c r="J46" i="34"/>
  <c r="H11" i="35"/>
  <c r="AB11" i="35" s="1"/>
  <c r="J11" i="35"/>
  <c r="W11" i="35" s="1"/>
  <c r="AC11" i="35"/>
  <c r="F11" i="35"/>
  <c r="J26" i="36"/>
  <c r="W26" i="36" s="1"/>
  <c r="H28" i="36"/>
  <c r="U28" i="36" s="1"/>
  <c r="H32" i="36"/>
  <c r="AB32" i="36" s="1"/>
  <c r="J32" i="36"/>
  <c r="W32" i="36" s="1"/>
  <c r="J11" i="36"/>
  <c r="AC11" i="36" s="1"/>
  <c r="H11" i="36"/>
  <c r="U11" i="36" s="1"/>
  <c r="F11"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J40" i="37"/>
  <c r="W12" i="40"/>
  <c r="H14" i="33"/>
  <c r="U14" i="33" s="1"/>
  <c r="F14" i="33"/>
  <c r="S14" i="33"/>
  <c r="J14" i="33"/>
  <c r="H30" i="33"/>
  <c r="AB30" i="33" s="1"/>
  <c r="F30" i="33"/>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F25" i="36"/>
  <c r="S25" i="36" s="1"/>
  <c r="H13" i="37"/>
  <c r="AB13" i="37" s="1"/>
  <c r="F13" i="37"/>
  <c r="S13" i="37"/>
  <c r="J13" i="37"/>
  <c r="W13" i="37" s="1"/>
  <c r="H38" i="37"/>
  <c r="AB38" i="37"/>
  <c r="J38" i="37"/>
  <c r="AC38" i="37" s="1"/>
  <c r="F38" i="37"/>
  <c r="S38" i="37" s="1"/>
  <c r="J14" i="39"/>
  <c r="AC14" i="39" s="1"/>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S13" i="39" s="1"/>
  <c r="J13" i="39"/>
  <c r="W13" i="39" s="1"/>
  <c r="H13" i="39"/>
  <c r="AB13" i="39" s="1"/>
  <c r="H14" i="40"/>
  <c r="J14" i="40"/>
  <c r="W14" i="40" s="1"/>
  <c r="F14" i="40"/>
  <c r="AA14" i="40"/>
  <c r="J14" i="37"/>
  <c r="J27" i="37"/>
  <c r="AC27" i="37"/>
  <c r="AA44" i="33"/>
  <c r="AA14" i="33"/>
  <c r="J36" i="37"/>
  <c r="AC36" i="37"/>
  <c r="J10" i="36"/>
  <c r="AC10" i="36" s="1"/>
  <c r="AA14" i="37"/>
  <c r="W31" i="34"/>
  <c r="S44" i="34"/>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AZ544" i="3" s="1"/>
  <c r="BL540" i="3"/>
  <c r="AZ540" i="3" s="1"/>
  <c r="BL536" i="3"/>
  <c r="G533" i="3"/>
  <c r="BL532" i="3"/>
  <c r="AZ532" i="3" s="1"/>
  <c r="G529" i="3"/>
  <c r="BL528" i="3"/>
  <c r="G525" i="3"/>
  <c r="BL524" i="3"/>
  <c r="BL518" i="3"/>
  <c r="BL514" i="3"/>
  <c r="BL510" i="3"/>
  <c r="BL504" i="3"/>
  <c r="AZ504" i="3" s="1"/>
  <c r="BL500" i="3"/>
  <c r="BL496" i="3"/>
  <c r="G493" i="3"/>
  <c r="BA584" i="3"/>
  <c r="BA582" i="3"/>
  <c r="BA580" i="3"/>
  <c r="BA578" i="3"/>
  <c r="BA576" i="3"/>
  <c r="AZ576" i="3" s="1"/>
  <c r="BA574" i="3"/>
  <c r="AZ574" i="3" s="1"/>
  <c r="BA572" i="3"/>
  <c r="AZ572" i="3" s="1"/>
  <c r="BA570" i="3"/>
  <c r="AZ570" i="3" s="1"/>
  <c r="BA568" i="3"/>
  <c r="AZ568" i="3" s="1"/>
  <c r="BA566" i="3"/>
  <c r="BA564" i="3"/>
  <c r="BA562" i="3"/>
  <c r="BA560" i="3"/>
  <c r="AZ560" i="3" s="1"/>
  <c r="BA558" i="3"/>
  <c r="BA556" i="3"/>
  <c r="AZ556" i="3"/>
  <c r="BA554" i="3"/>
  <c r="AZ554" i="3" s="1"/>
  <c r="BA552" i="3"/>
  <c r="AZ552" i="3"/>
  <c r="BA548" i="3"/>
  <c r="BA546" i="3"/>
  <c r="BA544" i="3"/>
  <c r="BA542" i="3"/>
  <c r="BA540" i="3"/>
  <c r="BA538" i="3"/>
  <c r="AZ538" i="3"/>
  <c r="BA536" i="3"/>
  <c r="AZ536" i="3"/>
  <c r="BA534" i="3"/>
  <c r="AZ534" i="3"/>
  <c r="BA532" i="3"/>
  <c r="BA530" i="3"/>
  <c r="AZ530" i="3" s="1"/>
  <c r="BA528" i="3"/>
  <c r="AZ528" i="3" s="1"/>
  <c r="BA526" i="3"/>
  <c r="BA524" i="3"/>
  <c r="BA522" i="3"/>
  <c r="AZ522" i="3" s="1"/>
  <c r="BA520" i="3"/>
  <c r="BA518" i="3"/>
  <c r="BA516" i="3"/>
  <c r="AZ516" i="3" s="1"/>
  <c r="BA514" i="3"/>
  <c r="BA512" i="3"/>
  <c r="AZ512" i="3" s="1"/>
  <c r="BA510" i="3"/>
  <c r="AZ510" i="3"/>
  <c r="BA508" i="3"/>
  <c r="AZ508" i="3" s="1"/>
  <c r="BA506" i="3"/>
  <c r="BA504" i="3"/>
  <c r="BA502" i="3"/>
  <c r="BA500" i="3"/>
  <c r="BA498" i="3"/>
  <c r="AZ498" i="3"/>
  <c r="BA496" i="3"/>
  <c r="AZ496" i="3" s="1"/>
  <c r="BA494"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c r="BQ565" i="3"/>
  <c r="BL565" i="3" s="1"/>
  <c r="AZ565" i="3"/>
  <c r="BQ563" i="3"/>
  <c r="BL563" i="3"/>
  <c r="AZ563" i="3" s="1"/>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AZ503" i="3"/>
  <c r="BQ501" i="3"/>
  <c r="BL501" i="3" s="1"/>
  <c r="BQ499" i="3"/>
  <c r="BL499" i="3"/>
  <c r="AZ499" i="3" s="1"/>
  <c r="BQ497" i="3"/>
  <c r="BL497" i="3" s="1"/>
  <c r="BQ495" i="3"/>
  <c r="BL495" i="3"/>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E123" i="33"/>
  <c r="F42" i="33"/>
  <c r="AA42" i="33" s="1"/>
  <c r="F22" i="36"/>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J36" i="40"/>
  <c r="W36" i="40" s="1"/>
  <c r="H19" i="37"/>
  <c r="AB19" i="37" s="1"/>
  <c r="F123" i="33"/>
  <c r="G123" i="33" s="1"/>
  <c r="H123" i="33" s="1"/>
  <c r="I123" i="33" s="1"/>
  <c r="J123" i="33" s="1"/>
  <c r="K123" i="33" s="1"/>
  <c r="L123" i="33" s="1"/>
  <c r="M123" i="33" s="1"/>
  <c r="H42" i="33"/>
  <c r="J43" i="33"/>
  <c r="AC43" i="33"/>
  <c r="U26" i="37"/>
  <c r="W47" i="34"/>
  <c r="AC36" i="34"/>
  <c r="AA13" i="33"/>
  <c r="W44" i="33"/>
  <c r="U11" i="33"/>
  <c r="U19" i="21"/>
  <c r="AB38" i="21"/>
  <c r="F43" i="33"/>
  <c r="AA43" i="33" s="1"/>
  <c r="AC15" i="34"/>
  <c r="W16" i="35"/>
  <c r="G107" i="37"/>
  <c r="H107" i="37"/>
  <c r="I107" i="37" s="1"/>
  <c r="J107" i="37" s="1"/>
  <c r="K107" i="37" s="1"/>
  <c r="L107" i="37" s="1"/>
  <c r="M107" i="37" s="1"/>
  <c r="S42" i="21"/>
  <c r="H19" i="34"/>
  <c r="AB19" i="34" s="1"/>
  <c r="F36" i="35"/>
  <c r="J9" i="37"/>
  <c r="W9" i="37" s="1"/>
  <c r="H9" i="37"/>
  <c r="U9" i="37" s="1"/>
  <c r="F9" i="37"/>
  <c r="S9" i="37" s="1"/>
  <c r="J12" i="37"/>
  <c r="H12" i="37"/>
  <c r="AB12" i="37" s="1"/>
  <c r="F12" i="37"/>
  <c r="S12" i="37" s="1"/>
  <c r="E71" i="37"/>
  <c r="F71" i="37" s="1"/>
  <c r="G71" i="37" s="1"/>
  <c r="F15" i="37"/>
  <c r="AA15" i="37"/>
  <c r="E94" i="37"/>
  <c r="F31" i="37"/>
  <c r="S31" i="37" s="1"/>
  <c r="J42" i="39"/>
  <c r="AC42" i="39" s="1"/>
  <c r="H21" i="40"/>
  <c r="AB21" i="40" s="1"/>
  <c r="F94" i="37"/>
  <c r="G94" i="37"/>
  <c r="H94" i="37" s="1"/>
  <c r="I94" i="37" s="1"/>
  <c r="J94" i="37" s="1"/>
  <c r="K94" i="37" s="1"/>
  <c r="L94" i="37" s="1"/>
  <c r="M94" i="37" s="1"/>
  <c r="H31" i="37"/>
  <c r="U31" i="37"/>
  <c r="J15" i="37"/>
  <c r="W15" i="37"/>
  <c r="AT6" i="3"/>
  <c r="H5" i="3"/>
  <c r="H19" i="40"/>
  <c r="U19" i="40" s="1"/>
  <c r="F19" i="40"/>
  <c r="S19" i="40" s="1"/>
  <c r="S14" i="40"/>
  <c r="AC13" i="40"/>
  <c r="H37" i="39"/>
  <c r="AB37" i="39"/>
  <c r="AC37" i="39"/>
  <c r="H25" i="39"/>
  <c r="U25" i="39" s="1"/>
  <c r="J25" i="39"/>
  <c r="AC25" i="39" s="1"/>
  <c r="F25" i="39"/>
  <c r="AA25" i="39" s="1"/>
  <c r="H41" i="39"/>
  <c r="AB41" i="39" s="1"/>
  <c r="AB34" i="39"/>
  <c r="U40" i="39"/>
  <c r="W9" i="39"/>
  <c r="W8" i="39"/>
  <c r="J19" i="40"/>
  <c r="AC19" i="40" s="1"/>
  <c r="J50" i="40"/>
  <c r="H103" i="9"/>
  <c r="D8" i="53" s="1"/>
  <c r="B16" i="53"/>
  <c r="B33" i="72" s="1"/>
  <c r="C7" i="37"/>
  <c r="C52" i="37" s="1"/>
  <c r="D52" i="37" s="1"/>
  <c r="C7" i="34"/>
  <c r="C7" i="36"/>
  <c r="W35" i="40"/>
  <c r="A118" i="9"/>
  <c r="A4" i="52"/>
  <c r="B41" i="72" s="1"/>
  <c r="J11" i="39"/>
  <c r="W11" i="39" s="1"/>
  <c r="F11" i="39"/>
  <c r="S11" i="39" s="1"/>
  <c r="G4" i="4"/>
  <c r="I4" i="4"/>
  <c r="A2" i="9"/>
  <c r="F61" i="43"/>
  <c r="H64" i="43" s="1"/>
  <c r="BL549" i="3"/>
  <c r="AZ494" i="3"/>
  <c r="AZ514" i="3"/>
  <c r="G546" i="3"/>
  <c r="G524" i="3"/>
  <c r="G303" i="3"/>
  <c r="BL304" i="3"/>
  <c r="G305" i="3"/>
  <c r="BL306" i="3"/>
  <c r="AZ306" i="3" s="1"/>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G125" i="3"/>
  <c r="BA127" i="3"/>
  <c r="AZ127" i="3"/>
  <c r="BL128" i="3"/>
  <c r="AZ128" i="3" s="1"/>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AZ192" i="3" s="1"/>
  <c r="G193" i="3"/>
  <c r="BA195" i="3"/>
  <c r="AZ195" i="3" s="1"/>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AZ146" i="3"/>
  <c r="AZ162" i="3"/>
  <c r="AZ500" i="3"/>
  <c r="BA16" i="3"/>
  <c r="AZ16" i="3" s="1"/>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AZ391" i="3" s="1"/>
  <c r="BL392" i="3"/>
  <c r="G393" i="3"/>
  <c r="AZ283" i="3"/>
  <c r="BO5" i="3"/>
  <c r="BM5" i="3"/>
  <c r="BH5" i="3"/>
  <c r="BD5" i="3"/>
  <c r="AZ341" i="3"/>
  <c r="AC5" i="3"/>
  <c r="AZ506" i="3"/>
  <c r="G548" i="3"/>
  <c r="G538" i="3"/>
  <c r="G520" i="3"/>
  <c r="G502" i="3"/>
  <c r="BN5" i="3"/>
  <c r="BG5" i="3"/>
  <c r="BE5" i="3"/>
  <c r="G17" i="3"/>
  <c r="BA17" i="3"/>
  <c r="BT5" i="3"/>
  <c r="AZ356" i="3"/>
  <c r="BA15" i="3"/>
  <c r="AZ380" i="3"/>
  <c r="AZ392" i="3"/>
  <c r="AZ509" i="3"/>
  <c r="G509" i="3"/>
  <c r="BL493" i="3"/>
  <c r="AZ493" i="3" s="1"/>
  <c r="U36" i="40"/>
  <c r="F83" i="43"/>
  <c r="H85" i="43" s="1"/>
  <c r="F50" i="43"/>
  <c r="H54" i="43" s="1"/>
  <c r="F72" i="43"/>
  <c r="H75" i="43" s="1"/>
  <c r="U17" i="39"/>
  <c r="S14" i="35"/>
  <c r="AC35" i="21"/>
  <c r="AC11" i="39"/>
  <c r="AZ501" i="3"/>
  <c r="W37" i="37"/>
  <c r="W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B29" i="36"/>
  <c r="U29" i="36"/>
  <c r="H32" i="37"/>
  <c r="AB32" i="37" s="1"/>
  <c r="F96" i="37"/>
  <c r="H27" i="40"/>
  <c r="AB27" i="40" s="1"/>
  <c r="U27" i="40"/>
  <c r="J27" i="40"/>
  <c r="AC27" i="40"/>
  <c r="F27" i="40"/>
  <c r="AA27" i="40" s="1"/>
  <c r="S27" i="40"/>
  <c r="J30" i="40"/>
  <c r="AC30" i="40"/>
  <c r="F30" i="40"/>
  <c r="AA30" i="40"/>
  <c r="AC21" i="40"/>
  <c r="S11" i="40"/>
  <c r="E98" i="40"/>
  <c r="F98" i="40" s="1"/>
  <c r="G98" i="40" s="1"/>
  <c r="H98" i="40" s="1"/>
  <c r="I98" i="40" s="1"/>
  <c r="J98" i="40" s="1"/>
  <c r="K98" i="40" s="1"/>
  <c r="L98" i="40" s="1"/>
  <c r="M98" i="40" s="1"/>
  <c r="F10" i="33"/>
  <c r="S10" i="33" s="1"/>
  <c r="F34" i="33"/>
  <c r="H34" i="33"/>
  <c r="U34" i="33" s="1"/>
  <c r="F35" i="33"/>
  <c r="F39" i="34"/>
  <c r="AA39" i="34" s="1"/>
  <c r="J39" i="34"/>
  <c r="F40" i="34"/>
  <c r="S40" i="34" s="1"/>
  <c r="F43" i="34"/>
  <c r="AA43" i="34" s="1"/>
  <c r="H44" i="34"/>
  <c r="U44" i="34" s="1"/>
  <c r="F39" i="39"/>
  <c r="S39" i="39" s="1"/>
  <c r="J39" i="39"/>
  <c r="AC39" i="39" s="1"/>
  <c r="AZ386" i="3"/>
  <c r="AZ227" i="3"/>
  <c r="AZ235" i="3"/>
  <c r="AZ251" i="3"/>
  <c r="AZ280" i="3"/>
  <c r="AZ74" i="3"/>
  <c r="H27" i="36"/>
  <c r="U27" i="36" s="1"/>
  <c r="F27" i="36"/>
  <c r="AA27" i="36" s="1"/>
  <c r="H33" i="34"/>
  <c r="U33" i="34" s="1"/>
  <c r="F32" i="37"/>
  <c r="S32" i="37" s="1"/>
  <c r="G96" i="37"/>
  <c r="H96" i="37" s="1"/>
  <c r="I96" i="37" s="1"/>
  <c r="J96" i="37" s="1"/>
  <c r="K96" i="37" s="1"/>
  <c r="L96" i="37" s="1"/>
  <c r="M96" i="37" s="1"/>
  <c r="F20" i="36"/>
  <c r="AA20" i="36" s="1"/>
  <c r="J33" i="34"/>
  <c r="AC33" i="34" s="1"/>
  <c r="D48" i="9"/>
  <c r="M52" i="9" s="1"/>
  <c r="K9" i="1"/>
  <c r="M9" i="1" s="1"/>
  <c r="D93" i="9"/>
  <c r="K6" i="1"/>
  <c r="AP6" i="1" s="1"/>
  <c r="AC26" i="33"/>
  <c r="W26" i="33"/>
  <c r="W27" i="34"/>
  <c r="AC27" i="34"/>
  <c r="AB34" i="36"/>
  <c r="U34" i="36"/>
  <c r="AB33" i="36"/>
  <c r="W12" i="39"/>
  <c r="AC39" i="40"/>
  <c r="W39" i="40"/>
  <c r="AC12" i="33"/>
  <c r="AZ473" i="3"/>
  <c r="AC13" i="34"/>
  <c r="AA47" i="34"/>
  <c r="S19" i="39"/>
  <c r="F12" i="33"/>
  <c r="H12" i="39"/>
  <c r="U12" i="39" s="1"/>
  <c r="AB12" i="39"/>
  <c r="F39" i="40"/>
  <c r="AZ367" i="3"/>
  <c r="AZ297" i="3"/>
  <c r="AZ173" i="3"/>
  <c r="AZ181" i="3"/>
  <c r="B12" i="1"/>
  <c r="E12" i="1" s="1"/>
  <c r="B10" i="1"/>
  <c r="E10" i="1" s="1"/>
  <c r="K12" i="1"/>
  <c r="M12" i="1" s="1"/>
  <c r="S13" i="1"/>
  <c r="AR13" i="1" s="1"/>
  <c r="R13" i="1"/>
  <c r="J51" i="67"/>
  <c r="C42" i="1"/>
  <c r="AC34" i="33"/>
  <c r="B41" i="1"/>
  <c r="F54" i="9" s="1"/>
  <c r="AB37" i="40"/>
  <c r="S35" i="40"/>
  <c r="U35" i="40"/>
  <c r="AC36" i="40"/>
  <c r="AA32" i="40"/>
  <c r="S17" i="40"/>
  <c r="S23" i="40"/>
  <c r="AC17" i="40"/>
  <c r="AC15" i="40"/>
  <c r="S30" i="40"/>
  <c r="AA19" i="40"/>
  <c r="S28" i="40"/>
  <c r="U21" i="40"/>
  <c r="AB19" i="40"/>
  <c r="U37" i="39"/>
  <c r="U35" i="39"/>
  <c r="F32" i="39"/>
  <c r="S32" i="39" s="1"/>
  <c r="J21" i="39"/>
  <c r="W21" i="39" s="1"/>
  <c r="F21" i="39"/>
  <c r="S21" i="39" s="1"/>
  <c r="G94" i="39"/>
  <c r="H21" i="39"/>
  <c r="AB21" i="39" s="1"/>
  <c r="S17" i="39"/>
  <c r="S9" i="39"/>
  <c r="AC13" i="39"/>
  <c r="S23" i="36"/>
  <c r="U26" i="36"/>
  <c r="S33" i="36"/>
  <c r="AA34" i="36"/>
  <c r="S24" i="36"/>
  <c r="U23" i="36"/>
  <c r="AA25" i="35"/>
  <c r="W24" i="35"/>
  <c r="AB13" i="35"/>
  <c r="U29" i="35"/>
  <c r="U28" i="35"/>
  <c r="AB27" i="35"/>
  <c r="U36" i="35"/>
  <c r="U32" i="35"/>
  <c r="AA33" i="35"/>
  <c r="AC30" i="35"/>
  <c r="S32" i="35"/>
  <c r="S28" i="35"/>
  <c r="AB16" i="35"/>
  <c r="U22" i="35"/>
  <c r="AC20" i="35"/>
  <c r="S22" i="35"/>
  <c r="U14" i="35"/>
  <c r="AC9" i="35"/>
  <c r="W9" i="35"/>
  <c r="W13" i="35"/>
  <c r="F9" i="35"/>
  <c r="S9" i="35" s="1"/>
  <c r="H9" i="35"/>
  <c r="U9" i="35" s="1"/>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G79" i="37" s="1"/>
  <c r="F23" i="37"/>
  <c r="S23" i="37" s="1"/>
  <c r="U23" i="37"/>
  <c r="U15" i="37"/>
  <c r="AC13" i="37"/>
  <c r="AA13" i="37"/>
  <c r="H10" i="37"/>
  <c r="AB10" i="37" s="1"/>
  <c r="F63" i="37"/>
  <c r="F11" i="37"/>
  <c r="S11" i="37" s="1"/>
  <c r="W25" i="34"/>
  <c r="AB8" i="34"/>
  <c r="U43" i="34"/>
  <c r="W41" i="34"/>
  <c r="AC42" i="34"/>
  <c r="AB35" i="34"/>
  <c r="S43" i="34"/>
  <c r="AB41" i="34"/>
  <c r="AA45"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36" i="21"/>
  <c r="W41" i="21"/>
  <c r="AA43" i="21"/>
  <c r="AA38" i="21"/>
  <c r="AA36" i="21"/>
  <c r="J15" i="21"/>
  <c r="AC15" i="21" s="1"/>
  <c r="F77" i="21"/>
  <c r="G77" i="21" s="1"/>
  <c r="F23" i="21"/>
  <c r="AA23" i="21" s="1"/>
  <c r="E85" i="21"/>
  <c r="D120" i="9"/>
  <c r="D121" i="9" s="1"/>
  <c r="D7" i="52" s="1"/>
  <c r="C18" i="9"/>
  <c r="D18" i="9" s="1"/>
  <c r="F34" i="67"/>
  <c r="F62" i="67" s="1"/>
  <c r="M20" i="67"/>
  <c r="F34" i="15"/>
  <c r="F62" i="15" s="1"/>
  <c r="BA13" i="3"/>
  <c r="BL17" i="3"/>
  <c r="AZ17" i="3"/>
  <c r="BL13" i="3"/>
  <c r="J56" i="9"/>
  <c r="J57" i="9" s="1"/>
  <c r="J59" i="9" s="1"/>
  <c r="J61" i="9" s="1"/>
  <c r="U29" i="34"/>
  <c r="E32" i="6"/>
  <c r="K1" i="12"/>
  <c r="E1" i="73"/>
  <c r="G22" i="69"/>
  <c r="G22" i="68"/>
  <c r="G26" i="12"/>
  <c r="G22" i="11"/>
  <c r="C6" i="43"/>
  <c r="B19" i="53"/>
  <c r="B37" i="72" s="1"/>
  <c r="C7" i="39"/>
  <c r="C67" i="39" s="1"/>
  <c r="C7" i="35"/>
  <c r="C48" i="35" s="1"/>
  <c r="D48" i="35" s="1"/>
  <c r="C7" i="33"/>
  <c r="C7" i="21"/>
  <c r="E7" i="21" s="1"/>
  <c r="G7" i="21" s="1"/>
  <c r="I7" i="21" s="1"/>
  <c r="C7" i="40"/>
  <c r="C63" i="40" s="1"/>
  <c r="M47" i="9"/>
  <c r="G23" i="43"/>
  <c r="C23" i="43" s="1"/>
  <c r="L20" i="6"/>
  <c r="B6" i="1"/>
  <c r="E6" i="1" s="1"/>
  <c r="K11" i="1"/>
  <c r="M11" i="1" s="1"/>
  <c r="O11" i="1" s="1"/>
  <c r="B9" i="1"/>
  <c r="E9" i="1" s="1"/>
  <c r="G1" i="69"/>
  <c r="W23" i="40"/>
  <c r="AB31" i="40"/>
  <c r="S37" i="40"/>
  <c r="AB28" i="40"/>
  <c r="W28" i="40"/>
  <c r="W34" i="40"/>
  <c r="W19" i="40"/>
  <c r="W27" i="40"/>
  <c r="S36" i="40"/>
  <c r="W37" i="40"/>
  <c r="AC14" i="40"/>
  <c r="S13" i="40"/>
  <c r="S33" i="40"/>
  <c r="AA15" i="40"/>
  <c r="U11" i="40"/>
  <c r="S31" i="40"/>
  <c r="AB13" i="40"/>
  <c r="U15" i="40"/>
  <c r="AB17" i="40"/>
  <c r="U8" i="40"/>
  <c r="S8" i="40"/>
  <c r="U13" i="39"/>
  <c r="AA13" i="39"/>
  <c r="W17" i="39"/>
  <c r="AA45" i="39"/>
  <c r="W34" i="39"/>
  <c r="S8" i="39"/>
  <c r="W29" i="36"/>
  <c r="AB28" i="36"/>
  <c r="AA13" i="36"/>
  <c r="W22" i="36"/>
  <c r="W23" i="36"/>
  <c r="AB20" i="35"/>
  <c r="AC25" i="35"/>
  <c r="U25" i="35"/>
  <c r="S24" i="35"/>
  <c r="U24" i="35"/>
  <c r="S35" i="35"/>
  <c r="W35" i="35"/>
  <c r="AA16" i="35"/>
  <c r="AA35" i="37"/>
  <c r="W36" i="37"/>
  <c r="S27" i="37"/>
  <c r="W32" i="37"/>
  <c r="U36" i="37"/>
  <c r="U38" i="37"/>
  <c r="AB37" i="37"/>
  <c r="AC34" i="37"/>
  <c r="AB35" i="37"/>
  <c r="AA31" i="37"/>
  <c r="U19" i="37"/>
  <c r="AA29" i="37"/>
  <c r="U8" i="37"/>
  <c r="AA40" i="34"/>
  <c r="AB40" i="34"/>
  <c r="U19" i="34"/>
  <c r="W19" i="34"/>
  <c r="AB33" i="34"/>
  <c r="AC45" i="34"/>
  <c r="AA31" i="34"/>
  <c r="AA30" i="34"/>
  <c r="AB45" i="34"/>
  <c r="AB47" i="34"/>
  <c r="U25" i="34"/>
  <c r="AB36" i="34"/>
  <c r="W33" i="34"/>
  <c r="AC32" i="34"/>
  <c r="AC29" i="34"/>
  <c r="W29" i="34"/>
  <c r="W46" i="34"/>
  <c r="AC46" i="34"/>
  <c r="U30" i="34"/>
  <c r="AB30" i="34"/>
  <c r="S37" i="34"/>
  <c r="U38" i="34"/>
  <c r="AC40" i="34"/>
  <c r="W40" i="34"/>
  <c r="AA19" i="34"/>
  <c r="S19" i="34"/>
  <c r="AA36" i="34"/>
  <c r="S36" i="34"/>
  <c r="AA8" i="34"/>
  <c r="S8" i="34"/>
  <c r="AB9" i="34"/>
  <c r="U9" i="34"/>
  <c r="S46" i="34"/>
  <c r="AA46"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8" i="33"/>
  <c r="S44" i="21"/>
  <c r="I101" i="21"/>
  <c r="J101" i="21" s="1"/>
  <c r="K101" i="21" s="1"/>
  <c r="L101" i="21" s="1"/>
  <c r="M101" i="21" s="1"/>
  <c r="F33" i="21"/>
  <c r="AA33" i="21" s="1"/>
  <c r="J33" i="21"/>
  <c r="AC33" i="21" s="1"/>
  <c r="H33" i="21"/>
  <c r="AB33" i="21" s="1"/>
  <c r="U40" i="21"/>
  <c r="AB13" i="21"/>
  <c r="H15" i="21"/>
  <c r="U15" i="21" s="1"/>
  <c r="J17" i="21"/>
  <c r="AC17" i="21" s="1"/>
  <c r="W30" i="21"/>
  <c r="F29" i="21"/>
  <c r="AA29" i="21" s="1"/>
  <c r="F13" i="21"/>
  <c r="AA13" i="21" s="1"/>
  <c r="H32" i="21"/>
  <c r="U32" i="21" s="1"/>
  <c r="H9" i="21"/>
  <c r="AB9" i="21" s="1"/>
  <c r="J9" i="21"/>
  <c r="AC9" i="21" s="1"/>
  <c r="J32" i="21"/>
  <c r="W32" i="21" s="1"/>
  <c r="F32" i="21"/>
  <c r="S32" i="21" s="1"/>
  <c r="AA31" i="21"/>
  <c r="S9" i="21"/>
  <c r="K141" i="21"/>
  <c r="K144" i="21"/>
  <c r="K143" i="21"/>
  <c r="U27" i="21"/>
  <c r="AB25" i="21"/>
  <c r="W13" i="21"/>
  <c r="W42" i="21"/>
  <c r="F10" i="21"/>
  <c r="AA10" i="21" s="1"/>
  <c r="K145" i="21"/>
  <c r="S27" i="21"/>
  <c r="AC26" i="21"/>
  <c r="AB36" i="21"/>
  <c r="W30" i="40"/>
  <c r="C19" i="39"/>
  <c r="C23" i="40"/>
  <c r="C21" i="40"/>
  <c r="U30" i="40"/>
  <c r="B56" i="43"/>
  <c r="B67" i="43"/>
  <c r="B54" i="43"/>
  <c r="B58" i="43"/>
  <c r="B62" i="43"/>
  <c r="B65" i="43"/>
  <c r="B69" i="43"/>
  <c r="D22" i="15"/>
  <c r="E4" i="4"/>
  <c r="B5" i="62" s="1"/>
  <c r="B73" i="72" s="1"/>
  <c r="C4" i="4"/>
  <c r="F30" i="68"/>
  <c r="F48" i="68" s="1"/>
  <c r="F32" i="15"/>
  <c r="F60" i="15" s="1"/>
  <c r="AA39" i="40"/>
  <c r="S39" i="40"/>
  <c r="S12" i="33"/>
  <c r="AA12" i="33"/>
  <c r="J32" i="39"/>
  <c r="W32" i="39" s="1"/>
  <c r="H32" i="39"/>
  <c r="AB32" i="39" s="1"/>
  <c r="AC17" i="37"/>
  <c r="S17" i="37"/>
  <c r="J19" i="37"/>
  <c r="W19" i="37" s="1"/>
  <c r="G75" i="37"/>
  <c r="AA19" i="37"/>
  <c r="AA23" i="37"/>
  <c r="J23" i="37"/>
  <c r="W23" i="37" s="1"/>
  <c r="J10" i="37"/>
  <c r="W10" i="37" s="1"/>
  <c r="G63" i="37"/>
  <c r="H63" i="37" s="1"/>
  <c r="I63" i="37" s="1"/>
  <c r="H11" i="37"/>
  <c r="AB11" i="37"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S25" i="33"/>
  <c r="AA25" i="33"/>
  <c r="J25" i="33"/>
  <c r="AC25" i="33" s="1"/>
  <c r="F23" i="33"/>
  <c r="G85" i="33"/>
  <c r="AA19" i="33"/>
  <c r="H19" i="33"/>
  <c r="G81" i="33"/>
  <c r="H17" i="33"/>
  <c r="U17" i="33" s="1"/>
  <c r="F17" i="33"/>
  <c r="S17" i="33" s="1"/>
  <c r="AC17" i="33"/>
  <c r="J23" i="21"/>
  <c r="AC23" i="21" s="1"/>
  <c r="F85" i="21"/>
  <c r="G85" i="21" s="1"/>
  <c r="H23" i="21"/>
  <c r="U23" i="21" s="1"/>
  <c r="S13" i="21"/>
  <c r="D6" i="52"/>
  <c r="AP7" i="1"/>
  <c r="AC32" i="39"/>
  <c r="J63" i="37"/>
  <c r="K63" i="37" s="1"/>
  <c r="L63" i="37" s="1"/>
  <c r="M63" i="37" s="1"/>
  <c r="J11" i="37"/>
  <c r="AC11" i="37" s="1"/>
  <c r="J11" i="34"/>
  <c r="W11" i="34" s="1"/>
  <c r="W25" i="33"/>
  <c r="AB19" i="33"/>
  <c r="U19" i="33"/>
  <c r="AA17" i="33"/>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E9" i="76"/>
  <c r="B8" i="76"/>
  <c r="D6" i="73"/>
  <c r="E13" i="76"/>
  <c r="E12" i="76"/>
  <c r="E10" i="76"/>
  <c r="F4" i="73"/>
  <c r="E2" i="69"/>
  <c r="B10" i="76"/>
  <c r="E8" i="76"/>
  <c r="B9" i="76"/>
  <c r="B13" i="76"/>
  <c r="F20" i="31"/>
  <c r="B11" i="76"/>
  <c r="B7" i="76"/>
  <c r="E7" i="76"/>
  <c r="F3" i="73"/>
  <c r="E2" i="68"/>
  <c r="B12" i="76"/>
  <c r="E11" i="76"/>
  <c r="F6" i="73"/>
  <c r="F7" i="73"/>
  <c r="AO13" i="1"/>
  <c r="C46" i="36" l="1"/>
  <c r="D46" i="36" s="1"/>
  <c r="E46" i="36" s="1"/>
  <c r="F46" i="36" s="1"/>
  <c r="G46" i="36" s="1"/>
  <c r="H46" i="36" s="1"/>
  <c r="I46" i="36" s="1"/>
  <c r="E7" i="36"/>
  <c r="G7" i="36" s="1"/>
  <c r="I7" i="36" s="1"/>
  <c r="C30" i="82"/>
  <c r="C48" i="82"/>
  <c r="F7" i="1"/>
  <c r="G7" i="1" s="1"/>
  <c r="R44" i="31"/>
  <c r="S44" i="31" s="1"/>
  <c r="R43" i="31"/>
  <c r="S43" i="31" s="1"/>
  <c r="R40" i="31"/>
  <c r="S40" i="31" s="1"/>
  <c r="R38" i="31"/>
  <c r="S38" i="31" s="1"/>
  <c r="R37" i="31"/>
  <c r="S37" i="31" s="1"/>
  <c r="R42" i="31"/>
  <c r="S42" i="31" s="1"/>
  <c r="U20" i="83"/>
  <c r="BA14" i="3"/>
  <c r="M18" i="81"/>
  <c r="B118" i="81" s="1"/>
  <c r="S16" i="36"/>
  <c r="H14" i="36"/>
  <c r="U14" i="36" s="1"/>
  <c r="F14" i="36"/>
  <c r="AA14" i="36" s="1"/>
  <c r="J14" i="36"/>
  <c r="W30" i="36"/>
  <c r="AB30" i="36"/>
  <c r="S32" i="36"/>
  <c r="AB14" i="36"/>
  <c r="AB20" i="36"/>
  <c r="S18" i="36"/>
  <c r="U16" i="36"/>
  <c r="S14" i="36"/>
  <c r="AA26" i="36"/>
  <c r="AC26" i="36"/>
  <c r="U32" i="36"/>
  <c r="AB25" i="36"/>
  <c r="U25" i="36"/>
  <c r="J25" i="36"/>
  <c r="U22" i="36"/>
  <c r="AA25" i="36"/>
  <c r="U12" i="36"/>
  <c r="A24" i="51"/>
  <c r="B18" i="72" s="1"/>
  <c r="J39" i="21"/>
  <c r="AC39" i="21" s="1"/>
  <c r="H39" i="21"/>
  <c r="H113" i="21"/>
  <c r="F37" i="21"/>
  <c r="AA37" i="21" s="1"/>
  <c r="H37" i="21"/>
  <c r="U37" i="21" s="1"/>
  <c r="J37" i="21"/>
  <c r="W37" i="21" s="1"/>
  <c r="W34" i="21"/>
  <c r="AB34" i="21"/>
  <c r="U35" i="21"/>
  <c r="S35" i="21"/>
  <c r="AB32" i="21"/>
  <c r="U9" i="21"/>
  <c r="W9" i="21"/>
  <c r="W23" i="21"/>
  <c r="S19" i="21"/>
  <c r="AB23" i="21"/>
  <c r="S23" i="21"/>
  <c r="AC19" i="21"/>
  <c r="U17" i="21"/>
  <c r="S17" i="21"/>
  <c r="AB15" i="21"/>
  <c r="W15" i="21"/>
  <c r="S45" i="21"/>
  <c r="H45" i="21"/>
  <c r="U45" i="21" s="1"/>
  <c r="AB42" i="21"/>
  <c r="W44" i="21"/>
  <c r="U44" i="21"/>
  <c r="S37" i="21"/>
  <c r="W39" i="21"/>
  <c r="F14" i="21"/>
  <c r="S14" i="21" s="1"/>
  <c r="AB14" i="21"/>
  <c r="AC29" i="21"/>
  <c r="W29" i="21"/>
  <c r="W25" i="21"/>
  <c r="AA25" i="21"/>
  <c r="H29" i="21"/>
  <c r="W43" i="21"/>
  <c r="AC38" i="21"/>
  <c r="AC40" i="21"/>
  <c r="AC27" i="21"/>
  <c r="AC45" i="21"/>
  <c r="AC14" i="21"/>
  <c r="AB41" i="21"/>
  <c r="U28" i="21"/>
  <c r="S39" i="21"/>
  <c r="S28" i="21"/>
  <c r="AA15" i="21"/>
  <c r="AA26" i="21"/>
  <c r="AA14" i="21"/>
  <c r="AA32" i="21"/>
  <c r="AA30" i="21"/>
  <c r="C51" i="10"/>
  <c r="A13" i="51" s="1"/>
  <c r="B11" i="72" s="1"/>
  <c r="A2" i="81"/>
  <c r="A118" i="81"/>
  <c r="F27" i="39"/>
  <c r="S27" i="39" s="1"/>
  <c r="H27" i="39"/>
  <c r="U27" i="39" s="1"/>
  <c r="U42" i="39"/>
  <c r="W29" i="39"/>
  <c r="AA27" i="39"/>
  <c r="AB27" i="39"/>
  <c r="AB25" i="39"/>
  <c r="W25" i="39"/>
  <c r="AC23" i="39"/>
  <c r="W23" i="39"/>
  <c r="E96" i="39"/>
  <c r="F96" i="39" s="1"/>
  <c r="G96" i="39" s="1"/>
  <c r="H23" i="39"/>
  <c r="U23" i="39" s="1"/>
  <c r="F23" i="39"/>
  <c r="AA23" i="39" s="1"/>
  <c r="F88" i="39"/>
  <c r="G88" i="39" s="1"/>
  <c r="F15" i="39"/>
  <c r="H15" i="39"/>
  <c r="U15" i="39" s="1"/>
  <c r="J15" i="39"/>
  <c r="W15" i="39" s="1"/>
  <c r="U41" i="39"/>
  <c r="AC38" i="39"/>
  <c r="AA11" i="39"/>
  <c r="H43" i="39"/>
  <c r="F43" i="39"/>
  <c r="AB39" i="39"/>
  <c r="AC41" i="39"/>
  <c r="S42" i="39"/>
  <c r="AA32" i="39"/>
  <c r="S37" i="39"/>
  <c r="U31" i="39"/>
  <c r="AA36" i="39"/>
  <c r="S35" i="39"/>
  <c r="J31" i="39"/>
  <c r="F31" i="39"/>
  <c r="U11" i="39"/>
  <c r="AA14" i="39"/>
  <c r="S14" i="39"/>
  <c r="H14" i="39"/>
  <c r="U19" i="39"/>
  <c r="F52" i="9"/>
  <c r="F48" i="9"/>
  <c r="O52" i="9" s="1"/>
  <c r="F53" i="81"/>
  <c r="F52" i="81"/>
  <c r="F54" i="81"/>
  <c r="D68" i="81"/>
  <c r="F48" i="81"/>
  <c r="O52" i="81" s="1"/>
  <c r="F28" i="15"/>
  <c r="C28" i="15" s="1"/>
  <c r="F32" i="67"/>
  <c r="F60" i="67" s="1"/>
  <c r="F28" i="67"/>
  <c r="C24" i="12"/>
  <c r="C77" i="81"/>
  <c r="C74" i="81" s="1"/>
  <c r="M18" i="15"/>
  <c r="M18" i="67"/>
  <c r="F30" i="11"/>
  <c r="C48" i="11" s="1"/>
  <c r="D68" i="9"/>
  <c r="F30" i="69"/>
  <c r="F48" i="69" s="1"/>
  <c r="F31" i="12"/>
  <c r="D78" i="9"/>
  <c r="D78" i="81"/>
  <c r="D93" i="81"/>
  <c r="C40" i="11"/>
  <c r="E19" i="11"/>
  <c r="E19" i="68"/>
  <c r="C5" i="68"/>
  <c r="D23" i="15"/>
  <c r="W43" i="39"/>
  <c r="W44" i="39"/>
  <c r="W27" i="39"/>
  <c r="U32" i="39"/>
  <c r="U21" i="39"/>
  <c r="U38" i="39"/>
  <c r="U44" i="39"/>
  <c r="S34" i="39"/>
  <c r="AA21" i="39"/>
  <c r="G1" i="15"/>
  <c r="G1" i="68"/>
  <c r="G1" i="67"/>
  <c r="F3" i="35"/>
  <c r="K7" i="1"/>
  <c r="C17" i="40"/>
  <c r="C15" i="40"/>
  <c r="C15" i="39"/>
  <c r="C29" i="39"/>
  <c r="B51" i="43"/>
  <c r="AZ14" i="3"/>
  <c r="AA20" i="35"/>
  <c r="S20" i="35"/>
  <c r="S22" i="36"/>
  <c r="AA22" i="36"/>
  <c r="AZ577" i="3"/>
  <c r="AZ583" i="3"/>
  <c r="AZ520" i="3"/>
  <c r="AZ558" i="3"/>
  <c r="AZ566" i="3"/>
  <c r="AZ582" i="3"/>
  <c r="AB46" i="33"/>
  <c r="U46" i="33"/>
  <c r="AA11" i="36"/>
  <c r="S11" i="36"/>
  <c r="AA45" i="33"/>
  <c r="S45" i="33"/>
  <c r="W28" i="21"/>
  <c r="AC28" i="21"/>
  <c r="F46" i="21"/>
  <c r="H46" i="21"/>
  <c r="AB40" i="33"/>
  <c r="U40" i="33"/>
  <c r="AB39" i="34"/>
  <c r="U39" i="34"/>
  <c r="U12" i="35"/>
  <c r="AB12" i="35"/>
  <c r="J29" i="33"/>
  <c r="H29" i="33"/>
  <c r="J45" i="33"/>
  <c r="H45" i="33"/>
  <c r="F14" i="34"/>
  <c r="H14" i="34"/>
  <c r="J14" i="34"/>
  <c r="F32" i="34"/>
  <c r="H32" i="34"/>
  <c r="F12" i="35"/>
  <c r="J12" i="35"/>
  <c r="J24" i="36"/>
  <c r="H24" i="36"/>
  <c r="J28" i="37"/>
  <c r="H28" i="37"/>
  <c r="F28" i="37"/>
  <c r="H40" i="37"/>
  <c r="F40" i="37"/>
  <c r="J32" i="40"/>
  <c r="H32" i="40"/>
  <c r="S38" i="34"/>
  <c r="AA38" i="34"/>
  <c r="AZ388" i="3"/>
  <c r="U14" i="40"/>
  <c r="AB14" i="40"/>
  <c r="AC19" i="39"/>
  <c r="W19" i="39"/>
  <c r="J31" i="21"/>
  <c r="H31" i="21"/>
  <c r="J13" i="36"/>
  <c r="H13" i="36"/>
  <c r="AC31" i="37"/>
  <c r="W31" i="37"/>
  <c r="AC27" i="33"/>
  <c r="AC23" i="37"/>
  <c r="S35" i="33"/>
  <c r="AA35" i="33"/>
  <c r="U23" i="33"/>
  <c r="AB25" i="33"/>
  <c r="W17" i="21"/>
  <c r="AA33" i="34"/>
  <c r="G29" i="6"/>
  <c r="AZ345" i="3"/>
  <c r="AZ318" i="3"/>
  <c r="AZ337" i="3"/>
  <c r="S12" i="39"/>
  <c r="AA12" i="39"/>
  <c r="W12" i="37"/>
  <c r="AC12" i="37"/>
  <c r="S36" i="35"/>
  <c r="AA36" i="35"/>
  <c r="AZ513" i="3"/>
  <c r="AZ542" i="3"/>
  <c r="W11" i="40"/>
  <c r="AC11" i="40"/>
  <c r="B101" i="43"/>
  <c r="B79" i="43"/>
  <c r="F28" i="34"/>
  <c r="J28" i="34"/>
  <c r="H28" i="34"/>
  <c r="AB9" i="40"/>
  <c r="U9" i="40"/>
  <c r="U39" i="40"/>
  <c r="AB39" i="40"/>
  <c r="AB36" i="33"/>
  <c r="AB45" i="21"/>
  <c r="AC20" i="36"/>
  <c r="S20" i="36"/>
  <c r="AA39" i="39"/>
  <c r="AA32" i="37"/>
  <c r="W39" i="34"/>
  <c r="AC39" i="34"/>
  <c r="S34" i="33"/>
  <c r="AA34" i="33"/>
  <c r="F29" i="6"/>
  <c r="AZ389" i="3"/>
  <c r="AZ320" i="3"/>
  <c r="AB42" i="33"/>
  <c r="U42" i="33"/>
  <c r="AZ497" i="3"/>
  <c r="AC40" i="37"/>
  <c r="W40" i="37"/>
  <c r="S11" i="35"/>
  <c r="AA11" i="35"/>
  <c r="U26" i="33"/>
  <c r="AB26" i="33"/>
  <c r="S25" i="34"/>
  <c r="AA25" i="34"/>
  <c r="S41" i="39"/>
  <c r="AA41" i="39"/>
  <c r="AB43" i="21"/>
  <c r="U43" i="21"/>
  <c r="BA587" i="3"/>
  <c r="BA586" i="3"/>
  <c r="AZ586" i="3" s="1"/>
  <c r="BA585" i="3"/>
  <c r="H9" i="33"/>
  <c r="J9" i="33"/>
  <c r="H28" i="33"/>
  <c r="J28" i="33"/>
  <c r="J23" i="35"/>
  <c r="H23" i="35"/>
  <c r="F23" i="35"/>
  <c r="AB9" i="39"/>
  <c r="U9" i="39"/>
  <c r="AA40" i="39"/>
  <c r="S40" i="39"/>
  <c r="H38" i="40"/>
  <c r="F38" i="40"/>
  <c r="J38" i="40"/>
  <c r="W31" i="35"/>
  <c r="AC31" i="35"/>
  <c r="BL584" i="3"/>
  <c r="AZ584" i="3" s="1"/>
  <c r="BK5" i="3"/>
  <c r="BC5" i="3"/>
  <c r="BJ5" i="3"/>
  <c r="BB5" i="3"/>
  <c r="E5" i="6" s="1"/>
  <c r="U30" i="33"/>
  <c r="AA12" i="40"/>
  <c r="AZ387" i="3"/>
  <c r="AZ362" i="3"/>
  <c r="AZ338" i="3"/>
  <c r="AZ390" i="3"/>
  <c r="AZ371" i="3"/>
  <c r="AZ351" i="3"/>
  <c r="AZ336" i="3"/>
  <c r="AZ305" i="3"/>
  <c r="AZ199" i="3"/>
  <c r="AZ360" i="3"/>
  <c r="AB33" i="40"/>
  <c r="AC31" i="33"/>
  <c r="AZ539" i="3"/>
  <c r="AZ529" i="3"/>
  <c r="AZ537" i="3"/>
  <c r="AZ518" i="3"/>
  <c r="AZ526" i="3"/>
  <c r="AZ546" i="3"/>
  <c r="AZ564" i="3"/>
  <c r="AZ580" i="3"/>
  <c r="U46" i="34"/>
  <c r="U30" i="21"/>
  <c r="AA29" i="35"/>
  <c r="AB17" i="34"/>
  <c r="AA41" i="33"/>
  <c r="U23" i="34"/>
  <c r="G586" i="3"/>
  <c r="B97" i="43"/>
  <c r="B75" i="43"/>
  <c r="AC28" i="36"/>
  <c r="W28" i="36"/>
  <c r="J39" i="37"/>
  <c r="H39" i="37"/>
  <c r="F44" i="39"/>
  <c r="H45" i="39"/>
  <c r="J45" i="39"/>
  <c r="W45" i="39" s="1"/>
  <c r="G582" i="3"/>
  <c r="G574" i="3"/>
  <c r="BA551" i="3"/>
  <c r="AZ551" i="3" s="1"/>
  <c r="BA550" i="3"/>
  <c r="BL548" i="3"/>
  <c r="AZ548" i="3" s="1"/>
  <c r="AZ502" i="3"/>
  <c r="BL587" i="3"/>
  <c r="BL586" i="3"/>
  <c r="AB35" i="33"/>
  <c r="U35" i="33"/>
  <c r="AC22" i="35"/>
  <c r="W22" i="35"/>
  <c r="J9" i="36"/>
  <c r="AZ443" i="3"/>
  <c r="AZ376" i="3"/>
  <c r="AZ309" i="3"/>
  <c r="AZ549" i="3"/>
  <c r="AZ515" i="3"/>
  <c r="AZ523" i="3"/>
  <c r="AZ533" i="3"/>
  <c r="AZ547" i="3"/>
  <c r="AZ561" i="3"/>
  <c r="AZ569" i="3"/>
  <c r="AZ571" i="3"/>
  <c r="AZ579" i="3"/>
  <c r="AZ524" i="3"/>
  <c r="G587" i="3"/>
  <c r="AZ469" i="3"/>
  <c r="BL585" i="3"/>
  <c r="G558" i="3"/>
  <c r="BL398" i="3"/>
  <c r="G402" i="3"/>
  <c r="BL403" i="3"/>
  <c r="AZ403" i="3" s="1"/>
  <c r="G405" i="3"/>
  <c r="G406" i="3"/>
  <c r="BA408" i="3"/>
  <c r="BA409" i="3"/>
  <c r="AZ409" i="3" s="1"/>
  <c r="BA411" i="3"/>
  <c r="BL414" i="3"/>
  <c r="BL415" i="3"/>
  <c r="BA417" i="3"/>
  <c r="BL421" i="3"/>
  <c r="BL422" i="3"/>
  <c r="BL425" i="3"/>
  <c r="BL426" i="3"/>
  <c r="BA428" i="3"/>
  <c r="BA429" i="3"/>
  <c r="BA430" i="3"/>
  <c r="AZ430" i="3" s="1"/>
  <c r="BA432" i="3"/>
  <c r="BA434" i="3"/>
  <c r="BA436" i="3"/>
  <c r="BA438" i="3"/>
  <c r="G442" i="3"/>
  <c r="G443" i="3"/>
  <c r="BA446" i="3"/>
  <c r="BA450" i="3"/>
  <c r="BA453" i="3"/>
  <c r="AZ453" i="3" s="1"/>
  <c r="BA455" i="3"/>
  <c r="AZ455" i="3" s="1"/>
  <c r="BL457" i="3"/>
  <c r="BL460" i="3"/>
  <c r="BL461" i="3"/>
  <c r="BL463" i="3"/>
  <c r="G465" i="3"/>
  <c r="BA471" i="3"/>
  <c r="BA485" i="3"/>
  <c r="AZ485" i="3" s="1"/>
  <c r="BL487" i="3"/>
  <c r="BL550" i="3"/>
  <c r="BL15" i="3"/>
  <c r="AZ15" i="3" s="1"/>
  <c r="BA398" i="3"/>
  <c r="AZ398" i="3" s="1"/>
  <c r="BA399" i="3"/>
  <c r="AZ399" i="3" s="1"/>
  <c r="BL401" i="3"/>
  <c r="AZ401" i="3" s="1"/>
  <c r="BL404" i="3"/>
  <c r="BL405" i="3"/>
  <c r="BL407" i="3"/>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39" i="3"/>
  <c r="BL441" i="3"/>
  <c r="AZ441" i="3" s="1"/>
  <c r="BL442" i="3"/>
  <c r="BL444" i="3"/>
  <c r="AZ444" i="3" s="1"/>
  <c r="G446" i="3"/>
  <c r="BL448" i="3"/>
  <c r="G450" i="3"/>
  <c r="BA454" i="3"/>
  <c r="AZ454" i="3" s="1"/>
  <c r="BA457" i="3"/>
  <c r="AZ457" i="3" s="1"/>
  <c r="BA459" i="3"/>
  <c r="BA460" i="3"/>
  <c r="AZ460" i="3" s="1"/>
  <c r="BA461" i="3"/>
  <c r="AZ461" i="3" s="1"/>
  <c r="BL464" i="3"/>
  <c r="BL466" i="3"/>
  <c r="G468" i="3"/>
  <c r="BL476" i="3"/>
  <c r="AZ476" i="3" s="1"/>
  <c r="AZ483" i="3"/>
  <c r="AZ404" i="3"/>
  <c r="AZ405" i="3"/>
  <c r="AZ407" i="3"/>
  <c r="AZ419" i="3"/>
  <c r="AZ422" i="3"/>
  <c r="AZ448" i="3"/>
  <c r="AZ464" i="3"/>
  <c r="AZ466" i="3"/>
  <c r="BA482" i="3"/>
  <c r="BA484" i="3"/>
  <c r="AZ484" i="3" s="1"/>
  <c r="AZ487" i="3"/>
  <c r="G399" i="3"/>
  <c r="BL400" i="3"/>
  <c r="AZ400" i="3" s="1"/>
  <c r="BL408" i="3"/>
  <c r="BL411" i="3"/>
  <c r="BL413" i="3"/>
  <c r="AZ413" i="3" s="1"/>
  <c r="G416" i="3"/>
  <c r="BL417" i="3"/>
  <c r="BL418" i="3"/>
  <c r="BL420" i="3"/>
  <c r="G423" i="3"/>
  <c r="BL424" i="3"/>
  <c r="AZ424" i="3" s="1"/>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AZ467" i="3" s="1"/>
  <c r="BA468" i="3"/>
  <c r="BL471" i="3"/>
  <c r="BL488"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AZ294" i="3"/>
  <c r="BA298" i="3"/>
  <c r="AZ298" i="3" s="1"/>
  <c r="BL301" i="3"/>
  <c r="AZ301" i="3" s="1"/>
  <c r="BL302" i="3"/>
  <c r="BA114" i="3"/>
  <c r="BL123" i="3"/>
  <c r="AZ123" i="3" s="1"/>
  <c r="BL167" i="3"/>
  <c r="AZ167" i="3" s="1"/>
  <c r="BL178" i="3"/>
  <c r="BA180" i="3"/>
  <c r="AZ180" i="3" s="1"/>
  <c r="BL182" i="3"/>
  <c r="AZ182" i="3" s="1"/>
  <c r="BA50" i="3"/>
  <c r="AZ50" i="3" s="1"/>
  <c r="AZ65" i="3"/>
  <c r="C55" i="71"/>
  <c r="D54" i="71"/>
  <c r="N65" i="71"/>
  <c r="N66" i="7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98" i="3"/>
  <c r="BL199" i="3"/>
  <c r="BA200" i="3"/>
  <c r="AZ200" i="3" s="1"/>
  <c r="D34" i="71"/>
  <c r="C35" i="71"/>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302" i="3"/>
  <c r="BA130" i="3"/>
  <c r="AZ130" i="3" s="1"/>
  <c r="BL130" i="3"/>
  <c r="BA137" i="3"/>
  <c r="AZ137" i="3" s="1"/>
  <c r="BL138" i="3"/>
  <c r="BA140" i="3"/>
  <c r="AZ140" i="3" s="1"/>
  <c r="BA142" i="3"/>
  <c r="BL149" i="3"/>
  <c r="AZ149" i="3" s="1"/>
  <c r="BL150" i="3"/>
  <c r="AZ150" i="3" s="1"/>
  <c r="BA152" i="3"/>
  <c r="AZ152" i="3" s="1"/>
  <c r="BA154" i="3"/>
  <c r="AZ154" i="3" s="1"/>
  <c r="BA189" i="3"/>
  <c r="AZ189" i="3" s="1"/>
  <c r="BA190" i="3"/>
  <c r="AZ190" i="3" s="1"/>
  <c r="BL197" i="3"/>
  <c r="AZ197" i="3" s="1"/>
  <c r="BL201" i="3"/>
  <c r="AZ201" i="3" s="1"/>
  <c r="BL203" i="3"/>
  <c r="AZ203" i="3" s="1"/>
  <c r="BA204" i="3"/>
  <c r="AZ204" i="3" s="1"/>
  <c r="BL207" i="3"/>
  <c r="BL18" i="3"/>
  <c r="BL19" i="3"/>
  <c r="BA20" i="3"/>
  <c r="AZ20" i="3" s="1"/>
  <c r="G488" i="3"/>
  <c r="BL317" i="3"/>
  <c r="BA349" i="3"/>
  <c r="AZ349" i="3" s="1"/>
  <c r="BA353" i="3"/>
  <c r="BL353" i="3"/>
  <c r="BA358" i="3"/>
  <c r="AZ358" i="3" s="1"/>
  <c r="BL365" i="3"/>
  <c r="AZ365" i="3" s="1"/>
  <c r="BA368" i="3"/>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D60" i="71"/>
  <c r="T60" i="71"/>
  <c r="D44" i="71"/>
  <c r="T44" i="71"/>
  <c r="AC18" i="36"/>
  <c r="W18" i="36"/>
  <c r="AB25" i="40"/>
  <c r="U25" i="40"/>
  <c r="D75" i="71"/>
  <c r="C74" i="71"/>
  <c r="D74" i="71" s="1"/>
  <c r="C31" i="71"/>
  <c r="D30" i="71"/>
  <c r="Y27" i="71"/>
  <c r="Z27" i="71" s="1"/>
  <c r="Y26" i="71"/>
  <c r="Z26" i="71" s="1"/>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AZ53" i="3" s="1"/>
  <c r="BA54" i="3"/>
  <c r="BL57" i="3"/>
  <c r="AZ57" i="3" s="1"/>
  <c r="G59" i="3"/>
  <c r="G62" i="3"/>
  <c r="BL62" i="3"/>
  <c r="AZ62" i="3" s="1"/>
  <c r="BL63" i="3"/>
  <c r="AZ63" i="3" s="1"/>
  <c r="G65" i="3"/>
  <c r="BL65" i="3"/>
  <c r="BL66" i="3"/>
  <c r="AZ66" i="3" s="1"/>
  <c r="BL67" i="3"/>
  <c r="AZ67" i="3" s="1"/>
  <c r="G69" i="3"/>
  <c r="G70" i="3"/>
  <c r="BL70" i="3"/>
  <c r="AZ70" i="3" s="1"/>
  <c r="BL71" i="3"/>
  <c r="BL72" i="3"/>
  <c r="AZ72" i="3" s="1"/>
  <c r="G74" i="3"/>
  <c r="BA75" i="3"/>
  <c r="AZ75" i="3" s="1"/>
  <c r="BL86" i="3"/>
  <c r="G87" i="3"/>
  <c r="BA91" i="3"/>
  <c r="AZ91" i="3" s="1"/>
  <c r="BA98" i="3"/>
  <c r="BA100" i="3"/>
  <c r="AZ100" i="3" s="1"/>
  <c r="BA102" i="3"/>
  <c r="AZ102" i="3" s="1"/>
  <c r="BL105" i="3"/>
  <c r="AZ105" i="3" s="1"/>
  <c r="G107" i="3"/>
  <c r="BL107"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28" i="3"/>
  <c r="BA31" i="3"/>
  <c r="AZ31" i="3" s="1"/>
  <c r="BA32" i="3"/>
  <c r="BA38" i="3"/>
  <c r="BA41" i="3"/>
  <c r="BA42" i="3"/>
  <c r="BL48" i="3"/>
  <c r="AZ48" i="3" s="1"/>
  <c r="BL54" i="3"/>
  <c r="BL55" i="3"/>
  <c r="AZ55" i="3" s="1"/>
  <c r="BA59" i="3"/>
  <c r="AZ59" i="3" s="1"/>
  <c r="BL61" i="3"/>
  <c r="BA64" i="3"/>
  <c r="AZ64" i="3" s="1"/>
  <c r="BL68" i="3"/>
  <c r="BA69" i="3"/>
  <c r="AZ69" i="3" s="1"/>
  <c r="BL79" i="3"/>
  <c r="BL81" i="3"/>
  <c r="BA82" i="3"/>
  <c r="AZ82" i="3" s="1"/>
  <c r="BL83" i="3"/>
  <c r="BA89" i="3"/>
  <c r="BL93" i="3"/>
  <c r="BL94" i="3"/>
  <c r="AZ94" i="3" s="1"/>
  <c r="W21" i="37"/>
  <c r="AC21" i="37"/>
  <c r="U21" i="37"/>
  <c r="AB21" i="34"/>
  <c r="U21" i="34"/>
  <c r="D43" i="71"/>
  <c r="AB27" i="71"/>
  <c r="C86" i="71"/>
  <c r="D86" i="71" s="1"/>
  <c r="D87" i="71"/>
  <c r="C52" i="71"/>
  <c r="D51" i="71"/>
  <c r="X26" i="71"/>
  <c r="Y25" i="71"/>
  <c r="Z25" i="71" s="1"/>
  <c r="AB34" i="71"/>
  <c r="AB33" i="71"/>
  <c r="C63" i="71"/>
  <c r="D62" i="71"/>
  <c r="F66" i="71"/>
  <c r="Q67" i="71"/>
  <c r="P68" i="71"/>
  <c r="U68" i="71"/>
  <c r="BL193" i="3"/>
  <c r="G194" i="3"/>
  <c r="BL194" i="3"/>
  <c r="AZ194" i="3" s="1"/>
  <c r="BA198" i="3"/>
  <c r="AZ198" i="3" s="1"/>
  <c r="G199" i="3"/>
  <c r="G204" i="3"/>
  <c r="G205" i="3"/>
  <c r="BL206" i="3"/>
  <c r="BA19" i="3"/>
  <c r="AZ19" i="3" s="1"/>
  <c r="G22" i="3"/>
  <c r="G24" i="3"/>
  <c r="G25" i="3"/>
  <c r="G27" i="3"/>
  <c r="BA27" i="3"/>
  <c r="AZ27" i="3" s="1"/>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3" i="3"/>
  <c r="G78" i="3"/>
  <c r="G79" i="3"/>
  <c r="G81" i="3"/>
  <c r="G85" i="3"/>
  <c r="BL85" i="3"/>
  <c r="BA86" i="3"/>
  <c r="G93" i="3"/>
  <c r="G96" i="3"/>
  <c r="BL97" i="3"/>
  <c r="AZ97" i="3" s="1"/>
  <c r="G103" i="3"/>
  <c r="BA103" i="3"/>
  <c r="AZ103" i="3" s="1"/>
  <c r="BA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BA71" i="3"/>
  <c r="AZ71" i="3" s="1"/>
  <c r="G76" i="3"/>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111" i="3"/>
  <c r="AZ111" i="3" s="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68" i="3"/>
  <c r="AZ73" i="3"/>
  <c r="AZ104" i="3"/>
  <c r="AZ106" i="3"/>
  <c r="G200" i="3"/>
  <c r="G207" i="3"/>
  <c r="BA23" i="3"/>
  <c r="AZ23" i="3" s="1"/>
  <c r="BA24" i="3"/>
  <c r="AZ24" i="3" s="1"/>
  <c r="BL26" i="3"/>
  <c r="AZ26" i="3" s="1"/>
  <c r="BL32" i="3"/>
  <c r="BA34" i="3"/>
  <c r="AZ34" i="3" s="1"/>
  <c r="BA35" i="3"/>
  <c r="AZ35" i="3" s="1"/>
  <c r="BL37" i="3"/>
  <c r="AZ37" i="3" s="1"/>
  <c r="BL42" i="3"/>
  <c r="AZ42" i="3" s="1"/>
  <c r="BA44" i="3"/>
  <c r="AZ44" i="3" s="1"/>
  <c r="AZ56" i="3"/>
  <c r="AZ60" i="3"/>
  <c r="BA206" i="3"/>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E29" i="6"/>
  <c r="K15" i="1" s="1"/>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4" i="73"/>
  <c r="F42" i="67"/>
  <c r="D5" i="73"/>
  <c r="L48" i="15"/>
  <c r="M24" i="67"/>
  <c r="F13" i="15"/>
  <c r="F36" i="15"/>
  <c r="M28" i="15"/>
  <c r="F9" i="67"/>
  <c r="M29" i="67"/>
  <c r="M24" i="15"/>
  <c r="M8" i="15"/>
  <c r="F8" i="67"/>
  <c r="F40" i="15"/>
  <c r="M23" i="67"/>
  <c r="L48" i="67"/>
  <c r="F43" i="15"/>
  <c r="F40" i="67"/>
  <c r="M28" i="67"/>
  <c r="F38" i="67"/>
  <c r="M23" i="15"/>
  <c r="F42" i="15"/>
  <c r="M6" i="67"/>
  <c r="F6" i="67"/>
  <c r="M22" i="67"/>
  <c r="M26" i="67"/>
  <c r="L47" i="15"/>
  <c r="F38" i="15"/>
  <c r="F16" i="67"/>
  <c r="F36" i="67"/>
  <c r="F8" i="15"/>
  <c r="F26" i="67"/>
  <c r="F43" i="67"/>
  <c r="J15" i="15"/>
  <c r="M22" i="15"/>
  <c r="F37" i="67"/>
  <c r="F7" i="67"/>
  <c r="F9" i="15"/>
  <c r="F13" i="67"/>
  <c r="M9" i="15"/>
  <c r="F16" i="15"/>
  <c r="F7" i="15"/>
  <c r="M9" i="67"/>
  <c r="C76" i="15"/>
  <c r="D7" i="73"/>
  <c r="F6" i="15"/>
  <c r="C76" i="67"/>
  <c r="J15" i="67"/>
  <c r="D3" i="73"/>
  <c r="F37" i="15"/>
  <c r="C36" i="69"/>
  <c r="M26" i="15"/>
  <c r="M6" i="15"/>
  <c r="L47" i="67"/>
  <c r="M8" i="67"/>
  <c r="M29" i="15"/>
  <c r="F26" i="15"/>
  <c r="M7" i="1" l="1"/>
  <c r="O7" i="1" s="1"/>
  <c r="P7" i="1" s="1"/>
  <c r="C36" i="68"/>
  <c r="E10" i="6"/>
  <c r="AC14" i="36"/>
  <c r="W14" i="36"/>
  <c r="W25" i="36"/>
  <c r="AC25" i="36"/>
  <c r="U39" i="21"/>
  <c r="AB39" i="21"/>
  <c r="U29" i="21"/>
  <c r="AB29" i="21"/>
  <c r="S23" i="39"/>
  <c r="AA15" i="39"/>
  <c r="S15" i="39"/>
  <c r="AC45" i="39"/>
  <c r="AA43" i="39"/>
  <c r="S43" i="39"/>
  <c r="AB43" i="39"/>
  <c r="U43" i="39"/>
  <c r="AA31" i="39"/>
  <c r="S31" i="39"/>
  <c r="AC31" i="39"/>
  <c r="W31" i="39"/>
  <c r="AB14" i="39"/>
  <c r="U14" i="39"/>
  <c r="C30" i="69"/>
  <c r="C48" i="69"/>
  <c r="F64" i="67"/>
  <c r="Q71" i="67"/>
  <c r="M7" i="67"/>
  <c r="J6" i="67" s="1"/>
  <c r="J18" i="67" s="1"/>
  <c r="F50" i="67"/>
  <c r="L59" i="67"/>
  <c r="Q61" i="67" s="1"/>
  <c r="L58" i="67"/>
  <c r="Q60" i="67" s="1"/>
  <c r="M59" i="67"/>
  <c r="N59" i="67"/>
  <c r="F65" i="67"/>
  <c r="J57" i="67"/>
  <c r="J55" i="67" s="1"/>
  <c r="J58" i="67" s="1"/>
  <c r="Q50" i="67" s="1"/>
  <c r="L56" i="67"/>
  <c r="I54" i="67"/>
  <c r="J53" i="67"/>
  <c r="F1" i="67" s="1"/>
  <c r="F51" i="67"/>
  <c r="C27" i="67"/>
  <c r="C6" i="67"/>
  <c r="C32" i="67" s="1"/>
  <c r="F68" i="67"/>
  <c r="F71" i="67"/>
  <c r="F65" i="15"/>
  <c r="C27" i="15"/>
  <c r="F50" i="15"/>
  <c r="M7" i="15"/>
  <c r="J6" i="15" s="1"/>
  <c r="J18" i="15" s="1"/>
  <c r="F64" i="15"/>
  <c r="F66" i="15"/>
  <c r="J53" i="15"/>
  <c r="L56" i="15" s="1"/>
  <c r="J57" i="15"/>
  <c r="J55" i="15" s="1"/>
  <c r="J58" i="15" s="1"/>
  <c r="Q50" i="15" s="1"/>
  <c r="I54" i="15"/>
  <c r="D19" i="12"/>
  <c r="C19" i="12" s="1"/>
  <c r="D9" i="11"/>
  <c r="C9" i="11" s="1"/>
  <c r="D9" i="68"/>
  <c r="C9" i="68" s="1"/>
  <c r="N94" i="46"/>
  <c r="F26" i="43"/>
  <c r="Q16" i="1"/>
  <c r="N370" i="46"/>
  <c r="H26" i="43"/>
  <c r="H16" i="1"/>
  <c r="E26" i="43"/>
  <c r="G26" i="43"/>
  <c r="F30" i="6"/>
  <c r="J7" i="36"/>
  <c r="AC7" i="36" s="1"/>
  <c r="F66" i="67"/>
  <c r="L59" i="15"/>
  <c r="Q61" i="15" s="1"/>
  <c r="N59" i="15"/>
  <c r="L58" i="15"/>
  <c r="Q73" i="15" s="1"/>
  <c r="M59" i="15"/>
  <c r="C6" i="15"/>
  <c r="C32" i="15" s="1"/>
  <c r="F31" i="15"/>
  <c r="F68" i="15"/>
  <c r="F51" i="15"/>
  <c r="Q71" i="15"/>
  <c r="F71" i="15"/>
  <c r="C26" i="71"/>
  <c r="D26" i="71" s="1"/>
  <c r="D27" i="71"/>
  <c r="AZ432" i="3"/>
  <c r="AZ417" i="3"/>
  <c r="AA23" i="35"/>
  <c r="S23" i="35"/>
  <c r="W28" i="34"/>
  <c r="AC28" i="34"/>
  <c r="AC31" i="21"/>
  <c r="W31" i="21"/>
  <c r="D20" i="53"/>
  <c r="B40" i="72" s="1"/>
  <c r="E15" i="6"/>
  <c r="E64" i="39" s="1"/>
  <c r="E28" i="6"/>
  <c r="K14" i="1" s="1"/>
  <c r="K16" i="1" s="1"/>
  <c r="AZ299" i="3"/>
  <c r="AZ79" i="3"/>
  <c r="AZ86" i="3"/>
  <c r="AZ61" i="3"/>
  <c r="C64" i="71"/>
  <c r="D63" i="71"/>
  <c r="D23" i="71"/>
  <c r="C22" i="71"/>
  <c r="D67" i="71"/>
  <c r="C66" i="71"/>
  <c r="O67" i="71"/>
  <c r="AZ38" i="3"/>
  <c r="D31" i="71"/>
  <c r="C32" i="71"/>
  <c r="AZ121" i="3"/>
  <c r="AZ274" i="3"/>
  <c r="AZ277" i="3"/>
  <c r="AZ256" i="3"/>
  <c r="AZ397" i="3"/>
  <c r="AZ435" i="3"/>
  <c r="AZ471" i="3"/>
  <c r="AZ408" i="3"/>
  <c r="AZ550" i="3"/>
  <c r="AC39" i="37"/>
  <c r="W39" i="37"/>
  <c r="AC38" i="40"/>
  <c r="W38" i="40"/>
  <c r="U23" i="35"/>
  <c r="AB23" i="35"/>
  <c r="AC9" i="33"/>
  <c r="W9" i="33"/>
  <c r="AZ587" i="3"/>
  <c r="AA28" i="34"/>
  <c r="S28" i="34"/>
  <c r="AB13" i="36"/>
  <c r="U13" i="36"/>
  <c r="AC32" i="40"/>
  <c r="W32" i="40"/>
  <c r="W12" i="35"/>
  <c r="AC12" i="35"/>
  <c r="W14" i="34"/>
  <c r="AC14" i="34"/>
  <c r="W45" i="33"/>
  <c r="AC45" i="33"/>
  <c r="E13" i="6"/>
  <c r="E62" i="39" s="1"/>
  <c r="E12" i="6"/>
  <c r="E57" i="40" s="1"/>
  <c r="E14" i="6"/>
  <c r="AZ206" i="3"/>
  <c r="AZ138" i="3"/>
  <c r="AZ114" i="3"/>
  <c r="AZ285" i="3"/>
  <c r="AZ333" i="3"/>
  <c r="AZ41" i="3"/>
  <c r="AZ28" i="3"/>
  <c r="T40" i="71"/>
  <c r="D40" i="71"/>
  <c r="AZ126" i="3"/>
  <c r="AZ368" i="3"/>
  <c r="AZ353" i="3"/>
  <c r="AZ239" i="3"/>
  <c r="C56" i="71"/>
  <c r="D55" i="71"/>
  <c r="AZ459" i="3"/>
  <c r="AZ429" i="3"/>
  <c r="AB45" i="39"/>
  <c r="U45" i="39"/>
  <c r="AA38" i="40"/>
  <c r="S38" i="40"/>
  <c r="AC23" i="35"/>
  <c r="W23" i="35"/>
  <c r="AB9" i="33"/>
  <c r="U9" i="33"/>
  <c r="AA40" i="37"/>
  <c r="S40" i="37"/>
  <c r="W28" i="37"/>
  <c r="AC28" i="37"/>
  <c r="U14" i="34"/>
  <c r="AB14" i="34"/>
  <c r="U29" i="33"/>
  <c r="AB29" i="33"/>
  <c r="U46" i="21"/>
  <c r="AB46" i="21"/>
  <c r="B19" i="71"/>
  <c r="B18" i="71" s="1"/>
  <c r="B17" i="71" s="1"/>
  <c r="B16" i="71" s="1"/>
  <c r="S16" i="71" s="1"/>
  <c r="S20" i="71"/>
  <c r="AC9" i="36"/>
  <c r="W9" i="36"/>
  <c r="AB39" i="37"/>
  <c r="U39" i="37"/>
  <c r="U28" i="33"/>
  <c r="AB28" i="33"/>
  <c r="AB32" i="40"/>
  <c r="U32" i="40"/>
  <c r="AA28" i="37"/>
  <c r="S28" i="37"/>
  <c r="AC24" i="36"/>
  <c r="W24" i="36"/>
  <c r="S32" i="34"/>
  <c r="AA32" i="34"/>
  <c r="U45" i="33"/>
  <c r="AB45" i="33"/>
  <c r="G5" i="3"/>
  <c r="B3" i="3" s="1"/>
  <c r="E102" i="3" s="1"/>
  <c r="AZ32" i="3"/>
  <c r="AZ5" i="3" s="1"/>
  <c r="AZ348" i="3"/>
  <c r="AZ317" i="3"/>
  <c r="T52" i="71"/>
  <c r="D52" i="71"/>
  <c r="AZ271" i="3"/>
  <c r="C36" i="71"/>
  <c r="D35" i="71"/>
  <c r="AZ428" i="3"/>
  <c r="AZ411" i="3"/>
  <c r="AA44" i="39"/>
  <c r="S44" i="39"/>
  <c r="AB38" i="40"/>
  <c r="U38" i="40"/>
  <c r="W28" i="33"/>
  <c r="AC28" i="33"/>
  <c r="AZ585" i="3"/>
  <c r="AB28" i="34"/>
  <c r="U28" i="34"/>
  <c r="AB31" i="21"/>
  <c r="U31" i="21"/>
  <c r="U40" i="37"/>
  <c r="AB40" i="37"/>
  <c r="AB24" i="36"/>
  <c r="U24" i="36"/>
  <c r="AB32" i="34"/>
  <c r="U32" i="34"/>
  <c r="S14" i="34"/>
  <c r="AA14" i="34"/>
  <c r="AA46" i="21"/>
  <c r="S46" i="21"/>
  <c r="G16" i="1"/>
  <c r="F10" i="39" s="1"/>
  <c r="S10" i="39" s="1"/>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AA7" i="36" s="1"/>
  <c r="H7" i="36"/>
  <c r="AB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E72" i="43"/>
  <c r="B70" i="43" s="1"/>
  <c r="F31" i="6"/>
  <c r="E51" i="40"/>
  <c r="D5" i="43"/>
  <c r="C7" i="43"/>
  <c r="C5" i="43" s="1"/>
  <c r="D10" i="52"/>
  <c r="D125" i="9"/>
  <c r="D11" i="52" s="1"/>
  <c r="B7" i="74"/>
  <c r="C7" i="74" s="1"/>
  <c r="F67" i="39"/>
  <c r="F59" i="67"/>
  <c r="H7" i="37"/>
  <c r="AB7" i="37" s="1"/>
  <c r="T42" i="37" s="1"/>
  <c r="G42" i="37" s="1"/>
  <c r="H7" i="33"/>
  <c r="J7" i="33"/>
  <c r="D65" i="40"/>
  <c r="E63" i="40"/>
  <c r="F48" i="35"/>
  <c r="W7" i="37"/>
  <c r="F7" i="33"/>
  <c r="E58" i="21"/>
  <c r="W7" i="36"/>
  <c r="F7" i="37"/>
  <c r="M17" i="67"/>
  <c r="M17" i="15"/>
  <c r="F59" i="15"/>
  <c r="P28" i="43"/>
  <c r="B66" i="40" s="1"/>
  <c r="P25" i="43"/>
  <c r="P29" i="43"/>
  <c r="P27" i="43"/>
  <c r="B70" i="39" s="1"/>
  <c r="M11" i="67"/>
  <c r="J10" i="67" s="1"/>
  <c r="F11" i="15"/>
  <c r="M11" i="15"/>
  <c r="J10" i="15" s="1"/>
  <c r="F11" i="67"/>
  <c r="AE11" i="1"/>
  <c r="AE9" i="1"/>
  <c r="AE7" i="1"/>
  <c r="AE8" i="1"/>
  <c r="AE12" i="1"/>
  <c r="AE10" i="1"/>
  <c r="G1" i="73"/>
  <c r="F27" i="69"/>
  <c r="AE6" i="1"/>
  <c r="C16" i="15"/>
  <c r="C16" i="67"/>
  <c r="F41" i="67"/>
  <c r="D9" i="69"/>
  <c r="E58" i="40" l="1"/>
  <c r="E70" i="3"/>
  <c r="E495" i="3"/>
  <c r="E505" i="3"/>
  <c r="E125" i="3"/>
  <c r="E272" i="3"/>
  <c r="E500" i="3"/>
  <c r="E220" i="3"/>
  <c r="E385" i="3"/>
  <c r="E345" i="3"/>
  <c r="E180" i="3"/>
  <c r="E585" i="3"/>
  <c r="E581" i="3"/>
  <c r="U6" i="3"/>
  <c r="E65" i="3"/>
  <c r="E408" i="3"/>
  <c r="E94" i="3"/>
  <c r="E387" i="3"/>
  <c r="E106" i="3"/>
  <c r="E143" i="3"/>
  <c r="E519" i="3"/>
  <c r="E434" i="3"/>
  <c r="E307" i="3"/>
  <c r="E339" i="3"/>
  <c r="E148" i="3"/>
  <c r="E378" i="3"/>
  <c r="E201" i="3"/>
  <c r="E465" i="3"/>
  <c r="E508" i="3"/>
  <c r="E293" i="3"/>
  <c r="E254" i="3"/>
  <c r="AD6" i="3"/>
  <c r="E43" i="3"/>
  <c r="U7" i="36"/>
  <c r="S7" i="36"/>
  <c r="C47" i="69"/>
  <c r="D45" i="69" s="1"/>
  <c r="C9" i="69"/>
  <c r="Q52" i="15"/>
  <c r="F1" i="15"/>
  <c r="C49" i="15"/>
  <c r="Q74" i="67"/>
  <c r="Q52" i="67"/>
  <c r="Q73" i="67"/>
  <c r="F45" i="69"/>
  <c r="J5" i="67"/>
  <c r="J24" i="67" s="1"/>
  <c r="C49" i="67"/>
  <c r="F27" i="68"/>
  <c r="C29" i="68" s="1"/>
  <c r="D27" i="68" s="1"/>
  <c r="M14" i="1"/>
  <c r="O14" i="1" s="1"/>
  <c r="O16" i="1" s="1"/>
  <c r="F27" i="11"/>
  <c r="C29" i="11" s="1"/>
  <c r="D27" i="11" s="1"/>
  <c r="E161" i="3"/>
  <c r="AJ6" i="3"/>
  <c r="E327" i="3"/>
  <c r="E277" i="3"/>
  <c r="E261" i="3"/>
  <c r="E441" i="3"/>
  <c r="E31" i="3"/>
  <c r="E415" i="3"/>
  <c r="I6" i="3"/>
  <c r="E338" i="3"/>
  <c r="E168" i="3"/>
  <c r="E373" i="3"/>
  <c r="E165" i="3"/>
  <c r="E419" i="3"/>
  <c r="E184" i="3"/>
  <c r="E248" i="3"/>
  <c r="E487" i="3"/>
  <c r="E242" i="3"/>
  <c r="E278" i="3"/>
  <c r="E109" i="3"/>
  <c r="E362" i="3"/>
  <c r="E568" i="3"/>
  <c r="E439" i="3"/>
  <c r="E162" i="3"/>
  <c r="E72" i="3"/>
  <c r="E358" i="3"/>
  <c r="AE6" i="3"/>
  <c r="E328" i="3"/>
  <c r="E532" i="3"/>
  <c r="E323" i="3"/>
  <c r="E340" i="3"/>
  <c r="E493" i="3"/>
  <c r="E139" i="3"/>
  <c r="E369" i="3"/>
  <c r="E275" i="3"/>
  <c r="E423" i="3"/>
  <c r="E69" i="3"/>
  <c r="E247" i="3"/>
  <c r="E377" i="3"/>
  <c r="E400" i="3"/>
  <c r="E315" i="3"/>
  <c r="E472" i="3"/>
  <c r="E77" i="3"/>
  <c r="E350" i="3"/>
  <c r="E503" i="3"/>
  <c r="E185" i="3"/>
  <c r="E561" i="3"/>
  <c r="E305" i="3"/>
  <c r="E384" i="3"/>
  <c r="E27" i="3"/>
  <c r="E477" i="3"/>
  <c r="E271" i="3"/>
  <c r="E318" i="3"/>
  <c r="E433" i="3"/>
  <c r="E45" i="3"/>
  <c r="E518" i="3"/>
  <c r="E114" i="3"/>
  <c r="E229" i="3"/>
  <c r="E480" i="3"/>
  <c r="E558" i="3"/>
  <c r="E580" i="3"/>
  <c r="E344" i="3"/>
  <c r="E238" i="3"/>
  <c r="E302" i="3"/>
  <c r="E418" i="3"/>
  <c r="E426" i="3"/>
  <c r="E92" i="3"/>
  <c r="E379" i="3"/>
  <c r="E54" i="3"/>
  <c r="E224" i="3"/>
  <c r="E98" i="3"/>
  <c r="E179" i="3"/>
  <c r="E584" i="3"/>
  <c r="E19" i="3"/>
  <c r="E416" i="3"/>
  <c r="E58" i="3"/>
  <c r="E101" i="3"/>
  <c r="E289" i="3"/>
  <c r="E234" i="3"/>
  <c r="L6" i="3"/>
  <c r="E498" i="3"/>
  <c r="E116" i="3"/>
  <c r="E190" i="3"/>
  <c r="E512" i="3"/>
  <c r="E430" i="3"/>
  <c r="D26" i="43"/>
  <c r="C25" i="43" s="1"/>
  <c r="C33" i="43" s="1"/>
  <c r="J10" i="39"/>
  <c r="W10" i="39" s="1"/>
  <c r="E142" i="3"/>
  <c r="E296" i="3"/>
  <c r="X6" i="3"/>
  <c r="E263" i="3"/>
  <c r="E445" i="3"/>
  <c r="E215" i="3"/>
  <c r="E570" i="3"/>
  <c r="E431" i="3"/>
  <c r="E526" i="3"/>
  <c r="E273" i="3"/>
  <c r="E489" i="3"/>
  <c r="AO6" i="3"/>
  <c r="E368" i="3"/>
  <c r="E214" i="3"/>
  <c r="E577" i="3"/>
  <c r="E560" i="3"/>
  <c r="AK6" i="3"/>
  <c r="E399" i="3"/>
  <c r="E301" i="3"/>
  <c r="E361" i="3"/>
  <c r="E231" i="3"/>
  <c r="AR6" i="3"/>
  <c r="E410" i="3"/>
  <c r="E530" i="3"/>
  <c r="E331" i="3"/>
  <c r="E447" i="3"/>
  <c r="E478" i="3"/>
  <c r="E269" i="3"/>
  <c r="E351" i="3"/>
  <c r="E562" i="3"/>
  <c r="E85" i="3"/>
  <c r="E61" i="3"/>
  <c r="E320" i="3"/>
  <c r="E239" i="3"/>
  <c r="E295" i="3"/>
  <c r="AG6" i="3"/>
  <c r="E203" i="3"/>
  <c r="Q6" i="3"/>
  <c r="E353" i="3"/>
  <c r="E304" i="3"/>
  <c r="E390" i="3"/>
  <c r="E53" i="3"/>
  <c r="E547" i="3"/>
  <c r="E397" i="3"/>
  <c r="W6" i="3"/>
  <c r="E136" i="3"/>
  <c r="E167" i="3"/>
  <c r="E462" i="3"/>
  <c r="E297" i="3"/>
  <c r="E209" i="3"/>
  <c r="E222" i="3"/>
  <c r="E460" i="3"/>
  <c r="E218" i="3"/>
  <c r="E36" i="3"/>
  <c r="E38" i="3"/>
  <c r="E226" i="3"/>
  <c r="E422" i="3"/>
  <c r="E326" i="3"/>
  <c r="E41" i="3"/>
  <c r="E212" i="3"/>
  <c r="E389" i="3"/>
  <c r="E233" i="3"/>
  <c r="E174" i="3"/>
  <c r="E197" i="3"/>
  <c r="E556" i="3"/>
  <c r="E26" i="3"/>
  <c r="E428" i="3"/>
  <c r="E49" i="3"/>
  <c r="E329" i="3"/>
  <c r="E105" i="3"/>
  <c r="E486" i="3"/>
  <c r="E376" i="3"/>
  <c r="E401" i="3"/>
  <c r="E202" i="3"/>
  <c r="E372" i="3"/>
  <c r="E473"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7" i="3"/>
  <c r="E309" i="3"/>
  <c r="E160" i="3"/>
  <c r="E494" i="3"/>
  <c r="E205" i="3"/>
  <c r="E497" i="3"/>
  <c r="E225" i="3"/>
  <c r="E324" i="3"/>
  <c r="E16" i="3"/>
  <c r="E564" i="3"/>
  <c r="E490" i="3"/>
  <c r="E40" i="3"/>
  <c r="E276" i="3"/>
  <c r="E540" i="3"/>
  <c r="E137" i="3"/>
  <c r="E325"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159" i="3"/>
  <c r="E280" i="3"/>
  <c r="E262" i="3"/>
  <c r="E437" i="3"/>
  <c r="E429" i="3"/>
  <c r="E274" i="3"/>
  <c r="E236" i="3"/>
  <c r="E448" i="3"/>
  <c r="E404" i="3"/>
  <c r="E316" i="3"/>
  <c r="E366" i="3"/>
  <c r="E569" i="3"/>
  <c r="E559" i="3"/>
  <c r="E294" i="3"/>
  <c r="E260" i="3"/>
  <c r="E245" i="3"/>
  <c r="E336" i="3"/>
  <c r="E511" i="3"/>
  <c r="E573" i="3"/>
  <c r="E571"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18" i="3"/>
  <c r="E536" i="3"/>
  <c r="E371" i="3"/>
  <c r="E482" i="3"/>
  <c r="E405" i="3"/>
  <c r="E13" i="3"/>
  <c r="E356" i="3"/>
  <c r="E232" i="3"/>
  <c r="E223" i="3"/>
  <c r="E543" i="3"/>
  <c r="AH6" i="3"/>
  <c r="E25" i="3"/>
  <c r="E333"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303" i="3"/>
  <c r="E156" i="3"/>
  <c r="E120" i="3"/>
  <c r="E481" i="3"/>
  <c r="E55" i="3"/>
  <c r="E394" i="3"/>
  <c r="E252" i="3"/>
  <c r="E443" i="3"/>
  <c r="E88" i="3"/>
  <c r="E334" i="3"/>
  <c r="E282" i="3"/>
  <c r="E396" i="3"/>
  <c r="E551" i="3"/>
  <c r="E130" i="3"/>
  <c r="E550" i="3"/>
  <c r="E382" i="3"/>
  <c r="E253" i="3"/>
  <c r="E99" i="3"/>
  <c r="E458" i="3"/>
  <c r="E200" i="3"/>
  <c r="E535" i="3"/>
  <c r="M6" i="3"/>
  <c r="E322" i="3"/>
  <c r="E28" i="3"/>
  <c r="E89" i="3"/>
  <c r="E454" i="3"/>
  <c r="E228" i="3"/>
  <c r="E337" i="3"/>
  <c r="E131" i="3"/>
  <c r="E219" i="3"/>
  <c r="E119" i="3"/>
  <c r="E246" i="3"/>
  <c r="E191" i="3"/>
  <c r="E563" i="3"/>
  <c r="E335" i="3"/>
  <c r="E514" i="3"/>
  <c r="E509" i="3"/>
  <c r="E217" i="3"/>
  <c r="E211" i="3"/>
  <c r="E557" i="3"/>
  <c r="Z6" i="3"/>
  <c r="E227" i="3"/>
  <c r="E146" i="3"/>
  <c r="E587" i="3"/>
  <c r="K6" i="3"/>
  <c r="E181" i="3"/>
  <c r="E124" i="3"/>
  <c r="E134" i="3"/>
  <c r="E528" i="3"/>
  <c r="E380" i="3"/>
  <c r="E533" i="3"/>
  <c r="E388" i="3"/>
  <c r="E175" i="3"/>
  <c r="E210" i="3"/>
  <c r="AS6" i="3"/>
  <c r="E515" i="3"/>
  <c r="E549" i="3"/>
  <c r="E111" i="3"/>
  <c r="E457" i="3"/>
  <c r="E453" i="3"/>
  <c r="E117" i="3"/>
  <c r="E407" i="3"/>
  <c r="N6" i="3"/>
  <c r="E121" i="3"/>
  <c r="E576" i="3"/>
  <c r="E73" i="3"/>
  <c r="E177" i="3"/>
  <c r="AN6" i="3"/>
  <c r="E237" i="3"/>
  <c r="E285" i="3"/>
  <c r="E29" i="3"/>
  <c r="E367" i="3"/>
  <c r="E14" i="3"/>
  <c r="E288" i="3"/>
  <c r="E461" i="3"/>
  <c r="E87" i="3"/>
  <c r="E259" i="3"/>
  <c r="E436" i="3"/>
  <c r="E446" i="3"/>
  <c r="E51" i="3"/>
  <c r="E566" i="3"/>
  <c r="E62" i="3"/>
  <c r="E52" i="3"/>
  <c r="E79" i="3"/>
  <c r="E108" i="3"/>
  <c r="E507" i="3"/>
  <c r="E80" i="3"/>
  <c r="E420" i="3"/>
  <c r="AF6" i="3"/>
  <c r="F28" i="12"/>
  <c r="C29" i="12" s="1"/>
  <c r="D28" i="12" s="1"/>
  <c r="C29" i="69"/>
  <c r="D27" i="69" s="1"/>
  <c r="Q60" i="15"/>
  <c r="AA10" i="39"/>
  <c r="F10" i="40"/>
  <c r="S10" i="40" s="1"/>
  <c r="H10" i="39"/>
  <c r="U10" i="39" s="1"/>
  <c r="H10" i="40"/>
  <c r="AB10" i="40" s="1"/>
  <c r="J10" i="40"/>
  <c r="AC10" i="40" s="1"/>
  <c r="E61" i="39"/>
  <c r="E15" i="3"/>
  <c r="E60" i="3"/>
  <c r="E346" i="3"/>
  <c r="E178" i="3"/>
  <c r="E463" i="3"/>
  <c r="J6" i="3"/>
  <c r="E440" i="3"/>
  <c r="E427" i="3"/>
  <c r="E393" i="3"/>
  <c r="E188" i="3"/>
  <c r="E158" i="3"/>
  <c r="E35" i="3"/>
  <c r="E412" i="3"/>
  <c r="E115" i="3"/>
  <c r="E470" i="3"/>
  <c r="E451" i="3"/>
  <c r="T6" i="3"/>
  <c r="E22" i="3"/>
  <c r="E86" i="3"/>
  <c r="AL6" i="3"/>
  <c r="E283" i="3"/>
  <c r="E84" i="3"/>
  <c r="E64" i="3"/>
  <c r="E349" i="3"/>
  <c r="E491" i="3"/>
  <c r="E442" i="3"/>
  <c r="E539" i="3"/>
  <c r="E525" i="3"/>
  <c r="E113" i="3"/>
  <c r="E235" i="3"/>
  <c r="E391" i="3"/>
  <c r="E68" i="3"/>
  <c r="E310" i="3"/>
  <c r="E467" i="3"/>
  <c r="E258" i="3"/>
  <c r="E554" i="3"/>
  <c r="E502" i="3"/>
  <c r="E59" i="3"/>
  <c r="E95" i="3"/>
  <c r="AP6" i="3"/>
  <c r="E286" i="3"/>
  <c r="E456" i="3"/>
  <c r="E173" i="3"/>
  <c r="E308" i="3"/>
  <c r="E34" i="3"/>
  <c r="E18" i="3"/>
  <c r="E198" i="3"/>
  <c r="E63" i="3"/>
  <c r="E67" i="3"/>
  <c r="E267" i="3"/>
  <c r="E409" i="3"/>
  <c r="E241" i="3"/>
  <c r="E417" i="3"/>
  <c r="E449" i="3"/>
  <c r="E575" i="3"/>
  <c r="J5" i="15"/>
  <c r="J24" i="15" s="1"/>
  <c r="Q74" i="15"/>
  <c r="AY6" i="3"/>
  <c r="E3" i="6"/>
  <c r="E6" i="6" s="1"/>
  <c r="E60" i="40"/>
  <c r="T32" i="71"/>
  <c r="D32" i="71"/>
  <c r="O65" i="71"/>
  <c r="D66" i="71"/>
  <c r="O66" i="71"/>
  <c r="R36" i="36"/>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36" i="71"/>
  <c r="T36" i="71"/>
  <c r="D56" i="71"/>
  <c r="T56" i="71"/>
  <c r="T64" i="71"/>
  <c r="D64" i="71"/>
  <c r="E63" i="39"/>
  <c r="E59" i="40"/>
  <c r="E16" i="6"/>
  <c r="V36" i="36"/>
  <c r="I36" i="36" s="1"/>
  <c r="I40" i="36" s="1"/>
  <c r="J40" i="36" s="1"/>
  <c r="T36" i="36"/>
  <c r="G36" i="36" s="1"/>
  <c r="G40" i="36" s="1"/>
  <c r="H40" i="36" s="1"/>
  <c r="E206" i="3"/>
  <c r="E383" i="3"/>
  <c r="E96" i="3"/>
  <c r="E42" i="3"/>
  <c r="E281" i="3"/>
  <c r="E513" i="3"/>
  <c r="E81" i="3"/>
  <c r="E355" i="3"/>
  <c r="E33" i="3"/>
  <c r="E492" i="3"/>
  <c r="E249" i="3"/>
  <c r="E46" i="3"/>
  <c r="E484" i="3"/>
  <c r="E544" i="3"/>
  <c r="E292" i="3"/>
  <c r="E152" i="3"/>
  <c r="E479" i="3"/>
  <c r="E517" i="3"/>
  <c r="E255" i="3"/>
  <c r="E466" i="3"/>
  <c r="E499" i="3"/>
  <c r="C21" i="71"/>
  <c r="D22"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AY155" i="3"/>
  <c r="AY281" i="3"/>
  <c r="AY139" i="3"/>
  <c r="AY252" i="3"/>
  <c r="AY395" i="3"/>
  <c r="AY420" i="3"/>
  <c r="AY60" i="3"/>
  <c r="AY154" i="3"/>
  <c r="AY397" i="3"/>
  <c r="AY109" i="3"/>
  <c r="AY274" i="3"/>
  <c r="AY333" i="3"/>
  <c r="AY398" i="3"/>
  <c r="AY561" i="3"/>
  <c r="AY75" i="3"/>
  <c r="AY425" i="3"/>
  <c r="AY535" i="3"/>
  <c r="AY89" i="3"/>
  <c r="AY126" i="3"/>
  <c r="AY254" i="3"/>
  <c r="AY40" i="3"/>
  <c r="AY226" i="3"/>
  <c r="AY454" i="3"/>
  <c r="AY516" i="3"/>
  <c r="AY577" i="3"/>
  <c r="AY191" i="3"/>
  <c r="AY412" i="3"/>
  <c r="AY212" i="3"/>
  <c r="AY573" i="3"/>
  <c r="AY84" i="3"/>
  <c r="AY291" i="3"/>
  <c r="AY227" i="3"/>
  <c r="AY161" i="3"/>
  <c r="AY370" i="3"/>
  <c r="AY406" i="3"/>
  <c r="AY572" i="3"/>
  <c r="AY514" i="3"/>
  <c r="AY96" i="3"/>
  <c r="AY158" i="3"/>
  <c r="AY287" i="3"/>
  <c r="AY380" i="3"/>
  <c r="AY329" i="3"/>
  <c r="AY484" i="3"/>
  <c r="AY442" i="3"/>
  <c r="AY506" i="3"/>
  <c r="AY524" i="3"/>
  <c r="AY570" i="3"/>
  <c r="AY99" i="3"/>
  <c r="AY187" i="3"/>
  <c r="AY127" i="3"/>
  <c r="AY378" i="3"/>
  <c r="AY346" i="3"/>
  <c r="AY437" i="3"/>
  <c r="AY560" i="3"/>
  <c r="AY70" i="3"/>
  <c r="AY179" i="3"/>
  <c r="AY273" i="3"/>
  <c r="AY224" i="3"/>
  <c r="AY323" i="3"/>
  <c r="AY490" i="3"/>
  <c r="AY550" i="3"/>
  <c r="AY511" i="3"/>
  <c r="AY205" i="3"/>
  <c r="AY298" i="3"/>
  <c r="AY321" i="3"/>
  <c r="AY492" i="3"/>
  <c r="AY399" i="3"/>
  <c r="AY575" i="3"/>
  <c r="AY110" i="3"/>
  <c r="AY203" i="3"/>
  <c r="AY216" i="3"/>
  <c r="AY330" i="3"/>
  <c r="AY528" i="3"/>
  <c r="AY39" i="3"/>
  <c r="AY288" i="3"/>
  <c r="AY375" i="3"/>
  <c r="AY413" i="3"/>
  <c r="AY567" i="3"/>
  <c r="AY113" i="3"/>
  <c r="AY396" i="3"/>
  <c r="AY479" i="3"/>
  <c r="AY434" i="3"/>
  <c r="AY522" i="3"/>
  <c r="AY545" i="3"/>
  <c r="AY19" i="3"/>
  <c r="AY151" i="3"/>
  <c r="AY394" i="3"/>
  <c r="AY359" i="3"/>
  <c r="AY451" i="3"/>
  <c r="AY408" i="3"/>
  <c r="AY568" i="3"/>
  <c r="AY107" i="3"/>
  <c r="AY200" i="3"/>
  <c r="AY164" i="3"/>
  <c r="AY257" i="3"/>
  <c r="AY240" i="3"/>
  <c r="AY307" i="3"/>
  <c r="AY477" i="3"/>
  <c r="AY521" i="3"/>
  <c r="AY566" i="3"/>
  <c r="D3" i="21"/>
  <c r="M18" i="9"/>
  <c r="B118" i="9" s="1"/>
  <c r="C39" i="43"/>
  <c r="C42" i="43"/>
  <c r="E42" i="43" s="1"/>
  <c r="C38" i="43"/>
  <c r="U7" i="37"/>
  <c r="G67" i="39"/>
  <c r="F69" i="39"/>
  <c r="F58" i="21"/>
  <c r="F63" i="40"/>
  <c r="E65" i="40"/>
  <c r="W7" i="33"/>
  <c r="AC7" i="33"/>
  <c r="V48" i="33" s="1"/>
  <c r="I48" i="33" s="1"/>
  <c r="AA7" i="37"/>
  <c r="R42" i="37" s="1"/>
  <c r="S7" i="37"/>
  <c r="S7" i="33"/>
  <c r="AA7" i="33"/>
  <c r="R48" i="33" s="1"/>
  <c r="G53" i="34"/>
  <c r="H53" i="34" s="1"/>
  <c r="G46" i="37"/>
  <c r="H46" i="37" s="1"/>
  <c r="G47" i="37"/>
  <c r="H47" i="37" s="1"/>
  <c r="I46" i="37"/>
  <c r="J46" i="37" s="1"/>
  <c r="G48" i="35"/>
  <c r="U7" i="33"/>
  <c r="AB7" i="33"/>
  <c r="T48" i="33" s="1"/>
  <c r="G48" i="33" s="1"/>
  <c r="C53" i="67"/>
  <c r="C10" i="67"/>
  <c r="C5" i="67" s="1"/>
  <c r="C38" i="67" s="1"/>
  <c r="C53" i="15"/>
  <c r="C10" i="15"/>
  <c r="C5" i="15" s="1"/>
  <c r="C38" i="15" s="1"/>
  <c r="F41" i="15"/>
  <c r="M27" i="67"/>
  <c r="M27" i="15"/>
  <c r="C47" i="11" l="1"/>
  <c r="D45" i="11" s="1"/>
  <c r="I53" i="34"/>
  <c r="J53" i="34" s="1"/>
  <c r="AY23" i="3"/>
  <c r="AY207" i="3"/>
  <c r="AY59" i="3"/>
  <c r="AY276" i="3"/>
  <c r="AY225" i="3"/>
  <c r="AY67" i="3"/>
  <c r="AY183" i="3"/>
  <c r="AY319" i="3"/>
  <c r="AY441" i="3"/>
  <c r="AY245" i="3"/>
  <c r="AY342" i="3"/>
  <c r="AY401" i="3"/>
  <c r="AY533" i="3"/>
  <c r="AY61" i="3"/>
  <c r="AY206" i="3"/>
  <c r="AY165" i="3"/>
  <c r="AY278" i="3"/>
  <c r="AY230" i="3"/>
  <c r="AY357"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83" i="3"/>
  <c r="AY176" i="3"/>
  <c r="AY42" i="3"/>
  <c r="AY168" i="3"/>
  <c r="AY371" i="3"/>
  <c r="AY50" i="3"/>
  <c r="AY261" i="3"/>
  <c r="AY318" i="3"/>
  <c r="AY529" i="3"/>
  <c r="AY217" i="3"/>
  <c r="AY310" i="3"/>
  <c r="AY513" i="3"/>
  <c r="AY553" i="3"/>
  <c r="AY76" i="3"/>
  <c r="AY190" i="3"/>
  <c r="AY133" i="3"/>
  <c r="AY263" i="3"/>
  <c r="AY219" i="3"/>
  <c r="BH6" i="3"/>
  <c r="AY41" i="3"/>
  <c r="AY166" i="3"/>
  <c r="AY259" i="3"/>
  <c r="AY377" i="3"/>
  <c r="AY348" i="3"/>
  <c r="AY472" i="3"/>
  <c r="AY414" i="3"/>
  <c r="BQ6" i="3"/>
  <c r="AY571" i="3"/>
  <c r="AY16" i="3"/>
  <c r="AY90" i="3"/>
  <c r="AY486" i="3"/>
  <c r="AY269" i="3"/>
  <c r="AY115" i="3"/>
  <c r="AY268" i="3"/>
  <c r="AY289" i="3"/>
  <c r="AY428" i="3"/>
  <c r="AY372" i="3"/>
  <c r="AY569" i="3"/>
  <c r="AY33" i="3"/>
  <c r="AY299" i="3"/>
  <c r="AY374" i="3"/>
  <c r="AY202" i="3"/>
  <c r="AY242" i="3"/>
  <c r="AY491" i="3"/>
  <c r="AY411" i="3"/>
  <c r="AY495" i="3"/>
  <c r="AY237" i="3"/>
  <c r="AY355" i="3"/>
  <c r="BO6" i="3"/>
  <c r="AY36" i="3"/>
  <c r="AY117" i="3"/>
  <c r="AY365" i="3"/>
  <c r="AY150" i="3"/>
  <c r="AY356" i="3"/>
  <c r="AY435" i="3"/>
  <c r="AY559" i="3"/>
  <c r="AY112" i="3"/>
  <c r="AY147" i="3"/>
  <c r="AY497" i="3"/>
  <c r="AY326" i="3"/>
  <c r="AY105" i="3"/>
  <c r="AY193" i="3"/>
  <c r="AY286" i="3"/>
  <c r="AY507" i="3"/>
  <c r="AY121" i="3"/>
  <c r="AY324" i="3"/>
  <c r="AY503" i="3"/>
  <c r="AY552" i="3"/>
  <c r="AY582" i="3"/>
  <c r="AY48" i="3"/>
  <c r="AY169" i="3"/>
  <c r="AY251" i="3"/>
  <c r="AY364" i="3"/>
  <c r="AY328" i="3"/>
  <c r="AY468" i="3"/>
  <c r="AY439" i="3"/>
  <c r="AY499" i="3"/>
  <c r="AY565" i="3"/>
  <c r="AY578" i="3"/>
  <c r="AY78" i="3"/>
  <c r="AY156" i="3"/>
  <c r="AY249" i="3"/>
  <c r="AY376" i="3"/>
  <c r="AY469" i="3"/>
  <c r="AY558" i="3"/>
  <c r="AY587" i="3"/>
  <c r="AY38"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51" i="3"/>
  <c r="AY131" i="3"/>
  <c r="AY366" i="3"/>
  <c r="AY284" i="3"/>
  <c r="AY26" i="3"/>
  <c r="AY463" i="3"/>
  <c r="AY97" i="3"/>
  <c r="AY170" i="3"/>
  <c r="AY247" i="3"/>
  <c r="BJ6" i="3"/>
  <c r="AY145" i="3"/>
  <c r="AY353" i="3"/>
  <c r="AY457" i="3"/>
  <c r="AY585" i="3"/>
  <c r="AY501" i="3"/>
  <c r="AY444" i="3"/>
  <c r="AY481" i="3"/>
  <c r="AY555" i="3"/>
  <c r="AY182" i="3"/>
  <c r="AY239" i="3"/>
  <c r="BS6" i="3"/>
  <c r="AY130" i="3"/>
  <c r="AY308" i="3"/>
  <c r="AY525" i="3"/>
  <c r="AY508" i="3"/>
  <c r="AY49" i="3"/>
  <c r="AY220" i="3"/>
  <c r="AY116" i="3"/>
  <c r="AY417" i="3"/>
  <c r="AY100" i="3"/>
  <c r="AY162" i="3"/>
  <c r="AY238" i="3"/>
  <c r="AY88" i="3"/>
  <c r="AY275" i="3"/>
  <c r="AY480" i="3"/>
  <c r="AY580" i="3"/>
  <c r="AY543" i="3"/>
  <c r="AY101" i="3"/>
  <c r="AY37" i="3"/>
  <c r="AY137" i="3"/>
  <c r="AY234" i="3"/>
  <c r="AY345" i="3"/>
  <c r="AY312" i="3"/>
  <c r="AY458" i="3"/>
  <c r="AY423" i="3"/>
  <c r="AY14" i="3"/>
  <c r="AY542" i="3"/>
  <c r="BA6" i="3"/>
  <c r="AY46" i="3"/>
  <c r="AY135" i="3"/>
  <c r="AY264" i="3"/>
  <c r="AY362" i="3"/>
  <c r="AY456" i="3"/>
  <c r="AY517" i="3"/>
  <c r="AY91" i="3"/>
  <c r="AY184"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400" i="3"/>
  <c r="AY351" i="3"/>
  <c r="AY293" i="3"/>
  <c r="AY54" i="3"/>
  <c r="AY547" i="3"/>
  <c r="AY485" i="3"/>
  <c r="AY265" i="3"/>
  <c r="AY62" i="3"/>
  <c r="AY538" i="3"/>
  <c r="AY320" i="3"/>
  <c r="AY153" i="3"/>
  <c r="AY432" i="3"/>
  <c r="AY136" i="3"/>
  <c r="AY13" i="3"/>
  <c r="AY233" i="3"/>
  <c r="AY563" i="3"/>
  <c r="AY431" i="3"/>
  <c r="AY352" i="3"/>
  <c r="AY32" i="3"/>
  <c r="AY429" i="3"/>
  <c r="AY354" i="3"/>
  <c r="AY277" i="3"/>
  <c r="AY55" i="3"/>
  <c r="AY424" i="3"/>
  <c r="AY232" i="3"/>
  <c r="AY192" i="3"/>
  <c r="BR6" i="3"/>
  <c r="AY407" i="3"/>
  <c r="AY471" i="3"/>
  <c r="AY223" i="3"/>
  <c r="AY194" i="3"/>
  <c r="AY494" i="3"/>
  <c r="AY438" i="3"/>
  <c r="AY72" i="3"/>
  <c r="AY134" i="3"/>
  <c r="AY557" i="3"/>
  <c r="AY350" i="3"/>
  <c r="AY496" i="3"/>
  <c r="AY467" i="3"/>
  <c r="AY93" i="3"/>
  <c r="AY146" i="3"/>
  <c r="AY404" i="3"/>
  <c r="AY18" i="3"/>
  <c r="AY462" i="3"/>
  <c r="AY114" i="3"/>
  <c r="AY246" i="3"/>
  <c r="AY92" i="3"/>
  <c r="AY300" i="3"/>
  <c r="AY103" i="3"/>
  <c r="AY66" i="3"/>
  <c r="BT6" i="3"/>
  <c r="AY443" i="3"/>
  <c r="AY386" i="3"/>
  <c r="AY143" i="3"/>
  <c r="AY71" i="3"/>
  <c r="AY500" i="3"/>
  <c r="AY315" i="3"/>
  <c r="AY301" i="3"/>
  <c r="BP6" i="3"/>
  <c r="AY402" i="3"/>
  <c r="AY361" i="3"/>
  <c r="AY64" i="3"/>
  <c r="AY339" i="3"/>
  <c r="AY22" i="3"/>
  <c r="AY482" i="3"/>
  <c r="AY140" i="3"/>
  <c r="AY537" i="3"/>
  <c r="AY461" i="3"/>
  <c r="AY235" i="3"/>
  <c r="AY504" i="3"/>
  <c r="AY459" i="3"/>
  <c r="AY213" i="3"/>
  <c r="AY148" i="3"/>
  <c r="BL6" i="3"/>
  <c r="AY314" i="3"/>
  <c r="AY285" i="3"/>
  <c r="AY63" i="3"/>
  <c r="AY502" i="3"/>
  <c r="AY426" i="3"/>
  <c r="AY344" i="3"/>
  <c r="AY282" i="3"/>
  <c r="AY65" i="3"/>
  <c r="AY520" i="3"/>
  <c r="AY341" i="3"/>
  <c r="AY373" i="3"/>
  <c r="AY20" i="3"/>
  <c r="AY343" i="3"/>
  <c r="AY132" i="3"/>
  <c r="AY518" i="3"/>
  <c r="AY393" i="3"/>
  <c r="AY222" i="3"/>
  <c r="AY68" i="3"/>
  <c r="AY244" i="3"/>
  <c r="AY546" i="3"/>
  <c r="AY316" i="3"/>
  <c r="AY56" i="3"/>
  <c r="AY125" i="3"/>
  <c r="AY544" i="3"/>
  <c r="AY473" i="3"/>
  <c r="AY297" i="3"/>
  <c r="D14" i="12"/>
  <c r="D17" i="12" s="1"/>
  <c r="C17" i="12" s="1"/>
  <c r="C17" i="4"/>
  <c r="B4" i="52" s="1"/>
  <c r="B43" i="72" s="1"/>
  <c r="AY360" i="3"/>
  <c r="AY392" i="3"/>
  <c r="AY262" i="3"/>
  <c r="AY283" i="3"/>
  <c r="AY149" i="3"/>
  <c r="AY185" i="3"/>
  <c r="AY44" i="3"/>
  <c r="AY77" i="3"/>
  <c r="BE6" i="3"/>
  <c r="AY549" i="3"/>
  <c r="AY452" i="3"/>
  <c r="AY327" i="3"/>
  <c r="AY260" i="3"/>
  <c r="AY106" i="3"/>
  <c r="AY460" i="3"/>
  <c r="AY209" i="3"/>
  <c r="AY123" i="3"/>
  <c r="AY160" i="3"/>
  <c r="AY335" i="3"/>
  <c r="AY236" i="3"/>
  <c r="AY58" i="3"/>
  <c r="AY188" i="3"/>
  <c r="AY124" i="3"/>
  <c r="AA10" i="40"/>
  <c r="M16" i="1"/>
  <c r="L16" i="1" s="1"/>
  <c r="R37" i="36"/>
  <c r="C36" i="36" s="1"/>
  <c r="G41" i="36"/>
  <c r="H41" i="36" s="1"/>
  <c r="E36" i="36"/>
  <c r="E40" i="36" s="1"/>
  <c r="F40" i="36" s="1"/>
  <c r="C48" i="15"/>
  <c r="C66" i="15" s="1"/>
  <c r="L36" i="43"/>
  <c r="L37" i="43" s="1"/>
  <c r="Q37" i="43" s="1"/>
  <c r="F22" i="82"/>
  <c r="C48" i="67"/>
  <c r="C66" i="67" s="1"/>
  <c r="C47" i="68"/>
  <c r="D45" i="68" s="1"/>
  <c r="F45" i="68"/>
  <c r="W10" i="40"/>
  <c r="AC10" i="39"/>
  <c r="AB10" i="39"/>
  <c r="AC6" i="3"/>
  <c r="H6" i="3"/>
  <c r="D3" i="37"/>
  <c r="D19" i="11"/>
  <c r="C19" i="11" s="1"/>
  <c r="C20" i="11" s="1"/>
  <c r="C28" i="11" s="1"/>
  <c r="C27" i="11" s="1"/>
  <c r="D37" i="1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D3" i="33"/>
  <c r="D3" i="34"/>
  <c r="U10" i="40"/>
  <c r="F25" i="12"/>
  <c r="C26" i="12" s="1"/>
  <c r="D25" i="12" s="1"/>
  <c r="D116" i="43"/>
  <c r="D21" i="71"/>
  <c r="C20" i="71"/>
  <c r="F22" i="68"/>
  <c r="F41" i="68" s="1"/>
  <c r="F22" i="11"/>
  <c r="C23" i="11" s="1"/>
  <c r="F24" i="67"/>
  <c r="C24" i="67" s="1"/>
  <c r="F24" i="15"/>
  <c r="C24" i="15" s="1"/>
  <c r="F22" i="69"/>
  <c r="F41" i="69" s="1"/>
  <c r="E49" i="34"/>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D10" i="11"/>
  <c r="C10" i="11" s="1"/>
  <c r="D20" i="12"/>
  <c r="C20" i="12" s="1"/>
  <c r="C18" i="12" s="1"/>
  <c r="D22" i="6"/>
  <c r="D21" i="6"/>
  <c r="D26" i="6"/>
  <c r="D8" i="6"/>
  <c r="D9" i="6"/>
  <c r="D10" i="6"/>
  <c r="D23" i="6"/>
  <c r="D5" i="6"/>
  <c r="D13" i="6"/>
  <c r="D28" i="6"/>
  <c r="P14" i="1"/>
  <c r="P16" i="1" s="1"/>
  <c r="C11" i="12" s="1"/>
  <c r="N16" i="1"/>
  <c r="F50" i="8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I54" i="34"/>
  <c r="J54" i="34" s="1"/>
  <c r="G52" i="33"/>
  <c r="H52" i="33" s="1"/>
  <c r="G53" i="33"/>
  <c r="H53" i="33" s="1"/>
  <c r="H48" i="35"/>
  <c r="C49" i="34"/>
  <c r="C50" i="34"/>
  <c r="R43" i="37"/>
  <c r="E42" i="37"/>
  <c r="G63" i="40"/>
  <c r="F65" i="40"/>
  <c r="G58" i="21"/>
  <c r="D10" i="68"/>
  <c r="C34" i="69"/>
  <c r="D10" i="82"/>
  <c r="C17" i="15"/>
  <c r="C17" i="67"/>
  <c r="D10" i="69"/>
  <c r="C14" i="67"/>
  <c r="C34" i="82"/>
  <c r="C37" i="36" l="1"/>
  <c r="H21" i="6"/>
  <c r="H24" i="6"/>
  <c r="H26" i="6"/>
  <c r="R26" i="6" s="1"/>
  <c r="D11" i="6"/>
  <c r="C18" i="4"/>
  <c r="C4" i="52" s="1"/>
  <c r="B45" i="72" s="1"/>
  <c r="H22" i="6"/>
  <c r="R22" i="6" s="1"/>
  <c r="R9" i="1" s="1"/>
  <c r="D6" i="6"/>
  <c r="D20" i="6"/>
  <c r="M19" i="9" s="1"/>
  <c r="C118" i="9" s="1"/>
  <c r="B2" i="74" s="1"/>
  <c r="D15" i="6"/>
  <c r="E61" i="40"/>
  <c r="D12" i="6"/>
  <c r="D19" i="6"/>
  <c r="M19" i="81" s="1"/>
  <c r="C118" i="81" s="1"/>
  <c r="D29" i="6"/>
  <c r="D30" i="6" s="1"/>
  <c r="D14" i="6"/>
  <c r="D24" i="6"/>
  <c r="R24" i="6" s="1"/>
  <c r="R11" i="1" s="1"/>
  <c r="C35" i="82"/>
  <c r="C38" i="82"/>
  <c r="C10" i="82"/>
  <c r="C8" i="82" s="1"/>
  <c r="D19" i="82"/>
  <c r="D37" i="82" s="1"/>
  <c r="C37" i="82" s="1"/>
  <c r="H25" i="6"/>
  <c r="R25" i="6" s="1"/>
  <c r="R12" i="1" s="1"/>
  <c r="E6" i="3"/>
  <c r="E7" i="70"/>
  <c r="S20" i="6"/>
  <c r="L18" i="9"/>
  <c r="C60" i="15"/>
  <c r="E41" i="36"/>
  <c r="F41" i="36" s="1"/>
  <c r="I41" i="36"/>
  <c r="J41" i="36" s="1"/>
  <c r="P37" i="43"/>
  <c r="M37" i="43"/>
  <c r="N36" i="43"/>
  <c r="N37" i="43"/>
  <c r="Q36" i="43"/>
  <c r="O37" i="43"/>
  <c r="P36" i="43"/>
  <c r="O36" i="43"/>
  <c r="M36" i="43"/>
  <c r="F41" i="82"/>
  <c r="C26" i="82"/>
  <c r="D22" i="82" s="1"/>
  <c r="C24" i="82"/>
  <c r="C44" i="82"/>
  <c r="D41" i="82" s="1"/>
  <c r="C60" i="67"/>
  <c r="C26" i="11"/>
  <c r="D22" i="11" s="1"/>
  <c r="C44" i="11"/>
  <c r="D41" i="11" s="1"/>
  <c r="C23" i="68"/>
  <c r="C44" i="68"/>
  <c r="D41" i="68" s="1"/>
  <c r="C26" i="68"/>
  <c r="D22" i="68" s="1"/>
  <c r="D20" i="71"/>
  <c r="U20" i="71" s="1"/>
  <c r="C19" i="71"/>
  <c r="T20" i="71"/>
  <c r="C25" i="11"/>
  <c r="C24" i="11"/>
  <c r="C44" i="69"/>
  <c r="D41" i="69" s="1"/>
  <c r="C26" i="69"/>
  <c r="D22" i="69" s="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L18" i="81" s="1"/>
  <c r="D16" i="6"/>
  <c r="C15" i="12"/>
  <c r="C12" i="12"/>
  <c r="D8" i="74"/>
  <c r="D7" i="74"/>
  <c r="R21" i="6"/>
  <c r="R8" i="1" s="1"/>
  <c r="C10" i="69"/>
  <c r="C8" i="69" s="1"/>
  <c r="D19" i="69"/>
  <c r="F50" i="69"/>
  <c r="F50" i="11"/>
  <c r="F50" i="68"/>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27" i="6" l="1"/>
  <c r="E2" i="70"/>
  <c r="A10" i="51"/>
  <c r="B9" i="72" s="1"/>
  <c r="D31" i="6"/>
  <c r="I6" i="6" s="1"/>
  <c r="C33" i="82"/>
  <c r="C39" i="82" s="1"/>
  <c r="R20" i="6"/>
  <c r="R7" i="1" s="1"/>
  <c r="L19" i="9"/>
  <c r="C18" i="71"/>
  <c r="D19" i="71"/>
  <c r="C22" i="11"/>
  <c r="C31" i="11" s="1"/>
  <c r="C19" i="67"/>
  <c r="C20" i="67" s="1"/>
  <c r="C26" i="67" s="1"/>
  <c r="T16" i="1"/>
  <c r="C18" i="15"/>
  <c r="C15" i="15"/>
  <c r="C38" i="68"/>
  <c r="C35" i="68"/>
  <c r="C36" i="11"/>
  <c r="C37" i="11"/>
  <c r="C34" i="11"/>
  <c r="C23" i="12"/>
  <c r="C14" i="12"/>
  <c r="C16" i="12" s="1"/>
  <c r="C21" i="12" s="1"/>
  <c r="C22" i="12" s="1"/>
  <c r="H19" i="6"/>
  <c r="L19" i="81" s="1"/>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2" i="82"/>
  <c r="C46" i="82"/>
  <c r="C45" i="82" s="1"/>
  <c r="C43" i="82"/>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C41" i="82" l="1"/>
  <c r="C49" i="82" s="1"/>
  <c r="C51" i="82"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F35" i="67"/>
  <c r="M21" i="67"/>
  <c r="T16" i="71" l="1"/>
  <c r="D16" i="71"/>
  <c r="U16" i="71" s="1"/>
  <c r="C15" i="71"/>
  <c r="E48" i="21"/>
  <c r="I53" i="21" s="1"/>
  <c r="J53"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R24" i="31" s="1"/>
  <c r="G42" i="35"/>
  <c r="H42" i="35" s="1"/>
  <c r="G43" i="35"/>
  <c r="H43" i="35" s="1"/>
  <c r="K65" i="40"/>
  <c r="L63" i="40"/>
  <c r="I42" i="35"/>
  <c r="J42" i="35" s="1"/>
  <c r="S24" i="31" l="1"/>
  <c r="R36" i="31"/>
  <c r="S36" i="31" s="1"/>
  <c r="R29" i="31"/>
  <c r="S29" i="31" s="1"/>
  <c r="R34" i="31"/>
  <c r="S34" i="31" s="1"/>
  <c r="R33" i="31"/>
  <c r="S33" i="31" s="1"/>
  <c r="R31" i="31"/>
  <c r="S31" i="31" s="1"/>
  <c r="R35" i="31"/>
  <c r="S35" i="31" s="1"/>
  <c r="R32" i="31"/>
  <c r="S32" i="31" s="1"/>
  <c r="R30" i="31"/>
  <c r="S30" i="31" s="1"/>
  <c r="R25" i="31"/>
  <c r="S25" i="31" s="1"/>
  <c r="R27" i="31"/>
  <c r="S27" i="31" s="1"/>
  <c r="R28" i="31"/>
  <c r="S28" i="31" s="1"/>
  <c r="R26" i="31"/>
  <c r="S26" i="31" s="1"/>
  <c r="B3" i="68"/>
  <c r="E53" i="21"/>
  <c r="F53" i="21" s="1"/>
  <c r="E52" i="21"/>
  <c r="F52"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S22" i="31" l="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81"/>
  <c r="D14" i="74" l="1"/>
  <c r="G14" i="74" s="1"/>
  <c r="R22" i="31"/>
  <c r="B20" i="31"/>
  <c r="B21" i="31" s="1"/>
  <c r="C102" i="81"/>
  <c r="C21" i="81"/>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C20" i="81"/>
  <c r="D2" i="36"/>
  <c r="L51" i="15"/>
  <c r="C103" i="81" l="1"/>
  <c r="D12" i="71"/>
  <c r="U12" i="71" s="1"/>
  <c r="C11" i="71"/>
  <c r="T12" i="71"/>
  <c r="Q57" i="67"/>
  <c r="Q62" i="67" s="1"/>
  <c r="Q66" i="67"/>
  <c r="Q75" i="67" s="1"/>
  <c r="B3" i="67"/>
  <c r="L57" i="15"/>
  <c r="L60" i="15" s="1"/>
  <c r="Q57" i="15" s="1"/>
  <c r="Q67" i="15"/>
  <c r="B2" i="36"/>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12" i="1"/>
  <c r="AO11" i="1"/>
  <c r="AO9" i="1"/>
  <c r="AO6" i="1"/>
  <c r="AO7" i="1"/>
  <c r="C19" i="9"/>
  <c r="AO10" i="1"/>
  <c r="C102" i="9" l="1"/>
  <c r="C21" i="9"/>
  <c r="B3" i="36"/>
  <c r="R48" i="39"/>
  <c r="C48" i="39" s="1"/>
  <c r="C10" i="71"/>
  <c r="D11"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9"/>
  <c r="C47" i="39" l="1"/>
  <c r="C103" i="9"/>
  <c r="D10" i="71"/>
  <c r="C9" i="71"/>
  <c r="B2" i="70"/>
  <c r="B3" i="70" s="1"/>
  <c r="B56" i="39"/>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F61" i="39" l="1"/>
  <c r="C6" i="82"/>
  <c r="F56" i="39"/>
  <c r="F65" i="39" s="1"/>
  <c r="B2" i="39" s="1"/>
  <c r="B3" i="39" s="1"/>
  <c r="C6" i="69"/>
  <c r="D9" i="71"/>
  <c r="C8" i="71"/>
  <c r="C42" i="40"/>
  <c r="C43" i="40"/>
  <c r="E47" i="40"/>
  <c r="F47" i="40" s="1"/>
  <c r="E46" i="40"/>
  <c r="F46" i="40" s="1"/>
  <c r="I47" i="40"/>
  <c r="J47" i="40" s="1"/>
  <c r="C7" i="69" l="1"/>
  <c r="C5" i="69" s="1"/>
  <c r="C7" i="82"/>
  <c r="C5" i="82" s="1"/>
  <c r="B1" i="74"/>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20" i="82" l="1"/>
  <c r="C23" i="82"/>
  <c r="C23" i="69"/>
  <c r="C20" i="69"/>
  <c r="D7" i="71"/>
  <c r="C6" i="71"/>
  <c r="E14" i="74"/>
  <c r="F14" i="74"/>
  <c r="C28" i="69" l="1"/>
  <c r="C27" i="69" s="1"/>
  <c r="C25" i="69"/>
  <c r="C22" i="69" s="1"/>
  <c r="C28" i="82"/>
  <c r="C27" i="82" s="1"/>
  <c r="C25" i="82"/>
  <c r="C22" i="82" s="1"/>
  <c r="D6" i="71"/>
  <c r="C5" i="71"/>
  <c r="D5" i="71" s="1"/>
  <c r="M24" i="43" s="1"/>
  <c r="C31" i="69" l="1"/>
  <c r="C52" i="69" s="1"/>
  <c r="C57" i="69" s="1"/>
  <c r="C56" i="69" s="1"/>
  <c r="C31" i="82"/>
  <c r="C52" i="82" s="1"/>
  <c r="B2" i="82" s="1"/>
  <c r="D19" i="9"/>
  <c r="B3" i="82"/>
  <c r="B2" i="69" l="1"/>
  <c r="C57" i="82"/>
  <c r="D102" i="9"/>
  <c r="D21" i="9"/>
  <c r="D22" i="9"/>
  <c r="G19" i="9"/>
  <c r="D35" i="9"/>
  <c r="D19" i="81"/>
  <c r="D20" i="9"/>
  <c r="B3" i="69"/>
  <c r="D34" i="81"/>
  <c r="D20" i="81"/>
  <c r="D103" i="9" l="1"/>
  <c r="G20" i="9"/>
  <c r="R24" i="84" s="1"/>
  <c r="D103" i="81"/>
  <c r="G20" i="81"/>
  <c r="R24" i="83" s="1"/>
  <c r="R86" i="83" s="1"/>
  <c r="S86" i="83" s="1"/>
  <c r="G19" i="81"/>
  <c r="C32" i="81" s="1"/>
  <c r="D102" i="81"/>
  <c r="D21" i="81"/>
  <c r="D22" i="81"/>
  <c r="C56" i="82"/>
  <c r="G21" i="9"/>
  <c r="C32" i="9"/>
  <c r="C35" i="9" s="1"/>
  <c r="C34" i="9" s="1"/>
  <c r="D35" i="81"/>
  <c r="D34" i="9"/>
  <c r="R124" i="83" l="1"/>
  <c r="S124" i="83" s="1"/>
  <c r="C35" i="81"/>
  <c r="C34" i="81" s="1"/>
  <c r="R24" i="85"/>
  <c r="R114" i="85" s="1"/>
  <c r="S114" i="85" s="1"/>
  <c r="R126" i="83"/>
  <c r="S126" i="83" s="1"/>
  <c r="R130" i="83"/>
  <c r="S130" i="83" s="1"/>
  <c r="R127" i="83"/>
  <c r="S127" i="83" s="1"/>
  <c r="R128" i="83"/>
  <c r="S128" i="83" s="1"/>
  <c r="R129" i="83"/>
  <c r="S129" i="83" s="1"/>
  <c r="R125" i="83"/>
  <c r="S125" i="83" s="1"/>
  <c r="R123" i="83"/>
  <c r="S123" i="83" s="1"/>
  <c r="R64" i="83"/>
  <c r="S64" i="83" s="1"/>
  <c r="R53" i="83"/>
  <c r="S53" i="83" s="1"/>
  <c r="R111" i="83"/>
  <c r="S111" i="83" s="1"/>
  <c r="S24" i="83"/>
  <c r="R78" i="83"/>
  <c r="S78" i="83" s="1"/>
  <c r="R36" i="83"/>
  <c r="S36" i="83" s="1"/>
  <c r="R44" i="83"/>
  <c r="S44" i="83" s="1"/>
  <c r="R89" i="83"/>
  <c r="S89" i="83" s="1"/>
  <c r="R61" i="83"/>
  <c r="S61" i="83" s="1"/>
  <c r="R33" i="83"/>
  <c r="S33" i="83" s="1"/>
  <c r="R39" i="83"/>
  <c r="S39" i="83" s="1"/>
  <c r="R114" i="83"/>
  <c r="S114" i="83" s="1"/>
  <c r="R49" i="83"/>
  <c r="S49" i="83" s="1"/>
  <c r="R58" i="83"/>
  <c r="S58" i="83" s="1"/>
  <c r="R67" i="83"/>
  <c r="S67" i="83" s="1"/>
  <c r="R92" i="83"/>
  <c r="S92" i="83" s="1"/>
  <c r="R69" i="83"/>
  <c r="S69" i="83" s="1"/>
  <c r="R94" i="83"/>
  <c r="S94" i="83" s="1"/>
  <c r="R87" i="83"/>
  <c r="S87" i="83" s="1"/>
  <c r="R112" i="83"/>
  <c r="S112" i="83" s="1"/>
  <c r="R34" i="83"/>
  <c r="S34" i="83" s="1"/>
  <c r="R59" i="83"/>
  <c r="S59" i="83" s="1"/>
  <c r="R84" i="83"/>
  <c r="S84" i="83" s="1"/>
  <c r="R109" i="83"/>
  <c r="S109" i="83" s="1"/>
  <c r="R47" i="83"/>
  <c r="S47" i="83" s="1"/>
  <c r="R72" i="83"/>
  <c r="S72" i="83" s="1"/>
  <c r="R97" i="83"/>
  <c r="S97" i="83" s="1"/>
  <c r="R74" i="83"/>
  <c r="S74" i="83" s="1"/>
  <c r="R83" i="83"/>
  <c r="S83" i="83" s="1"/>
  <c r="R108" i="83"/>
  <c r="S108" i="83" s="1"/>
  <c r="R117" i="83"/>
  <c r="S117" i="83" s="1"/>
  <c r="R103" i="83"/>
  <c r="S103" i="83" s="1"/>
  <c r="R50" i="83"/>
  <c r="S50" i="83" s="1"/>
  <c r="R75" i="83"/>
  <c r="S75" i="83" s="1"/>
  <c r="R100" i="83"/>
  <c r="S100" i="83" s="1"/>
  <c r="R63" i="83"/>
  <c r="S63" i="83" s="1"/>
  <c r="R88" i="83"/>
  <c r="S88" i="83" s="1"/>
  <c r="R113" i="83"/>
  <c r="S113" i="83" s="1"/>
  <c r="R122" i="83"/>
  <c r="S122" i="83" s="1"/>
  <c r="R28" i="83"/>
  <c r="S28" i="83" s="1"/>
  <c r="R30" i="83"/>
  <c r="S30" i="83" s="1"/>
  <c r="R27" i="83"/>
  <c r="S27" i="83" s="1"/>
  <c r="R48" i="83"/>
  <c r="S48" i="83" s="1"/>
  <c r="R73" i="83"/>
  <c r="S73" i="83" s="1"/>
  <c r="R98" i="83"/>
  <c r="S98" i="83" s="1"/>
  <c r="R45" i="83"/>
  <c r="S45" i="83" s="1"/>
  <c r="R118" i="83"/>
  <c r="S118" i="83" s="1"/>
  <c r="R439" i="85"/>
  <c r="S439" i="85" s="1"/>
  <c r="R435" i="85"/>
  <c r="S435" i="85" s="1"/>
  <c r="R431" i="85"/>
  <c r="S431" i="85" s="1"/>
  <c r="R427" i="85"/>
  <c r="S427" i="85" s="1"/>
  <c r="R423" i="85"/>
  <c r="S423" i="85" s="1"/>
  <c r="R419" i="85"/>
  <c r="S419" i="85" s="1"/>
  <c r="R415" i="85"/>
  <c r="S415" i="85" s="1"/>
  <c r="R411" i="85"/>
  <c r="S411" i="85" s="1"/>
  <c r="R407" i="85"/>
  <c r="S407" i="85" s="1"/>
  <c r="R403" i="85"/>
  <c r="S403" i="85" s="1"/>
  <c r="R399" i="85"/>
  <c r="S399" i="85" s="1"/>
  <c r="R438" i="85"/>
  <c r="S438" i="85" s="1"/>
  <c r="R434" i="85"/>
  <c r="S434" i="85" s="1"/>
  <c r="R430" i="85"/>
  <c r="S430" i="85" s="1"/>
  <c r="R426" i="85"/>
  <c r="S426" i="85" s="1"/>
  <c r="R422" i="85"/>
  <c r="S422" i="85" s="1"/>
  <c r="R418" i="85"/>
  <c r="S418" i="85" s="1"/>
  <c r="R414" i="85"/>
  <c r="S414" i="85" s="1"/>
  <c r="R410" i="85"/>
  <c r="S410" i="85" s="1"/>
  <c r="R406" i="85"/>
  <c r="S406" i="85" s="1"/>
  <c r="R402" i="85"/>
  <c r="S402" i="85" s="1"/>
  <c r="R398" i="85"/>
  <c r="S398" i="85" s="1"/>
  <c r="R437" i="85"/>
  <c r="S437" i="85" s="1"/>
  <c r="R433" i="85"/>
  <c r="S433" i="85" s="1"/>
  <c r="R429" i="85"/>
  <c r="S429" i="85" s="1"/>
  <c r="R425" i="85"/>
  <c r="S425" i="85" s="1"/>
  <c r="R421" i="85"/>
  <c r="S421" i="85" s="1"/>
  <c r="R417" i="85"/>
  <c r="S417" i="85" s="1"/>
  <c r="R413" i="85"/>
  <c r="S413" i="85" s="1"/>
  <c r="R409" i="85"/>
  <c r="S409" i="85" s="1"/>
  <c r="R405" i="85"/>
  <c r="S405" i="85" s="1"/>
  <c r="R401" i="85"/>
  <c r="S401" i="85" s="1"/>
  <c r="R440" i="85"/>
  <c r="S440" i="85" s="1"/>
  <c r="R436" i="85"/>
  <c r="S436" i="85" s="1"/>
  <c r="R432" i="85"/>
  <c r="S432" i="85" s="1"/>
  <c r="R428" i="85"/>
  <c r="S428" i="85" s="1"/>
  <c r="R424" i="85"/>
  <c r="S424" i="85" s="1"/>
  <c r="R420" i="85"/>
  <c r="S420" i="85" s="1"/>
  <c r="R416" i="85"/>
  <c r="S416" i="85" s="1"/>
  <c r="R412" i="85"/>
  <c r="S412" i="85" s="1"/>
  <c r="R408" i="85"/>
  <c r="S408" i="85" s="1"/>
  <c r="R404" i="85"/>
  <c r="S404" i="85" s="1"/>
  <c r="R400" i="85"/>
  <c r="S400" i="85" s="1"/>
  <c r="R390" i="85"/>
  <c r="S390" i="85" s="1"/>
  <c r="R394" i="85"/>
  <c r="S394" i="85" s="1"/>
  <c r="R367" i="85"/>
  <c r="S367" i="85" s="1"/>
  <c r="R391" i="85"/>
  <c r="S391" i="85" s="1"/>
  <c r="R395" i="85"/>
  <c r="S395" i="85" s="1"/>
  <c r="R392" i="85"/>
  <c r="S392" i="85" s="1"/>
  <c r="R396" i="85"/>
  <c r="S396" i="85" s="1"/>
  <c r="R393" i="85"/>
  <c r="S393" i="85" s="1"/>
  <c r="R397" i="85"/>
  <c r="S397" i="85" s="1"/>
  <c r="R63" i="84"/>
  <c r="S63" i="84" s="1"/>
  <c r="R59" i="84"/>
  <c r="S59" i="84" s="1"/>
  <c r="R60" i="84"/>
  <c r="S60" i="84" s="1"/>
  <c r="R66" i="84"/>
  <c r="S66" i="84" s="1"/>
  <c r="R62" i="84"/>
  <c r="S62" i="84" s="1"/>
  <c r="R58" i="84"/>
  <c r="S58" i="84" s="1"/>
  <c r="R65" i="84"/>
  <c r="S65" i="84" s="1"/>
  <c r="R61" i="84"/>
  <c r="S61" i="84" s="1"/>
  <c r="R57" i="84"/>
  <c r="S57" i="84" s="1"/>
  <c r="R64" i="84"/>
  <c r="S64" i="84" s="1"/>
  <c r="R52" i="84"/>
  <c r="S52" i="84" s="1"/>
  <c r="R55" i="84"/>
  <c r="S55" i="84" s="1"/>
  <c r="R54" i="84"/>
  <c r="S54" i="84" s="1"/>
  <c r="R53" i="84"/>
  <c r="S53" i="84" s="1"/>
  <c r="R51" i="84"/>
  <c r="S51" i="84" s="1"/>
  <c r="R56" i="84"/>
  <c r="S56" i="84" s="1"/>
  <c r="R25" i="83"/>
  <c r="S25" i="83" s="1"/>
  <c r="R79" i="83"/>
  <c r="S79" i="83" s="1"/>
  <c r="R40" i="83"/>
  <c r="S40" i="83" s="1"/>
  <c r="R104" i="83"/>
  <c r="S104" i="83" s="1"/>
  <c r="R65" i="83"/>
  <c r="S65" i="83" s="1"/>
  <c r="R90" i="83"/>
  <c r="S90" i="83" s="1"/>
  <c r="R35" i="83"/>
  <c r="S35" i="83" s="1"/>
  <c r="R99" i="83"/>
  <c r="S99" i="83" s="1"/>
  <c r="R60" i="83"/>
  <c r="S60" i="83" s="1"/>
  <c r="R85" i="83"/>
  <c r="S85" i="83" s="1"/>
  <c r="R46" i="83"/>
  <c r="S46" i="83" s="1"/>
  <c r="R110" i="83"/>
  <c r="S110" i="83" s="1"/>
  <c r="R55" i="83"/>
  <c r="S55" i="83" s="1"/>
  <c r="R119" i="83"/>
  <c r="S119" i="83" s="1"/>
  <c r="R80" i="83"/>
  <c r="S80" i="83" s="1"/>
  <c r="R41" i="83"/>
  <c r="S41" i="83" s="1"/>
  <c r="R105" i="83"/>
  <c r="S105" i="83" s="1"/>
  <c r="R66" i="83"/>
  <c r="S66" i="83" s="1"/>
  <c r="R26" i="83"/>
  <c r="S26" i="83" s="1"/>
  <c r="R91" i="83"/>
  <c r="S91" i="83" s="1"/>
  <c r="R52" i="83"/>
  <c r="S52" i="83" s="1"/>
  <c r="R116" i="83"/>
  <c r="S116" i="83" s="1"/>
  <c r="R77" i="83"/>
  <c r="S77" i="83" s="1"/>
  <c r="R38" i="83"/>
  <c r="S38" i="83" s="1"/>
  <c r="R31" i="83"/>
  <c r="S31" i="83" s="1"/>
  <c r="R95" i="83"/>
  <c r="S95" i="83" s="1"/>
  <c r="R56" i="83"/>
  <c r="S56" i="83" s="1"/>
  <c r="R120" i="83"/>
  <c r="S120" i="83" s="1"/>
  <c r="R81" i="83"/>
  <c r="S81" i="83" s="1"/>
  <c r="R42" i="83"/>
  <c r="S42" i="83" s="1"/>
  <c r="R106" i="83"/>
  <c r="S106" i="83" s="1"/>
  <c r="R51" i="83"/>
  <c r="S51" i="83" s="1"/>
  <c r="R115" i="83"/>
  <c r="S115" i="83" s="1"/>
  <c r="R76" i="83"/>
  <c r="S76" i="83" s="1"/>
  <c r="R37" i="83"/>
  <c r="S37" i="83" s="1"/>
  <c r="R101" i="83"/>
  <c r="S101" i="83" s="1"/>
  <c r="R62" i="83"/>
  <c r="S62" i="83" s="1"/>
  <c r="R71" i="83"/>
  <c r="S71" i="83" s="1"/>
  <c r="R32" i="83"/>
  <c r="S32" i="83" s="1"/>
  <c r="R96" i="83"/>
  <c r="S96" i="83" s="1"/>
  <c r="R57" i="83"/>
  <c r="S57" i="83" s="1"/>
  <c r="R121" i="83"/>
  <c r="S121" i="83" s="1"/>
  <c r="R82" i="83"/>
  <c r="S82" i="83" s="1"/>
  <c r="R43" i="83"/>
  <c r="S43" i="83" s="1"/>
  <c r="R107" i="83"/>
  <c r="S107" i="83" s="1"/>
  <c r="R68" i="83"/>
  <c r="S68" i="83" s="1"/>
  <c r="R29" i="83"/>
  <c r="S29" i="83" s="1"/>
  <c r="R93" i="83"/>
  <c r="S93" i="83" s="1"/>
  <c r="R102" i="83"/>
  <c r="S102" i="83" s="1"/>
  <c r="R211" i="83"/>
  <c r="S211" i="83" s="1"/>
  <c r="R207" i="83"/>
  <c r="S207" i="83" s="1"/>
  <c r="R203" i="83"/>
  <c r="S203" i="83" s="1"/>
  <c r="R199" i="83"/>
  <c r="S199" i="83" s="1"/>
  <c r="R195" i="83"/>
  <c r="S195" i="83" s="1"/>
  <c r="R191" i="83"/>
  <c r="S191" i="83" s="1"/>
  <c r="R187" i="83"/>
  <c r="S187" i="83" s="1"/>
  <c r="R183" i="83"/>
  <c r="S183" i="83" s="1"/>
  <c r="R179" i="83"/>
  <c r="S179" i="83" s="1"/>
  <c r="R175" i="83"/>
  <c r="S175" i="83" s="1"/>
  <c r="R171" i="83"/>
  <c r="S171" i="83" s="1"/>
  <c r="R167" i="83"/>
  <c r="S167" i="83" s="1"/>
  <c r="R163" i="83"/>
  <c r="S163" i="83" s="1"/>
  <c r="R159" i="83"/>
  <c r="S159" i="83" s="1"/>
  <c r="R155" i="83"/>
  <c r="S155" i="83" s="1"/>
  <c r="R151" i="83"/>
  <c r="S151" i="83" s="1"/>
  <c r="R147" i="83"/>
  <c r="S147" i="83" s="1"/>
  <c r="R143" i="83"/>
  <c r="S143" i="83" s="1"/>
  <c r="R139" i="83"/>
  <c r="S139" i="83" s="1"/>
  <c r="R135" i="83"/>
  <c r="S135" i="83" s="1"/>
  <c r="R131" i="83"/>
  <c r="S131" i="83" s="1"/>
  <c r="R192" i="83"/>
  <c r="S192" i="83" s="1"/>
  <c r="R188" i="83"/>
  <c r="S188" i="83" s="1"/>
  <c r="R176" i="83"/>
  <c r="S176" i="83" s="1"/>
  <c r="R168" i="83"/>
  <c r="S168" i="83" s="1"/>
  <c r="R164" i="83"/>
  <c r="S164" i="83" s="1"/>
  <c r="R144" i="83"/>
  <c r="S144" i="83" s="1"/>
  <c r="R132" i="83"/>
  <c r="S132" i="83" s="1"/>
  <c r="R214" i="83"/>
  <c r="S214" i="83" s="1"/>
  <c r="R210" i="83"/>
  <c r="S210" i="83" s="1"/>
  <c r="R206" i="83"/>
  <c r="S206" i="83" s="1"/>
  <c r="R202" i="83"/>
  <c r="S202" i="83" s="1"/>
  <c r="R198" i="83"/>
  <c r="S198" i="83" s="1"/>
  <c r="R194" i="83"/>
  <c r="S194" i="83" s="1"/>
  <c r="R190" i="83"/>
  <c r="S190" i="83" s="1"/>
  <c r="R186" i="83"/>
  <c r="S186" i="83" s="1"/>
  <c r="R182" i="83"/>
  <c r="S182" i="83" s="1"/>
  <c r="R178" i="83"/>
  <c r="S178" i="83" s="1"/>
  <c r="R174" i="83"/>
  <c r="S174" i="83" s="1"/>
  <c r="R170" i="83"/>
  <c r="S170" i="83" s="1"/>
  <c r="R166" i="83"/>
  <c r="S166" i="83" s="1"/>
  <c r="R162" i="83"/>
  <c r="S162" i="83" s="1"/>
  <c r="R158" i="83"/>
  <c r="S158" i="83" s="1"/>
  <c r="R154" i="83"/>
  <c r="S154" i="83" s="1"/>
  <c r="R150" i="83"/>
  <c r="S150" i="83" s="1"/>
  <c r="R146" i="83"/>
  <c r="S146" i="83" s="1"/>
  <c r="R142" i="83"/>
  <c r="S142" i="83" s="1"/>
  <c r="R138" i="83"/>
  <c r="S138" i="83" s="1"/>
  <c r="R134" i="83"/>
  <c r="S134" i="83" s="1"/>
  <c r="R193" i="83"/>
  <c r="S193" i="83" s="1"/>
  <c r="R189" i="83"/>
  <c r="S189" i="83" s="1"/>
  <c r="R169" i="83"/>
  <c r="S169" i="83" s="1"/>
  <c r="R161" i="83"/>
  <c r="S161" i="83" s="1"/>
  <c r="R157" i="83"/>
  <c r="S157" i="83" s="1"/>
  <c r="R145" i="83"/>
  <c r="S145" i="83" s="1"/>
  <c r="R137" i="83"/>
  <c r="S137" i="83" s="1"/>
  <c r="R204" i="83"/>
  <c r="S204" i="83" s="1"/>
  <c r="R200" i="83"/>
  <c r="S200" i="83" s="1"/>
  <c r="R180" i="83"/>
  <c r="S180" i="83" s="1"/>
  <c r="R156" i="83"/>
  <c r="S156" i="83" s="1"/>
  <c r="R152" i="83"/>
  <c r="S152" i="83" s="1"/>
  <c r="R140" i="83"/>
  <c r="S140" i="83" s="1"/>
  <c r="R136" i="83"/>
  <c r="S136" i="83" s="1"/>
  <c r="R213" i="83"/>
  <c r="S213" i="83" s="1"/>
  <c r="R209" i="83"/>
  <c r="S209" i="83" s="1"/>
  <c r="R205" i="83"/>
  <c r="S205" i="83" s="1"/>
  <c r="R201" i="83"/>
  <c r="S201" i="83" s="1"/>
  <c r="R197" i="83"/>
  <c r="S197" i="83" s="1"/>
  <c r="R185" i="83"/>
  <c r="S185" i="83" s="1"/>
  <c r="R181" i="83"/>
  <c r="S181" i="83" s="1"/>
  <c r="R177" i="83"/>
  <c r="S177" i="83" s="1"/>
  <c r="R173" i="83"/>
  <c r="S173" i="83" s="1"/>
  <c r="R165" i="83"/>
  <c r="S165" i="83" s="1"/>
  <c r="R153" i="83"/>
  <c r="S153" i="83" s="1"/>
  <c r="R149" i="83"/>
  <c r="S149" i="83" s="1"/>
  <c r="R141" i="83"/>
  <c r="S141" i="83" s="1"/>
  <c r="R133" i="83"/>
  <c r="S133" i="83" s="1"/>
  <c r="R212" i="83"/>
  <c r="S212" i="83" s="1"/>
  <c r="R208" i="83"/>
  <c r="S208" i="83" s="1"/>
  <c r="R196" i="83"/>
  <c r="S196" i="83" s="1"/>
  <c r="R184" i="83"/>
  <c r="S184" i="83" s="1"/>
  <c r="R172" i="83"/>
  <c r="S172" i="83" s="1"/>
  <c r="R160" i="83"/>
  <c r="S160" i="83" s="1"/>
  <c r="R148" i="83"/>
  <c r="S148" i="83" s="1"/>
  <c r="R54" i="83"/>
  <c r="S54" i="83" s="1"/>
  <c r="R70" i="83"/>
  <c r="S70" i="83" s="1"/>
  <c r="G21" i="81"/>
  <c r="R41" i="84"/>
  <c r="S41" i="84" s="1"/>
  <c r="R26" i="84"/>
  <c r="S26" i="84" s="1"/>
  <c r="R29" i="84"/>
  <c r="S29" i="84" s="1"/>
  <c r="R39" i="84"/>
  <c r="S39" i="84" s="1"/>
  <c r="R31" i="84"/>
  <c r="S31" i="84" s="1"/>
  <c r="R38" i="84"/>
  <c r="S38" i="84" s="1"/>
  <c r="R48" i="84"/>
  <c r="S48" i="84" s="1"/>
  <c r="R50" i="84"/>
  <c r="S50" i="84" s="1"/>
  <c r="R37" i="84"/>
  <c r="S37" i="84" s="1"/>
  <c r="R44" i="84"/>
  <c r="S44" i="84" s="1"/>
  <c r="R25" i="84"/>
  <c r="S25" i="84" s="1"/>
  <c r="R35" i="84"/>
  <c r="S35" i="84" s="1"/>
  <c r="R27" i="84"/>
  <c r="S27" i="84" s="1"/>
  <c r="R34" i="84"/>
  <c r="S34" i="84" s="1"/>
  <c r="R49" i="84"/>
  <c r="S49" i="84" s="1"/>
  <c r="S24" i="84"/>
  <c r="R33" i="84"/>
  <c r="S33" i="84" s="1"/>
  <c r="R40" i="84"/>
  <c r="S40" i="84" s="1"/>
  <c r="R47" i="84"/>
  <c r="S47" i="84" s="1"/>
  <c r="R32" i="84"/>
  <c r="S32" i="84" s="1"/>
  <c r="R46" i="84"/>
  <c r="S46" i="84" s="1"/>
  <c r="R45" i="84"/>
  <c r="S45" i="84" s="1"/>
  <c r="R30" i="84"/>
  <c r="S30" i="84" s="1"/>
  <c r="R36" i="84"/>
  <c r="S36" i="84" s="1"/>
  <c r="R43" i="84"/>
  <c r="S43" i="84" s="1"/>
  <c r="R28" i="84"/>
  <c r="S28" i="84" s="1"/>
  <c r="R42" i="84"/>
  <c r="S42" i="84" s="1"/>
  <c r="R384" i="85" l="1"/>
  <c r="S384" i="85" s="1"/>
  <c r="R377" i="85"/>
  <c r="S377" i="85" s="1"/>
  <c r="R389" i="85"/>
  <c r="S389" i="85" s="1"/>
  <c r="R385" i="85"/>
  <c r="S385" i="85" s="1"/>
  <c r="R388" i="85"/>
  <c r="S388" i="85" s="1"/>
  <c r="R387" i="85"/>
  <c r="S387" i="85" s="1"/>
  <c r="R386" i="85"/>
  <c r="S386" i="85" s="1"/>
  <c r="R100" i="85"/>
  <c r="S100" i="85" s="1"/>
  <c r="R176" i="85"/>
  <c r="S176" i="85" s="1"/>
  <c r="R203" i="85"/>
  <c r="S203" i="85" s="1"/>
  <c r="R228" i="85"/>
  <c r="S228" i="85" s="1"/>
  <c r="R276" i="85"/>
  <c r="S276" i="85" s="1"/>
  <c r="R110" i="85"/>
  <c r="S110" i="85" s="1"/>
  <c r="R239" i="85"/>
  <c r="S239" i="85" s="1"/>
  <c r="R334" i="85"/>
  <c r="S334" i="85" s="1"/>
  <c r="R190" i="85"/>
  <c r="S190" i="85" s="1"/>
  <c r="R314" i="85"/>
  <c r="S314" i="85" s="1"/>
  <c r="R168" i="85"/>
  <c r="S168" i="85" s="1"/>
  <c r="R215" i="85"/>
  <c r="S215" i="85" s="1"/>
  <c r="R321" i="85"/>
  <c r="S321" i="85" s="1"/>
  <c r="R192" i="85"/>
  <c r="S192" i="85" s="1"/>
  <c r="R249" i="85"/>
  <c r="S249" i="85" s="1"/>
  <c r="R88" i="85"/>
  <c r="S88" i="85" s="1"/>
  <c r="R318" i="85"/>
  <c r="S318" i="85" s="1"/>
  <c r="R200" i="85"/>
  <c r="S200" i="85" s="1"/>
  <c r="R106" i="85"/>
  <c r="S106" i="85" s="1"/>
  <c r="R202" i="85"/>
  <c r="S202" i="85" s="1"/>
  <c r="R317" i="85"/>
  <c r="S317" i="85" s="1"/>
  <c r="R92" i="85"/>
  <c r="S92" i="85" s="1"/>
  <c r="R118" i="85"/>
  <c r="S118" i="85" s="1"/>
  <c r="R311" i="85"/>
  <c r="S311" i="85" s="1"/>
  <c r="R238" i="85"/>
  <c r="S238" i="85" s="1"/>
  <c r="R211" i="85"/>
  <c r="S211" i="85" s="1"/>
  <c r="R72" i="85"/>
  <c r="S72" i="85" s="1"/>
  <c r="R91" i="85"/>
  <c r="S91" i="85" s="1"/>
  <c r="R170" i="85"/>
  <c r="S170" i="85" s="1"/>
  <c r="R227" i="85"/>
  <c r="S227" i="85" s="1"/>
  <c r="R338" i="85"/>
  <c r="S338" i="85" s="1"/>
  <c r="R167" i="85"/>
  <c r="S167" i="85" s="1"/>
  <c r="R183" i="85"/>
  <c r="S183" i="85" s="1"/>
  <c r="R302" i="85"/>
  <c r="S302" i="85" s="1"/>
  <c r="R172" i="85"/>
  <c r="S172" i="85" s="1"/>
  <c r="R159" i="85"/>
  <c r="S159" i="85" s="1"/>
  <c r="R305" i="85"/>
  <c r="S305" i="85" s="1"/>
  <c r="R73" i="85"/>
  <c r="S73" i="85" s="1"/>
  <c r="R207" i="85"/>
  <c r="S207" i="85" s="1"/>
  <c r="R186" i="85"/>
  <c r="S186" i="85" s="1"/>
  <c r="R144" i="85"/>
  <c r="S144" i="85" s="1"/>
  <c r="R301" i="85"/>
  <c r="S301" i="85" s="1"/>
  <c r="R119" i="85"/>
  <c r="S119" i="85" s="1"/>
  <c r="R115" i="85"/>
  <c r="S115" i="85" s="1"/>
  <c r="R185" i="85"/>
  <c r="S185" i="85" s="1"/>
  <c r="R242" i="85"/>
  <c r="S242" i="85" s="1"/>
  <c r="R361" i="85"/>
  <c r="S361" i="85" s="1"/>
  <c r="R260" i="85"/>
  <c r="S260" i="85" s="1"/>
  <c r="R343" i="85"/>
  <c r="S343" i="85" s="1"/>
  <c r="R150" i="85"/>
  <c r="S150" i="85" s="1"/>
  <c r="R254" i="85"/>
  <c r="S254" i="85" s="1"/>
  <c r="R131" i="85"/>
  <c r="S131" i="85" s="1"/>
  <c r="R243" i="85"/>
  <c r="S243" i="85" s="1"/>
  <c r="R193" i="85"/>
  <c r="S193" i="85" s="1"/>
  <c r="R136" i="85"/>
  <c r="S136" i="85" s="1"/>
  <c r="R29" i="85"/>
  <c r="S29" i="85" s="1"/>
  <c r="R124" i="85"/>
  <c r="S124" i="85" s="1"/>
  <c r="R235" i="85"/>
  <c r="S235" i="85" s="1"/>
  <c r="R189" i="85"/>
  <c r="S189" i="85" s="1"/>
  <c r="R30" i="85"/>
  <c r="S30" i="85" s="1"/>
  <c r="R86" i="85"/>
  <c r="S86" i="85" s="1"/>
  <c r="R300" i="85"/>
  <c r="S300" i="85" s="1"/>
  <c r="R315" i="85"/>
  <c r="S315" i="85" s="1"/>
  <c r="R348" i="85"/>
  <c r="S348" i="85" s="1"/>
  <c r="R383" i="85"/>
  <c r="S383" i="85" s="1"/>
  <c r="R324" i="85"/>
  <c r="S324" i="85" s="1"/>
  <c r="R196" i="85"/>
  <c r="S196" i="85" s="1"/>
  <c r="R111" i="85"/>
  <c r="S111" i="85" s="1"/>
  <c r="R279" i="85"/>
  <c r="S279" i="85" s="1"/>
  <c r="R126" i="85"/>
  <c r="S126" i="85" s="1"/>
  <c r="R76" i="85"/>
  <c r="S76" i="85" s="1"/>
  <c r="R286" i="85"/>
  <c r="S286" i="85" s="1"/>
  <c r="R222" i="85"/>
  <c r="S222" i="85" s="1"/>
  <c r="R107" i="85"/>
  <c r="S107" i="85" s="1"/>
  <c r="R328" i="85"/>
  <c r="S328" i="85" s="1"/>
  <c r="R120" i="85"/>
  <c r="S120" i="85" s="1"/>
  <c r="R54" i="85"/>
  <c r="S54" i="85" s="1"/>
  <c r="R257" i="85"/>
  <c r="S257" i="85" s="1"/>
  <c r="R83" i="85"/>
  <c r="S83" i="85" s="1"/>
  <c r="R284" i="85"/>
  <c r="S284" i="85" s="1"/>
  <c r="R55" i="85"/>
  <c r="S55" i="85" s="1"/>
  <c r="R45" i="85"/>
  <c r="S45" i="85" s="1"/>
  <c r="R266" i="85"/>
  <c r="S266" i="85" s="1"/>
  <c r="R99" i="85"/>
  <c r="S99" i="85" s="1"/>
  <c r="R320" i="85"/>
  <c r="S320" i="85" s="1"/>
  <c r="R103" i="85"/>
  <c r="S103" i="85" s="1"/>
  <c r="R38" i="85"/>
  <c r="S38" i="85" s="1"/>
  <c r="R253" i="85"/>
  <c r="S253" i="85" s="1"/>
  <c r="R42" i="85"/>
  <c r="S42" i="85" s="1"/>
  <c r="R47" i="85"/>
  <c r="S47" i="85" s="1"/>
  <c r="R262" i="85"/>
  <c r="S262" i="85" s="1"/>
  <c r="R312" i="85"/>
  <c r="S312" i="85" s="1"/>
  <c r="R174" i="85"/>
  <c r="S174" i="85" s="1"/>
  <c r="R67" i="85"/>
  <c r="S67" i="85" s="1"/>
  <c r="R70" i="85"/>
  <c r="S70" i="85" s="1"/>
  <c r="R52" i="85"/>
  <c r="S52" i="85" s="1"/>
  <c r="R229" i="85"/>
  <c r="S229" i="85" s="1"/>
  <c r="R380" i="85"/>
  <c r="S380" i="85" s="1"/>
  <c r="R351" i="85"/>
  <c r="S351" i="85" s="1"/>
  <c r="R370" i="85"/>
  <c r="S370" i="85" s="1"/>
  <c r="R292" i="85"/>
  <c r="S292" i="85" s="1"/>
  <c r="R151" i="85"/>
  <c r="S151" i="85" s="1"/>
  <c r="R63" i="85"/>
  <c r="S63" i="85" s="1"/>
  <c r="R247" i="85"/>
  <c r="S247" i="85" s="1"/>
  <c r="R62" i="85"/>
  <c r="S62" i="85" s="1"/>
  <c r="R46" i="85"/>
  <c r="S46" i="85" s="1"/>
  <c r="R270" i="85"/>
  <c r="S270" i="85" s="1"/>
  <c r="R206" i="85"/>
  <c r="S206" i="85" s="1"/>
  <c r="R77" i="85"/>
  <c r="S77" i="85" s="1"/>
  <c r="R296" i="85"/>
  <c r="S296" i="85" s="1"/>
  <c r="R339" i="85"/>
  <c r="S339" i="85" s="1"/>
  <c r="R133" i="85"/>
  <c r="S133" i="85" s="1"/>
  <c r="R241" i="85"/>
  <c r="S241" i="85" s="1"/>
  <c r="R50" i="85"/>
  <c r="S50" i="85" s="1"/>
  <c r="R252" i="85"/>
  <c r="S252" i="85" s="1"/>
  <c r="R335" i="85"/>
  <c r="S335" i="85" s="1"/>
  <c r="R141" i="85"/>
  <c r="S141" i="85" s="1"/>
  <c r="R250" i="85"/>
  <c r="S250" i="85" s="1"/>
  <c r="R69" i="85"/>
  <c r="S69" i="85" s="1"/>
  <c r="R288" i="85"/>
  <c r="S288" i="85" s="1"/>
  <c r="R331" i="85"/>
  <c r="S331" i="85" s="1"/>
  <c r="R37" i="85"/>
  <c r="S37" i="85" s="1"/>
  <c r="R237" i="85"/>
  <c r="S237" i="85" s="1"/>
  <c r="R65" i="85"/>
  <c r="S65" i="85" s="1"/>
  <c r="R231" i="85"/>
  <c r="S231" i="85" s="1"/>
  <c r="R198" i="85"/>
  <c r="S198" i="85" s="1"/>
  <c r="R184" i="85"/>
  <c r="S184" i="85" s="1"/>
  <c r="R313" i="85"/>
  <c r="S313" i="85" s="1"/>
  <c r="R89" i="85"/>
  <c r="S89" i="85" s="1"/>
  <c r="R255" i="85"/>
  <c r="S255" i="85" s="1"/>
  <c r="R272" i="85"/>
  <c r="S272" i="85" s="1"/>
  <c r="R26" i="85"/>
  <c r="S26" i="85" s="1"/>
  <c r="R364" i="85"/>
  <c r="S364" i="85" s="1"/>
  <c r="R354" i="85"/>
  <c r="S354" i="85" s="1"/>
  <c r="R44" i="85"/>
  <c r="S44" i="85" s="1"/>
  <c r="R66" i="85"/>
  <c r="S66" i="85" s="1"/>
  <c r="R264" i="85"/>
  <c r="S264" i="85" s="1"/>
  <c r="R96" i="85"/>
  <c r="S96" i="85" s="1"/>
  <c r="R307" i="85"/>
  <c r="S307" i="85" s="1"/>
  <c r="R179" i="85"/>
  <c r="S179" i="85" s="1"/>
  <c r="R330" i="85"/>
  <c r="S330" i="85" s="1"/>
  <c r="R289" i="85"/>
  <c r="S289" i="85" s="1"/>
  <c r="R225" i="85"/>
  <c r="S225" i="85" s="1"/>
  <c r="R145" i="85"/>
  <c r="S145" i="85" s="1"/>
  <c r="R169" i="85"/>
  <c r="S169" i="85" s="1"/>
  <c r="R41" i="85"/>
  <c r="S41" i="85" s="1"/>
  <c r="R220" i="85"/>
  <c r="S220" i="85" s="1"/>
  <c r="R152" i="85"/>
  <c r="S152" i="85" s="1"/>
  <c r="R303" i="85"/>
  <c r="S303" i="85" s="1"/>
  <c r="R173" i="85"/>
  <c r="S173" i="85" s="1"/>
  <c r="R102" i="85"/>
  <c r="S102" i="85" s="1"/>
  <c r="R298" i="85"/>
  <c r="S298" i="85" s="1"/>
  <c r="R234" i="85"/>
  <c r="S234" i="85" s="1"/>
  <c r="R164" i="85"/>
  <c r="S164" i="85" s="1"/>
  <c r="R35" i="85"/>
  <c r="S35" i="85" s="1"/>
  <c r="R59" i="85"/>
  <c r="S59" i="85" s="1"/>
  <c r="R256" i="85"/>
  <c r="S256" i="85" s="1"/>
  <c r="R81" i="85"/>
  <c r="S81" i="85" s="1"/>
  <c r="R299" i="85"/>
  <c r="S299" i="85" s="1"/>
  <c r="R166" i="85"/>
  <c r="S166" i="85" s="1"/>
  <c r="R326" i="85"/>
  <c r="S326" i="85" s="1"/>
  <c r="R285" i="85"/>
  <c r="S285" i="85" s="1"/>
  <c r="R221" i="85"/>
  <c r="S221" i="85" s="1"/>
  <c r="R138" i="85"/>
  <c r="S138" i="85" s="1"/>
  <c r="R161" i="85"/>
  <c r="S161" i="85" s="1"/>
  <c r="R33" i="85"/>
  <c r="S33" i="85" s="1"/>
  <c r="R244" i="85"/>
  <c r="S244" i="85" s="1"/>
  <c r="R48" i="85"/>
  <c r="S48" i="85" s="1"/>
  <c r="R327" i="85"/>
  <c r="S327" i="85" s="1"/>
  <c r="R199" i="85"/>
  <c r="S199" i="85" s="1"/>
  <c r="R125" i="85"/>
  <c r="S125" i="85" s="1"/>
  <c r="R310" i="85"/>
  <c r="S310" i="85" s="1"/>
  <c r="R246" i="85"/>
  <c r="S246" i="85" s="1"/>
  <c r="R182" i="85"/>
  <c r="S182" i="85" s="1"/>
  <c r="R60" i="85"/>
  <c r="S60" i="85" s="1"/>
  <c r="R82" i="85"/>
  <c r="S82" i="85" s="1"/>
  <c r="R280" i="85"/>
  <c r="S280" i="85" s="1"/>
  <c r="R128" i="85"/>
  <c r="S128" i="85" s="1"/>
  <c r="R323" i="85"/>
  <c r="S323" i="85" s="1"/>
  <c r="R195" i="85"/>
  <c r="S195" i="85" s="1"/>
  <c r="R342" i="85"/>
  <c r="S342" i="85" s="1"/>
  <c r="R297" i="85"/>
  <c r="S297" i="85" s="1"/>
  <c r="R233" i="85"/>
  <c r="S233" i="85" s="1"/>
  <c r="R162" i="85"/>
  <c r="S162" i="85" s="1"/>
  <c r="R34" i="85"/>
  <c r="S34" i="85" s="1"/>
  <c r="R57" i="85"/>
  <c r="S57" i="85" s="1"/>
  <c r="R268" i="85"/>
  <c r="S268" i="85" s="1"/>
  <c r="R104" i="85"/>
  <c r="S104" i="85" s="1"/>
  <c r="R31" i="85"/>
  <c r="S31" i="85" s="1"/>
  <c r="R223" i="85"/>
  <c r="S223" i="85" s="1"/>
  <c r="R322" i="85"/>
  <c r="S322" i="85" s="1"/>
  <c r="R194" i="85"/>
  <c r="S194" i="85" s="1"/>
  <c r="R108" i="85"/>
  <c r="S108" i="85" s="1"/>
  <c r="R175" i="85"/>
  <c r="S175" i="85" s="1"/>
  <c r="R219" i="85"/>
  <c r="S219" i="85" s="1"/>
  <c r="R309" i="85"/>
  <c r="S309" i="85" s="1"/>
  <c r="R181" i="85"/>
  <c r="S181" i="85" s="1"/>
  <c r="R80" i="85"/>
  <c r="S80" i="85" s="1"/>
  <c r="R373" i="85"/>
  <c r="S373" i="85" s="1"/>
  <c r="R357" i="85"/>
  <c r="S357" i="85" s="1"/>
  <c r="R376" i="85"/>
  <c r="S376" i="85" s="1"/>
  <c r="R360" i="85"/>
  <c r="S360" i="85" s="1"/>
  <c r="R379" i="85"/>
  <c r="S379" i="85" s="1"/>
  <c r="R363" i="85"/>
  <c r="S363" i="85" s="1"/>
  <c r="R347" i="85"/>
  <c r="S347" i="85" s="1"/>
  <c r="R382" i="85"/>
  <c r="S382" i="85" s="1"/>
  <c r="R366" i="85"/>
  <c r="S366" i="85" s="1"/>
  <c r="R350" i="85"/>
  <c r="S350" i="85" s="1"/>
  <c r="R140" i="85"/>
  <c r="S140" i="85" s="1"/>
  <c r="R163" i="85"/>
  <c r="S163" i="85" s="1"/>
  <c r="R36" i="85"/>
  <c r="S36" i="85" s="1"/>
  <c r="R232" i="85"/>
  <c r="S232" i="85" s="1"/>
  <c r="R39" i="85"/>
  <c r="S39" i="85" s="1"/>
  <c r="R275" i="85"/>
  <c r="S275" i="85" s="1"/>
  <c r="R117" i="85"/>
  <c r="S117" i="85" s="1"/>
  <c r="R337" i="85"/>
  <c r="S337" i="85" s="1"/>
  <c r="R273" i="85"/>
  <c r="S273" i="85" s="1"/>
  <c r="R209" i="85"/>
  <c r="S209" i="85" s="1"/>
  <c r="R113" i="85"/>
  <c r="S113" i="85" s="1"/>
  <c r="R137" i="85"/>
  <c r="S137" i="85" s="1"/>
  <c r="R316" i="85"/>
  <c r="S316" i="85" s="1"/>
  <c r="R188" i="85"/>
  <c r="S188" i="85" s="1"/>
  <c r="R95" i="85"/>
  <c r="S95" i="85" s="1"/>
  <c r="R271" i="85"/>
  <c r="S271" i="85" s="1"/>
  <c r="R109" i="85"/>
  <c r="S109" i="85" s="1"/>
  <c r="R68" i="85"/>
  <c r="S68" i="85" s="1"/>
  <c r="R282" i="85"/>
  <c r="S282" i="85" s="1"/>
  <c r="R218" i="85"/>
  <c r="S218" i="85" s="1"/>
  <c r="R132" i="85"/>
  <c r="S132" i="85" s="1"/>
  <c r="R156" i="85"/>
  <c r="S156" i="85" s="1"/>
  <c r="R27" i="85"/>
  <c r="S27" i="85" s="1"/>
  <c r="R224" i="85"/>
  <c r="S224" i="85" s="1"/>
  <c r="R178" i="85"/>
  <c r="S178" i="85" s="1"/>
  <c r="R267" i="85"/>
  <c r="S267" i="85" s="1"/>
  <c r="R101" i="85"/>
  <c r="S101" i="85" s="1"/>
  <c r="R333" i="85"/>
  <c r="S333" i="85" s="1"/>
  <c r="R269" i="85"/>
  <c r="S269" i="85" s="1"/>
  <c r="R205" i="85"/>
  <c r="S205" i="85" s="1"/>
  <c r="R105" i="85"/>
  <c r="S105" i="85" s="1"/>
  <c r="R129" i="85"/>
  <c r="S129" i="85" s="1"/>
  <c r="R340" i="85"/>
  <c r="S340" i="85" s="1"/>
  <c r="R212" i="85"/>
  <c r="S212" i="85" s="1"/>
  <c r="R135" i="85"/>
  <c r="S135" i="85" s="1"/>
  <c r="R295" i="85"/>
  <c r="S295" i="85" s="1"/>
  <c r="R157" i="85"/>
  <c r="S157" i="85" s="1"/>
  <c r="R93" i="85"/>
  <c r="S93" i="85" s="1"/>
  <c r="R294" i="85"/>
  <c r="S294" i="85" s="1"/>
  <c r="R230" i="85"/>
  <c r="S230" i="85" s="1"/>
  <c r="R155" i="85"/>
  <c r="S155" i="85" s="1"/>
  <c r="R28" i="85"/>
  <c r="S28" i="85" s="1"/>
  <c r="R51" i="85"/>
  <c r="S51" i="85" s="1"/>
  <c r="R248" i="85"/>
  <c r="S248" i="85" s="1"/>
  <c r="R64" i="85"/>
  <c r="S64" i="85" s="1"/>
  <c r="R291" i="85"/>
  <c r="S291" i="85" s="1"/>
  <c r="R149" i="85"/>
  <c r="S149" i="85" s="1"/>
  <c r="R345" i="85"/>
  <c r="S345" i="85" s="1"/>
  <c r="R281" i="85"/>
  <c r="S281" i="85" s="1"/>
  <c r="R217" i="85"/>
  <c r="S217" i="85" s="1"/>
  <c r="R130" i="85"/>
  <c r="S130" i="85" s="1"/>
  <c r="R154" i="85"/>
  <c r="S154" i="85" s="1"/>
  <c r="R25" i="85"/>
  <c r="S25" i="85" s="1"/>
  <c r="R236" i="85"/>
  <c r="S236" i="85" s="1"/>
  <c r="R32" i="85"/>
  <c r="S32" i="85" s="1"/>
  <c r="R319" i="85"/>
  <c r="S319" i="85" s="1"/>
  <c r="R191" i="85"/>
  <c r="S191" i="85" s="1"/>
  <c r="R306" i="85"/>
  <c r="S306" i="85" s="1"/>
  <c r="R177" i="85"/>
  <c r="S177" i="85" s="1"/>
  <c r="R75" i="85"/>
  <c r="S75" i="85" s="1"/>
  <c r="R112" i="85"/>
  <c r="S112" i="85" s="1"/>
  <c r="R187" i="85"/>
  <c r="S187" i="85" s="1"/>
  <c r="R293" i="85"/>
  <c r="S293" i="85" s="1"/>
  <c r="R153" i="85"/>
  <c r="S153" i="85" s="1"/>
  <c r="R49" i="85"/>
  <c r="S49" i="85" s="1"/>
  <c r="R369" i="85"/>
  <c r="S369" i="85" s="1"/>
  <c r="R353" i="85"/>
  <c r="S353" i="85" s="1"/>
  <c r="R372" i="85"/>
  <c r="S372" i="85" s="1"/>
  <c r="R356" i="85"/>
  <c r="S356" i="85" s="1"/>
  <c r="R375" i="85"/>
  <c r="S375" i="85" s="1"/>
  <c r="R359" i="85"/>
  <c r="S359" i="85" s="1"/>
  <c r="R378" i="85"/>
  <c r="S378" i="85" s="1"/>
  <c r="R362" i="85"/>
  <c r="S362" i="85" s="1"/>
  <c r="R346" i="85"/>
  <c r="S346" i="85" s="1"/>
  <c r="R74" i="85"/>
  <c r="S74" i="85" s="1"/>
  <c r="R97" i="85"/>
  <c r="S97" i="85" s="1"/>
  <c r="R308" i="85"/>
  <c r="S308" i="85" s="1"/>
  <c r="R180" i="85"/>
  <c r="S180" i="85" s="1"/>
  <c r="R78" i="85"/>
  <c r="S78" i="85" s="1"/>
  <c r="R263" i="85"/>
  <c r="S263" i="85" s="1"/>
  <c r="R94" i="85"/>
  <c r="S94" i="85" s="1"/>
  <c r="R61" i="85"/>
  <c r="S61" i="85" s="1"/>
  <c r="R278" i="85"/>
  <c r="S278" i="85" s="1"/>
  <c r="R214" i="85"/>
  <c r="S214" i="85" s="1"/>
  <c r="R123" i="85"/>
  <c r="S123" i="85" s="1"/>
  <c r="R148" i="85"/>
  <c r="S148" i="85" s="1"/>
  <c r="R344" i="85"/>
  <c r="S344" i="85" s="1"/>
  <c r="R216" i="85"/>
  <c r="S216" i="85" s="1"/>
  <c r="R160" i="85"/>
  <c r="S160" i="85" s="1"/>
  <c r="R259" i="85"/>
  <c r="S259" i="85" s="1"/>
  <c r="R87" i="85"/>
  <c r="S87" i="85" s="1"/>
  <c r="R329" i="85"/>
  <c r="S329" i="85" s="1"/>
  <c r="R265" i="85"/>
  <c r="S265" i="85" s="1"/>
  <c r="R201" i="85"/>
  <c r="S201" i="85" s="1"/>
  <c r="R98" i="85"/>
  <c r="S98" i="85" s="1"/>
  <c r="R121" i="85"/>
  <c r="S121" i="85" s="1"/>
  <c r="R332" i="85"/>
  <c r="S332" i="85" s="1"/>
  <c r="R204" i="85"/>
  <c r="S204" i="85" s="1"/>
  <c r="R127" i="85"/>
  <c r="S127" i="85" s="1"/>
  <c r="R287" i="85"/>
  <c r="S287" i="85" s="1"/>
  <c r="R165" i="85"/>
  <c r="S165" i="85" s="1"/>
  <c r="R258" i="85"/>
  <c r="S258" i="85" s="1"/>
  <c r="R85" i="85"/>
  <c r="S85" i="85" s="1"/>
  <c r="R304" i="85"/>
  <c r="S304" i="85" s="1"/>
  <c r="R40" i="85"/>
  <c r="S40" i="85" s="1"/>
  <c r="R158" i="85"/>
  <c r="S158" i="85" s="1"/>
  <c r="R245" i="85"/>
  <c r="S245" i="85" s="1"/>
  <c r="R58" i="85"/>
  <c r="S58" i="85" s="1"/>
  <c r="R381" i="85"/>
  <c r="S381" i="85" s="1"/>
  <c r="R365" i="85"/>
  <c r="S365" i="85" s="1"/>
  <c r="R349" i="85"/>
  <c r="S349" i="85" s="1"/>
  <c r="R368" i="85"/>
  <c r="S368" i="85" s="1"/>
  <c r="R352" i="85"/>
  <c r="S352" i="85" s="1"/>
  <c r="R371" i="85"/>
  <c r="S371" i="85" s="1"/>
  <c r="R355" i="85"/>
  <c r="S355" i="85" s="1"/>
  <c r="R374" i="85"/>
  <c r="S374" i="85" s="1"/>
  <c r="R358" i="85"/>
  <c r="S358" i="85" s="1"/>
  <c r="R142" i="85"/>
  <c r="S142" i="85" s="1"/>
  <c r="R84" i="85"/>
  <c r="S84" i="85" s="1"/>
  <c r="R290" i="85"/>
  <c r="S290" i="85" s="1"/>
  <c r="R226" i="85"/>
  <c r="S226" i="85" s="1"/>
  <c r="R147" i="85"/>
  <c r="S147" i="85" s="1"/>
  <c r="R171" i="85"/>
  <c r="S171" i="85" s="1"/>
  <c r="R43" i="85"/>
  <c r="S43" i="85" s="1"/>
  <c r="R240" i="85"/>
  <c r="S240" i="85" s="1"/>
  <c r="R56" i="85"/>
  <c r="S56" i="85" s="1"/>
  <c r="R283" i="85"/>
  <c r="S283" i="85" s="1"/>
  <c r="R134" i="85"/>
  <c r="S134" i="85" s="1"/>
  <c r="R341" i="85"/>
  <c r="S341" i="85" s="1"/>
  <c r="R277" i="85"/>
  <c r="S277" i="85" s="1"/>
  <c r="R213" i="85"/>
  <c r="S213" i="85" s="1"/>
  <c r="R122" i="85"/>
  <c r="S122" i="85" s="1"/>
  <c r="R146" i="85"/>
  <c r="S146" i="85" s="1"/>
  <c r="S24" i="85"/>
  <c r="R79" i="85"/>
  <c r="S79" i="85" s="1"/>
  <c r="R53" i="85"/>
  <c r="S53" i="85" s="1"/>
  <c r="R274" i="85"/>
  <c r="S274" i="85" s="1"/>
  <c r="R210" i="85"/>
  <c r="S210" i="85" s="1"/>
  <c r="R116" i="85"/>
  <c r="S116" i="85" s="1"/>
  <c r="R139" i="85"/>
  <c r="S139" i="85" s="1"/>
  <c r="R336" i="85"/>
  <c r="S336" i="85" s="1"/>
  <c r="R208" i="85"/>
  <c r="S208" i="85" s="1"/>
  <c r="R143" i="85"/>
  <c r="S143" i="85" s="1"/>
  <c r="R251" i="85"/>
  <c r="S251" i="85" s="1"/>
  <c r="R71" i="85"/>
  <c r="S71" i="85" s="1"/>
  <c r="R325" i="85"/>
  <c r="S325" i="85" s="1"/>
  <c r="R261" i="85"/>
  <c r="S261" i="85" s="1"/>
  <c r="R197" i="85"/>
  <c r="S197" i="85" s="1"/>
  <c r="R90" i="85"/>
  <c r="S90" i="85" s="1"/>
  <c r="S22" i="83"/>
  <c r="T22" i="83" s="1"/>
  <c r="V22" i="83" s="1"/>
  <c r="S22" i="84"/>
  <c r="S22" i="85" l="1"/>
  <c r="T20" i="83"/>
  <c r="V20" i="83" s="1"/>
  <c r="D15" i="74"/>
  <c r="R22" i="83"/>
  <c r="B20" i="83"/>
  <c r="B21" i="83" s="1"/>
  <c r="B20" i="84"/>
  <c r="B21" i="84" s="1"/>
  <c r="D16" i="74"/>
  <c r="D24" i="74" s="1"/>
  <c r="E24" i="74" s="1"/>
  <c r="R22" i="84"/>
  <c r="D17" i="74" l="1"/>
  <c r="E17" i="74" s="1"/>
  <c r="T21" i="85"/>
  <c r="B20" i="85"/>
  <c r="B21" i="85" s="1"/>
  <c r="R22" i="85"/>
  <c r="G16" i="74"/>
  <c r="F16" i="74"/>
  <c r="E16" i="74"/>
  <c r="F15" i="74"/>
  <c r="G15" i="74"/>
  <c r="E15" i="74"/>
  <c r="D25" i="74" l="1"/>
  <c r="E25" i="74" s="1"/>
  <c r="G17" i="74"/>
  <c r="B6" i="74" s="1"/>
  <c r="D6" i="74" s="1"/>
  <c r="F17" i="74"/>
  <c r="B5" i="74"/>
  <c r="D5" i="74" s="1"/>
  <c r="C5" i="74" l="1"/>
  <c r="C6" i="74"/>
  <c r="D118" i="9"/>
  <c r="D119" i="9" s="1"/>
  <c r="D5" i="52" s="1"/>
  <c r="B49" i="72" s="1"/>
  <c r="F118" i="9"/>
  <c r="G118" i="9" s="1"/>
  <c r="G4" i="52" s="1"/>
  <c r="B52" i="72" s="1"/>
  <c r="H118" i="9"/>
  <c r="C104" i="9" s="1"/>
  <c r="H4" i="52" l="1"/>
  <c r="F4" i="52"/>
  <c r="B51" i="72" s="1"/>
  <c r="H119" i="9"/>
  <c r="H5" i="52" s="1"/>
  <c r="D4" i="52"/>
  <c r="B47" i="72" s="1"/>
  <c r="H101" i="9"/>
  <c r="I118" i="9"/>
  <c r="F119" i="9"/>
  <c r="F5" i="52" s="1"/>
  <c r="B53" i="72" s="1"/>
  <c r="H102" i="9" l="1"/>
  <c r="D7" i="53" s="1"/>
  <c r="B21" i="72" s="1"/>
  <c r="I4" i="52"/>
  <c r="C105" i="9"/>
  <c r="E118" i="9"/>
  <c r="E4" i="52" s="1"/>
  <c r="B48" i="72" s="1"/>
  <c r="D45" i="9"/>
  <c r="D5" i="53"/>
  <c r="M48" i="9"/>
  <c r="H107" i="9"/>
  <c r="D6" i="53" l="1"/>
  <c r="B22" i="72" s="1"/>
  <c r="B20" i="72"/>
  <c r="M49" i="9"/>
  <c r="H108" i="9"/>
  <c r="D15" i="53" s="1"/>
  <c r="B31" i="72" s="1"/>
  <c r="D13" i="53"/>
  <c r="D122" i="9"/>
  <c r="C64" i="9"/>
  <c r="C63" i="9" s="1"/>
  <c r="C67" i="9" s="1"/>
  <c r="D52" i="9"/>
  <c r="C78" i="9"/>
  <c r="C73" i="9" s="1"/>
  <c r="C93" i="9"/>
  <c r="C86" i="9" s="1"/>
  <c r="D53" i="9"/>
  <c r="D55" i="9"/>
  <c r="M53" i="9" s="1"/>
  <c r="C72" i="9"/>
  <c r="C85" i="9"/>
  <c r="C95" i="9" l="1"/>
  <c r="C96" i="9" s="1"/>
  <c r="E96" i="9" s="1"/>
  <c r="E97" i="9" s="1"/>
  <c r="C79" i="9"/>
  <c r="C80" i="9" s="1"/>
  <c r="E80" i="9" s="1"/>
  <c r="E81" i="9" s="1"/>
  <c r="D59" i="9"/>
  <c r="M55" i="9" s="1"/>
  <c r="C68" i="9"/>
  <c r="D54" i="9" s="1"/>
  <c r="L67" i="9"/>
  <c r="M67" i="9" s="1"/>
  <c r="L64" i="9"/>
  <c r="M64" i="9" s="1"/>
  <c r="L66" i="9"/>
  <c r="M66" i="9" s="1"/>
  <c r="L63" i="9"/>
  <c r="M63" i="9" s="1"/>
  <c r="L65" i="9"/>
  <c r="M65" i="9" s="1"/>
  <c r="L68" i="9"/>
  <c r="M68" i="9" s="1"/>
  <c r="D14" i="53"/>
  <c r="B32" i="72" s="1"/>
  <c r="B30" i="72"/>
  <c r="D8" i="52"/>
  <c r="D123" i="9"/>
  <c r="D9" i="52" s="1"/>
  <c r="M69" i="9" l="1"/>
  <c r="N69" i="9" s="1"/>
  <c r="C97" i="9"/>
  <c r="D58" i="9" s="1"/>
  <c r="D56" i="9" s="1"/>
  <c r="M54" i="9" s="1"/>
  <c r="N57" i="9" s="1"/>
  <c r="C81" i="9"/>
  <c r="N58" i="9" l="1"/>
  <c r="P57" i="9"/>
  <c r="N59" i="9"/>
  <c r="N61" i="9" l="1"/>
  <c r="N60" i="9"/>
  <c r="D118" i="81"/>
  <c r="D119" i="81" s="1"/>
  <c r="F118" i="81"/>
  <c r="G118" i="81" s="1"/>
  <c r="H118" i="81"/>
  <c r="C104" i="81" s="1"/>
  <c r="H119" i="81" l="1"/>
  <c r="H101" i="81"/>
  <c r="I118" i="81"/>
  <c r="F119" i="81"/>
  <c r="H102" i="81" l="1"/>
  <c r="C105" i="81"/>
  <c r="E118" i="81"/>
  <c r="D45" i="81"/>
  <c r="M48" i="81"/>
  <c r="H107" i="81"/>
  <c r="C64" i="81" l="1"/>
  <c r="C63" i="81" s="1"/>
  <c r="C67" i="81" s="1"/>
  <c r="D52" i="81"/>
  <c r="C78" i="81"/>
  <c r="C73" i="81" s="1"/>
  <c r="C93" i="81"/>
  <c r="C86" i="81" s="1"/>
  <c r="D53" i="81"/>
  <c r="D55" i="81"/>
  <c r="M53" i="81" s="1"/>
  <c r="C72" i="81"/>
  <c r="C85" i="81"/>
  <c r="M49" i="81"/>
  <c r="H108" i="81"/>
  <c r="D122" i="81"/>
  <c r="D123" i="81" s="1"/>
  <c r="C79" i="81" l="1"/>
  <c r="C80" i="81" s="1"/>
  <c r="E80" i="81" s="1"/>
  <c r="E81" i="81" s="1"/>
  <c r="C95" i="81"/>
  <c r="C96" i="81" s="1"/>
  <c r="E96" i="81" s="1"/>
  <c r="E97" i="81" s="1"/>
  <c r="L67" i="81"/>
  <c r="M67" i="81" s="1"/>
  <c r="L64" i="81"/>
  <c r="M64" i="81" s="1"/>
  <c r="L66" i="81"/>
  <c r="M66" i="81" s="1"/>
  <c r="L63" i="81"/>
  <c r="M63" i="81" s="1"/>
  <c r="L65" i="81"/>
  <c r="M65" i="81" s="1"/>
  <c r="L68" i="81"/>
  <c r="M68" i="81" s="1"/>
  <c r="D59" i="81"/>
  <c r="M55" i="81" s="1"/>
  <c r="C68" i="81"/>
  <c r="D54" i="81" s="1"/>
  <c r="C81" i="81" l="1"/>
  <c r="M69" i="81"/>
  <c r="N69" i="81" s="1"/>
  <c r="C97" i="81"/>
  <c r="D58" i="81" s="1"/>
  <c r="D56" i="81" s="1"/>
  <c r="M54" i="81" s="1"/>
  <c r="N57" i="81" s="1"/>
  <c r="N58" i="81" l="1"/>
  <c r="P57" i="81"/>
  <c r="N59" i="81"/>
  <c r="N61" i="81" l="1"/>
  <c r="N60" i="8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53931EF-CC81-48E7-A5DD-E378D40357E6}">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7E44B0CB-63D5-464C-832C-353B222D694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2D18A0A6-8BCC-448D-8008-47277609E6D9}">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8BA62880-6828-4D9F-9CA7-6776C4F3BEB1}">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41D9A731-A6B5-43B0-8A5C-F42212230194}">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87CBE2D-9C99-41B4-8894-DF61EB9EE3F6}">
      <text>
        <r>
          <rPr>
            <sz val="11"/>
            <color indexed="81"/>
            <rFont val="宋体"/>
            <family val="3"/>
            <charset val="134"/>
          </rPr>
          <t>需在下方列示计算过程</t>
        </r>
        <r>
          <rPr>
            <sz val="9"/>
            <color indexed="81"/>
            <rFont val="宋体"/>
            <family val="3"/>
            <charset val="134"/>
          </rPr>
          <t xml:space="preserve">
</t>
        </r>
      </text>
    </comment>
    <comment ref="H75" authorId="2" shapeId="0" xr:uid="{B9FC0F91-E30C-4D79-A6B0-3AB9724B7C1D}">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<sst xmlns="http://schemas.openxmlformats.org/spreadsheetml/2006/main" count="14579" uniqueCount="5056">
  <si>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</si>
  <si>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</si>
  <si>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</si>
  <si>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</si>
  <si>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</si>
  <si>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</si>
  <si>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</si>
  <si>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</si>
  <si>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</si>
  <si>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</si>
  <si>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</si>
  <si>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</si>
  <si>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</si>
  <si>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</si>
  <si>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</si>
  <si>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</si>
  <si>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</si>
  <si>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</si>
  <si>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</si>
  <si>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</si>
  <si>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</si>
  <si>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</si>
  <si>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</si>
  <si>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</si>
  <si>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</si>
  <si>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</si>
  <si>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</si>
  <si>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</si>
  <si>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</si>
  <si>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</si>
  <si>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</si>
  <si>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</si>
  <si>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</si>
  <si>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</si>
  <si>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</si>
  <si>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</si>
  <si>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</si>
  <si>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</si>
  <si>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</si>
  <si>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</si>
  <si>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</si>
  <si>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</si>
  <si>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</si>
  <si>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</si>
  <si>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</si>
  <si>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</si>
  <si>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</si>
  <si>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</si>
  <si>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</si>
  <si>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</si>
  <si>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</si>
  <si>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</si>
  <si>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</si>
  <si>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</si>
  <si>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</si>
  <si>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</si>
  <si>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</si>
  <si>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</si>
  <si>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</si>
  <si>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</si>
  <si>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</si>
  <si>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</si>
  <si>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</si>
  <si>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</si>
  <si>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</si>
  <si>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</si>
  <si>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</si>
  <si>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</si>
  <si>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</si>
  <si>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</si>
  <si>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</si>
  <si>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</si>
  <si>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</si>
  <si>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</si>
  <si>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</si>
  <si>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</si>
  <si>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</si>
  <si>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</si>
  <si>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</si>
  <si>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</si>
  <si>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</si>
  <si>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</si>
  <si>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</si>
  <si>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</si>
  <si>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</si>
  <si>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</si>
  <si>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</si>
  <si>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</si>
  <si>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</si>
  <si>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</si>
  <si>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</si>
  <si>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</si>
  <si>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</si>
  <si>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</si>
  <si>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</si>
  <si>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</si>
  <si>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</si>
  <si>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</si>
  <si>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</si>
  <si>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</si>
  <si>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</si>
  <si>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</si>
  <si>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</si>
  <si>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</si>
  <si>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</si>
  <si>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</si>
  <si>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</si>
  <si>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</si>
  <si>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</si>
  <si>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</si>
  <si>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</si>
  <si>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</si>
  <si>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</si>
  <si>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</si>
  <si>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</si>
  <si>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</si>
  <si>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</si>
  <si>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</si>
  <si>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</si>
  <si>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</si>
  <si>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</si>
  <si>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</si>
  <si>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</si>
  <si>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</si>
  <si>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</si>
  <si>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</si>
  <si>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</si>
  <si>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</si>
  <si>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</si>
  <si>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</si>
  <si>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</si>
  <si>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</si>
  <si>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</si>
  <si>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</si>
  <si>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</si>
  <si>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</si>
  <si>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</si>
  <si>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</si>
  <si>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</si>
  <si>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</si>
  <si>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</si>
  <si>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</si>
  <si>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</si>
  <si>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</si>
  <si>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</si>
  <si>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</si>
  <si>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</si>
  <si>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</si>
  <si>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</si>
  <si>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</si>
  <si>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</si>
  <si>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</si>
  <si>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</si>
  <si>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</si>
  <si>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</si>
  <si>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</si>
  <si>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</si>
  <si>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</si>
  <si>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</si>
  <si>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</si>
  <si>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</si>
  <si>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</si>
  <si>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</si>
  <si>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</si>
  <si>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</si>
  <si>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</si>
  <si>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</si>
  <si>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</si>
  <si>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</si>
  <si>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</si>
  <si>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</si>
  <si>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</si>
  <si>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</si>
  <si>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</si>
  <si>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</si>
  <si>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</si>
  <si>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</si>
  <si>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</si>
  <si>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</si>
  <si>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</si>
  <si>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</si>
  <si>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</si>
  <si>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</si>
  <si>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</si>
  <si>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</si>
  <si>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</si>
  <si>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</si>
  <si>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</si>
  <si>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</si>
  <si>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</si>
  <si>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</si>
  <si>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</si>
  <si>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</si>
  <si>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</si>
  <si>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</si>
  <si>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</si>
  <si>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</si>
  <si>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</si>
  <si>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</si>
  <si>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</si>
  <si>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</si>
  <si>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</si>
  <si>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</si>
  <si>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</si>
  <si>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</si>
  <si>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</si>
  <si>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</si>
  <si>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</si>
  <si>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</si>
  <si>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</si>
  <si>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</si>
  <si>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</si>
  <si>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</si>
  <si>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</si>
  <si>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</si>
  <si>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</si>
  <si>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</si>
  <si>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</si>
  <si>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</si>
  <si>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</si>
  <si>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</si>
  <si>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</si>
  <si>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</si>
  <si>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</si>
  <si>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</si>
  <si>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</si>
  <si>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</si>
  <si>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</si>
  <si>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</si>
  <si>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</si>
  <si>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</si>
  <si>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</si>
  <si>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</si>
  <si>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</si>
  <si>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</si>
  <si>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</si>
  <si>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</si>
  <si>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</si>
  <si>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</si>
  <si>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</si>
  <si>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</si>
  <si>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</si>
  <si>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</si>
  <si>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</si>
  <si>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</si>
  <si>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</si>
  <si>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</si>
  <si>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</si>
  <si>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</si>
  <si>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</si>
  <si>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</si>
  <si>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</si>
  <si>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</si>
  <si>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</si>
  <si>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</si>
  <si>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</si>
  <si>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</si>
  <si>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</si>
  <si>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</si>
  <si>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</si>
  <si>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</si>
  <si>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</si>
  <si>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</si>
  <si>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</si>
  <si>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</si>
  <si>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</si>
  <si>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</si>
  <si>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</si>
  <si>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</si>
  <si>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</si>
  <si>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</si>
  <si>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</si>
  <si>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</si>
  <si>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</si>
  <si>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</si>
  <si>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</si>
  <si>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</si>
  <si>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</si>
  <si>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</si>
  <si>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</si>
  <si>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</si>
  <si>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</si>
  <si>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</si>
  <si>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</si>
  <si>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</si>
  <si>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</si>
  <si>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</si>
  <si>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</si>
  <si>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</si>
  <si>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</si>
  <si>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</si>
  <si>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</si>
  <si>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</si>
  <si>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</si>
  <si>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</si>
  <si>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</si>
  <si>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</si>
  <si>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</si>
  <si>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</si>
  <si>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</si>
  <si>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</si>
  <si>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</si>
  <si>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</si>
  <si>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</si>
  <si>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</si>
  <si>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</si>
  <si>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</si>
  <si>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</si>
  <si>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</si>
  <si>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</si>
  <si>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</si>
  <si>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</si>
  <si>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</si>
  <si>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</si>
  <si>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</si>
  <si>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</si>
  <si>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</si>
  <si>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</si>
  <si>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</si>
  <si>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</si>
  <si>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</si>
  <si>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</si>
  <si>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</si>
  <si>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</si>
  <si>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</si>
  <si>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</si>
  <si>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</si>
  <si>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</si>
  <si>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</si>
  <si>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</si>
  <si>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</si>
  <si>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</si>
  <si>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</si>
  <si>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</si>
  <si>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</si>
  <si>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</si>
  <si>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</si>
  <si>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</si>
  <si>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</si>
  <si>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</si>
  <si>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</si>
  <si>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</si>
  <si>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</si>
  <si>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</si>
  <si>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</si>
  <si>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</si>
  <si>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</si>
  <si>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</si>
  <si>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</si>
  <si>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</si>
  <si>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</si>
  <si>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</si>
  <si>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</si>
  <si>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</si>
  <si>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</si>
  <si>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</si>
  <si>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</si>
  <si>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</si>
  <si>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</si>
  <si>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</si>
  <si>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</si>
  <si>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</si>
  <si>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</si>
  <si>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</si>
  <si>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</si>
  <si>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</si>
  <si>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</si>
  <si>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</si>
  <si>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</si>
  <si>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</si>
  <si>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</si>
  <si>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</si>
  <si>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</si>
  <si>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</si>
  <si>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</si>
  <si>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</si>
  <si>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</si>
  <si>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</si>
  <si>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</si>
  <si>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</si>
  <si>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</si>
  <si>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</si>
  <si>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</si>
  <si>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</si>
  <si>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</si>
  <si>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</si>
  <si>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</si>
  <si>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</si>
  <si>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</si>
  <si>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</si>
  <si>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</si>
  <si>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</si>
  <si>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</si>
  <si>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</si>
  <si>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</si>
  <si>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</si>
  <si>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</si>
  <si>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</si>
  <si>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</si>
  <si>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</si>
  <si>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</si>
  <si>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</si>
  <si>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</si>
  <si>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</si>
  <si>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</si>
  <si>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</si>
  <si>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</si>
  <si>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</si>
  <si>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</si>
  <si>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</si>
  <si>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</si>
  <si>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</si>
  <si>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</si>
  <si>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</si>
  <si>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</si>
  <si>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</si>
  <si>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</si>
  <si>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</si>
  <si>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</si>
  <si>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</si>
  <si>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</si>
  <si>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</si>
  <si>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</si>
  <si>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</si>
  <si>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</si>
  <si>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</si>
  <si>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</si>
  <si>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</si>
  <si>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</si>
  <si>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</si>
  <si>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</si>
  <si>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</si>
  <si>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</si>
  <si>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</si>
  <si>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</si>
  <si>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</si>
  <si>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</si>
  <si>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</si>
  <si>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</si>
  <si>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</si>
  <si>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</si>
  <si>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</si>
  <si>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</si>
  <si>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</si>
  <si>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</si>
  <si>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</si>
  <si>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</si>
  <si>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</si>
  <si>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</si>
  <si>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</si>
  <si>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</si>
  <si>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</si>
  <si>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</si>
  <si>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</si>
  <si>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</si>
  <si>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</si>
  <si>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</si>
  <si>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</si>
  <si>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</si>
  <si>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</si>
  <si>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</si>
  <si>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</si>
  <si>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</si>
  <si>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</si>
  <si>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</si>
  <si>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</si>
  <si>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</si>
  <si>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</si>
  <si>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</si>
  <si>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</si>
  <si>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</si>
  <si>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</si>
  <si>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</si>
  <si>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</si>
  <si>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</si>
  <si>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</si>
  <si>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</si>
  <si>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</si>
  <si>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</si>
  <si>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</si>
  <si>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</si>
  <si>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</si>
  <si>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</si>
  <si>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</si>
  <si>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</si>
  <si>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</si>
  <si>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</si>
  <si>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</si>
  <si>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</si>
  <si>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</si>
  <si>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</si>
  <si>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</si>
  <si>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</si>
  <si>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</si>
  <si>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</si>
  <si>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</si>
  <si>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</si>
  <si>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</si>
  <si>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</si>
  <si>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</si>
  <si>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</si>
  <si>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</si>
  <si>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</si>
  <si>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</si>
  <si>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</si>
  <si>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</si>
  <si>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</si>
  <si>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</si>
  <si>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</si>
  <si>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</si>
  <si>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</si>
  <si>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</si>
  <si>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</si>
  <si>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</si>
  <si>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</si>
  <si>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</si>
  <si>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</si>
  <si>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</si>
  <si>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</si>
  <si>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</si>
  <si>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</si>
  <si>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</si>
  <si>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</si>
  <si>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</si>
  <si>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</si>
  <si>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</si>
  <si>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</si>
  <si>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</si>
  <si>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</si>
  <si>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</si>
  <si>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</si>
  <si>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</si>
  <si>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</si>
  <si>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</si>
  <si>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</si>
  <si>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</si>
  <si>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</si>
  <si>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</si>
  <si>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</si>
  <si>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</si>
  <si>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</si>
  <si>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</si>
  <si>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</si>
  <si>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</si>
  <si>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</si>
  <si>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</si>
  <si>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</si>
  <si>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</si>
  <si>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</si>
  <si>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</si>
  <si>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</si>
  <si>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</si>
  <si>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</si>
  <si>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</si>
  <si>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</si>
  <si>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</si>
  <si>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</si>
  <si>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</si>
  <si>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</si>
  <si>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</si>
  <si>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</si>
  <si>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</si>
  <si>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</si>
  <si>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</si>
  <si>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</si>
  <si>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</si>
  <si>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</si>
  <si>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</si>
  <si>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</si>
  <si>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</si>
  <si>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</si>
  <si>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</si>
  <si>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</si>
  <si>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</si>
  <si>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</si>
  <si>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</si>
  <si>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</si>
  <si>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</si>
  <si>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</si>
  <si>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</si>
  <si>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</si>
  <si>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</si>
  <si>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</si>
  <si>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</si>
  <si>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</si>
  <si>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</si>
  <si>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</si>
  <si>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</si>
  <si>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</si>
  <si>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</si>
  <si>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</si>
  <si>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</si>
  <si>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</si>
  <si>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</si>
  <si>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</si>
  <si>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</si>
  <si>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</si>
  <si>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</si>
  <si>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</si>
  <si>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</si>
  <si>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</si>
  <si>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</si>
  <si>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</si>
  <si>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</si>
  <si>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</si>
  <si>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</si>
  <si>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</si>
  <si>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</si>
  <si>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</si>
  <si>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</si>
  <si>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</si>
  <si>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</si>
  <si>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</si>
  <si>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</si>
  <si>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</si>
  <si>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</si>
  <si>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</si>
  <si>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</si>
  <si>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</si>
  <si>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</si>
  <si>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</si>
  <si>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</si>
  <si>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</si>
  <si>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</si>
  <si>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</si>
  <si>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</si>
  <si>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</si>
  <si>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</si>
  <si>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</si>
  <si>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</si>
  <si>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</si>
  <si>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</si>
  <si>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</si>
  <si>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</si>
  <si>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</si>
  <si>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</si>
  <si>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</si>
  <si>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</si>
  <si>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</si>
  <si>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</si>
  <si>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</si>
  <si>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</si>
  <si>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</si>
  <si>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</si>
  <si>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</si>
  <si>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</si>
  <si>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</si>
  <si>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</si>
  <si>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</si>
  <si>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</si>
  <si>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</si>
  <si>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</si>
  <si>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</si>
  <si>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</si>
  <si>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</si>
  <si>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</si>
  <si>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</si>
  <si>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</si>
  <si>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</si>
  <si>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</si>
  <si>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</si>
  <si>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</si>
  <si>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</si>
  <si>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</si>
  <si>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</si>
  <si>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</si>
  <si>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</si>
  <si>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</si>
  <si>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</si>
  <si>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</si>
  <si>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</si>
  <si>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</si>
  <si>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</si>
  <si>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</si>
  <si>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</si>
  <si>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</si>
  <si>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</si>
  <si>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</si>
  <si>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</si>
  <si>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</si>
  <si>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</si>
  <si>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</si>
  <si>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</si>
  <si>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</si>
  <si>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</si>
  <si>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</si>
  <si>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</si>
  <si>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</si>
  <si>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</si>
  <si>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</si>
  <si>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</si>
  <si>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</si>
  <si>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</si>
  <si>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</si>
  <si>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</si>
  <si>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</si>
  <si>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</si>
  <si>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</si>
  <si>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</si>
  <si>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</si>
  <si>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</si>
  <si>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</si>
  <si>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</si>
  <si>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</si>
  <si>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</si>
  <si>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</si>
  <si>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</si>
  <si>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</si>
  <si>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</si>
  <si>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</si>
  <si>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</si>
  <si>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</si>
  <si>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</si>
  <si>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</si>
  <si>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</si>
  <si>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</si>
  <si>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</si>
  <si>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</si>
  <si>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</si>
  <si>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</si>
  <si>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</si>
  <si>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</si>
  <si>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</si>
  <si>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</si>
  <si>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</si>
  <si>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</si>
  <si>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</si>
  <si>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</si>
  <si>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</si>
  <si>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</si>
  <si>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</si>
  <si>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</si>
  <si>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</si>
  <si>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</si>
  <si>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</si>
  <si>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</si>
  <si>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</si>
  <si>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</si>
  <si>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</si>
  <si>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</si>
  <si>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</si>
  <si>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</si>
  <si>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</si>
  <si>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</si>
  <si>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</si>
  <si>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</si>
  <si>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</si>
  <si>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</si>
  <si>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</si>
  <si>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</si>
  <si>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</si>
  <si>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</si>
  <si>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</si>
  <si>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</si>
  <si>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</si>
  <si>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</si>
  <si>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</si>
  <si>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</si>
  <si>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</si>
  <si>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</si>
  <si>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</si>
  <si>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</si>
  <si>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</si>
  <si>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</si>
  <si>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</si>
  <si>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</si>
  <si>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</si>
  <si>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</si>
  <si>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</si>
  <si>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</si>
  <si>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</si>
  <si>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</si>
  <si>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</si>
  <si>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</si>
  <si>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</si>
  <si>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</si>
  <si>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</si>
  <si>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</si>
  <si>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</si>
  <si>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</si>
  <si>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</si>
  <si>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</si>
  <si>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</si>
  <si>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</si>
  <si>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</si>
  <si>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</si>
  <si>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</si>
  <si>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</si>
  <si>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</si>
  <si>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</si>
  <si>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</si>
  <si>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</si>
  <si>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</si>
  <si>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</si>
  <si>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</si>
  <si>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</si>
  <si>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</si>
  <si>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</si>
  <si>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</si>
  <si>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</si>
  <si>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</si>
  <si>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</si>
  <si>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</si>
  <si>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</si>
  <si>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</si>
  <si>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</si>
  <si>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</si>
  <si>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</si>
  <si>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</si>
  <si>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</si>
  <si>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</si>
  <si>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</si>
  <si>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</si>
  <si>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</si>
  <si>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</si>
  <si>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</si>
  <si>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</si>
  <si>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</si>
  <si>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</si>
  <si>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</si>
  <si>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</si>
  <si>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</si>
  <si>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</si>
  <si>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</si>
  <si>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</si>
  <si>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</si>
  <si>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</si>
  <si>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</si>
  <si>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</si>
  <si>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</si>
  <si>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</si>
  <si>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</si>
  <si>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</si>
  <si>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</si>
  <si>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</si>
  <si>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</si>
  <si>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</si>
  <si>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</si>
  <si>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</si>
  <si>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</si>
  <si>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</si>
  <si>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</si>
  <si>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</si>
  <si>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</si>
  <si>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</si>
  <si>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</si>
  <si>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</si>
  <si>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</si>
  <si>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</si>
  <si>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</si>
  <si>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</si>
  <si>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</si>
  <si>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</si>
  <si>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</si>
  <si>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</si>
  <si>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</si>
  <si>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</si>
  <si>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</si>
  <si>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</si>
  <si>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</si>
  <si>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</si>
  <si>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</si>
  <si>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</si>
  <si>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</si>
  <si>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</si>
  <si>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</si>
  <si>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</si>
  <si>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</si>
  <si>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</si>
  <si>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</si>
  <si>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</si>
  <si>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</si>
  <si>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</si>
  <si>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</si>
  <si>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</si>
  <si>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</si>
  <si>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</si>
  <si>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</si>
  <si>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</si>
  <si>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</si>
  <si>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</si>
  <si>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</si>
  <si>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</si>
  <si>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</si>
  <si>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</si>
  <si>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</si>
  <si>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</si>
  <si>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</si>
  <si>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</si>
  <si>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</si>
  <si>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</si>
  <si>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</si>
  <si>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</si>
  <si>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</si>
  <si>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</si>
  <si>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</si>
  <si>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</si>
  <si>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</si>
  <si>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</si>
  <si>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</si>
  <si>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</si>
  <si>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</si>
  <si>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</si>
  <si>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</si>
  <si>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</si>
  <si>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</si>
  <si>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</si>
  <si>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</si>
  <si>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</si>
  <si>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</si>
  <si>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</si>
  <si>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</si>
  <si>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</si>
  <si>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</si>
  <si>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</si>
  <si>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</si>
  <si>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</si>
  <si>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</si>
  <si>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</si>
  <si>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</si>
  <si>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</si>
  <si>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</si>
  <si>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</si>
  <si>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</si>
  <si>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</si>
  <si>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</si>
  <si>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</si>
  <si>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</si>
  <si>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</si>
  <si>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</si>
  <si>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</si>
  <si>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</si>
  <si>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</si>
  <si>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</si>
  <si>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</si>
  <si>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</si>
  <si>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</si>
  <si>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</si>
  <si>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</si>
  <si>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</si>
  <si>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</si>
  <si>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</si>
  <si>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</si>
  <si>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</si>
  <si>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</si>
  <si>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</si>
  <si>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</si>
  <si>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</si>
  <si>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</si>
  <si>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</si>
  <si>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</si>
  <si>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</si>
  <si>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</si>
  <si>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</si>
  <si>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</si>
  <si>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</si>
  <si>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</si>
  <si>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</si>
  <si>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</si>
  <si>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</si>
  <si>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</si>
  <si>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</si>
  <si>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</si>
  <si>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</si>
  <si>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</si>
  <si>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</si>
  <si>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</si>
  <si>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</si>
  <si>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</si>
  <si>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</si>
  <si>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</si>
  <si>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</si>
  <si>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</si>
  <si>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</si>
  <si>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</si>
  <si>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</si>
  <si>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</si>
  <si>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</si>
  <si>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</si>
  <si>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</si>
  <si>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</si>
  <si>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</si>
  <si>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</si>
  <si>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</si>
  <si>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</si>
  <si>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</si>
  <si>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</si>
  <si>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</si>
  <si>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</si>
  <si>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</si>
  <si>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</si>
  <si>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</si>
  <si>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</si>
  <si>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</si>
  <si>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</si>
  <si>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</si>
  <si>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</si>
  <si>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</si>
  <si>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</si>
  <si>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</si>
  <si>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</si>
  <si>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</si>
  <si>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</si>
  <si>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</si>
  <si>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</si>
  <si>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</si>
  <si>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</si>
  <si>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</si>
  <si>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</si>
  <si>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</si>
  <si>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</si>
  <si>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</si>
  <si>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</si>
  <si>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</si>
  <si>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</si>
  <si>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</si>
  <si>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</si>
  <si>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</si>
  <si>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</si>
  <si>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</si>
  <si>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</si>
  <si>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</si>
  <si>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</si>
  <si>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</si>
  <si>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</si>
  <si>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</si>
  <si>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</si>
  <si>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</si>
  <si>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</si>
  <si>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</si>
  <si>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</si>
  <si>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</si>
  <si>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</si>
  <si>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</si>
  <si>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</si>
  <si>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</si>
  <si>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</si>
  <si>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</si>
  <si>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</si>
  <si>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</si>
  <si>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</si>
  <si>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</si>
  <si>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</si>
  <si>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</si>
  <si>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</si>
  <si>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</si>
  <si>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</si>
  <si>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</si>
  <si>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</si>
  <si>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</si>
  <si>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</si>
  <si>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</si>
  <si>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</si>
  <si>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</si>
  <si>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</si>
  <si>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</si>
  <si>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</si>
  <si>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</si>
  <si>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</si>
  <si>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</si>
  <si>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</si>
  <si>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</si>
  <si>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</si>
  <si>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</si>
  <si>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</si>
  <si>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</si>
  <si>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</si>
  <si>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</si>
  <si>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</si>
  <si>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</si>
  <si>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</si>
  <si>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</si>
  <si>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</si>
  <si>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</si>
  <si>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</si>
  <si>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</si>
  <si>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</si>
  <si>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</si>
  <si>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</si>
  <si>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</si>
  <si>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</si>
  <si>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</si>
  <si>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</si>
  <si>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</si>
  <si>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</si>
  <si>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</si>
  <si>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</si>
  <si>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</si>
  <si>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</si>
  <si>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</si>
  <si>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</si>
  <si>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</si>
  <si>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</si>
  <si>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</si>
  <si>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</si>
  <si>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</si>
  <si>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</si>
  <si>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</si>
  <si>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</si>
  <si>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</si>
  <si>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</si>
  <si>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</si>
  <si>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</si>
  <si>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</si>
  <si>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</si>
  <si>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</si>
  <si>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</si>
  <si>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</si>
  <si>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</si>
  <si>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</si>
  <si>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</si>
  <si>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</si>
  <si>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</si>
  <si>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</si>
  <si>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</si>
  <si>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</si>
  <si>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</si>
  <si>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</si>
  <si>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</si>
  <si>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</si>
  <si>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</si>
  <si>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</si>
  <si>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</si>
  <si>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</si>
  <si>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</si>
  <si>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</si>
  <si>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</si>
  <si>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</si>
  <si>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</si>
  <si>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</si>
  <si>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</si>
  <si>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</si>
  <si>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</si>
  <si>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</si>
  <si>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</si>
  <si>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</si>
  <si>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</si>
  <si>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</si>
  <si>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</si>
  <si>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</si>
  <si>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</si>
  <si>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</si>
  <si>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</si>
  <si>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</si>
  <si>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</si>
  <si>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</si>
  <si>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</si>
  <si>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</si>
  <si>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</si>
  <si>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</si>
  <si>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</si>
  <si>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</si>
  <si>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</si>
  <si>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</si>
  <si>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</si>
  <si>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</si>
  <si>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</si>
  <si>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</si>
  <si>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</si>
  <si>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</si>
  <si>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</si>
  <si>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</si>
  <si>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</si>
  <si>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</si>
  <si>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</si>
  <si>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</si>
  <si>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</si>
  <si>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</si>
  <si>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</si>
  <si>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</si>
  <si>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</si>
  <si>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</si>
  <si>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</si>
  <si>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</si>
  <si>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</si>
  <si>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</si>
  <si>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</si>
  <si>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</si>
  <si>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</si>
  <si>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</si>
  <si>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</si>
  <si>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</si>
  <si>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</si>
  <si>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</si>
  <si>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</si>
  <si>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</si>
  <si>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</si>
  <si>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</si>
  <si>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</si>
  <si>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</si>
  <si>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</si>
  <si>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</si>
  <si>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</si>
  <si>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</si>
  <si>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</si>
  <si>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</si>
  <si>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</si>
  <si>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</si>
  <si>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</si>
  <si>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</si>
  <si>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</si>
  <si>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</si>
  <si>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</si>
  <si>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</si>
  <si>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</si>
  <si>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</si>
  <si>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</si>
  <si>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</si>
  <si>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</si>
  <si>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</si>
  <si>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</si>
  <si>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</si>
  <si>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</si>
  <si>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</si>
  <si>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</si>
  <si>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</si>
  <si>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</si>
  <si>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</si>
  <si>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</si>
  <si>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</si>
  <si>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</si>
  <si>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</si>
  <si>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</si>
  <si>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</si>
  <si>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</si>
  <si>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</si>
  <si>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</si>
  <si>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</si>
  <si>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</si>
  <si>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</si>
  <si>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</si>
  <si>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</si>
  <si>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</si>
  <si>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</si>
  <si>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</si>
  <si>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</si>
  <si>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</si>
  <si>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</si>
  <si>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</si>
  <si>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</si>
  <si>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</si>
  <si>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</si>
  <si>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</si>
  <si>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</si>
  <si>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</si>
  <si>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</si>
  <si>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</si>
  <si>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</si>
  <si>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</si>
  <si>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</si>
  <si>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</si>
  <si>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</si>
  <si>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</si>
  <si>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</si>
  <si>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</si>
  <si>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</si>
  <si>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</si>
  <si>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</si>
  <si>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</si>
  <si>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</si>
  <si>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</si>
  <si>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</si>
  <si>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</si>
  <si>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</si>
  <si>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</si>
  <si>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</si>
  <si>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</si>
  <si>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</si>
  <si>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</si>
  <si>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</si>
  <si>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</si>
  <si>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</si>
  <si>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</si>
  <si>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</si>
  <si>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</si>
  <si>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</si>
  <si>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</si>
  <si>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</si>
  <si>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</si>
  <si>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</si>
  <si>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</si>
  <si>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</si>
  <si>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</si>
  <si>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</si>
  <si>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</si>
  <si>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</si>
  <si>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</si>
  <si>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</si>
  <si>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</si>
  <si>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</si>
  <si>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</si>
  <si>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</si>
  <si>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</si>
  <si>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</si>
  <si>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</si>
  <si>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</si>
  <si>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</si>
  <si>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</si>
  <si>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</si>
  <si>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</si>
  <si>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</si>
  <si>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</si>
  <si>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</si>
  <si>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</si>
  <si>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</si>
  <si>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</si>
  <si>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</si>
  <si>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</si>
  <si>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</si>
  <si>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</si>
  <si>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</si>
  <si>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</si>
  <si>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</si>
  <si>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</si>
  <si>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</si>
  <si>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</si>
  <si>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</si>
  <si>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</si>
  <si>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</si>
  <si>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</si>
  <si>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</si>
  <si>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</si>
  <si>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</si>
  <si>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</si>
  <si>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</si>
  <si>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</si>
  <si>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</si>
  <si>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</si>
  <si>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</si>
  <si>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</si>
  <si>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</si>
  <si>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</si>
  <si>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</si>
  <si>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</si>
  <si>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</si>
  <si>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</si>
  <si>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</si>
  <si>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</si>
  <si>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</si>
  <si>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</si>
  <si>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</si>
  <si>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</si>
  <si>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</si>
  <si>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</si>
  <si>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</si>
  <si>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</si>
  <si>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</si>
  <si>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</si>
  <si>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</si>
  <si>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</si>
  <si>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</si>
  <si>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</si>
  <si>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</si>
  <si>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</si>
  <si>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</si>
  <si>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</si>
  <si>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</si>
  <si>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</si>
  <si>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</si>
  <si>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</si>
  <si>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</si>
  <si>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</si>
  <si>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</si>
  <si>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</si>
  <si>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</si>
  <si>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</si>
  <si>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</si>
  <si>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</si>
  <si>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</si>
  <si>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</si>
  <si>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</si>
  <si>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</si>
  <si>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</si>
  <si>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</si>
  <si>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</si>
  <si>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</si>
  <si>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</si>
  <si>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</si>
  <si>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</si>
  <si>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</si>
  <si>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</si>
  <si>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</si>
  <si>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</si>
  <si>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</si>
  <si>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</si>
  <si>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</si>
  <si>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</si>
  <si>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</si>
  <si>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</si>
  <si>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</si>
  <si>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</si>
  <si>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</si>
  <si>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</si>
  <si>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</si>
  <si>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</si>
  <si>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</si>
  <si>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</si>
  <si>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</si>
  <si>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</si>
  <si>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</si>
  <si>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</si>
  <si>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</si>
  <si>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</si>
  <si>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</si>
  <si>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</si>
  <si>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</si>
  <si>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</si>
  <si>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</si>
  <si>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</si>
  <si>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</si>
  <si>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</si>
  <si>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</si>
  <si>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</si>
  <si>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</si>
  <si>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</si>
  <si>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</si>
  <si>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</si>
  <si>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</si>
  <si>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</si>
  <si>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</si>
  <si>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</si>
  <si>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</si>
  <si>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</si>
  <si>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</si>
  <si>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</si>
  <si>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</si>
  <si>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</si>
  <si>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</si>
  <si>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</si>
  <si>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</si>
  <si>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</si>
  <si>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</si>
  <si>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</si>
  <si>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</si>
  <si>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</si>
  <si>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</si>
  <si>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</si>
  <si>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</si>
  <si>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</si>
  <si>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</si>
  <si>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</si>
  <si>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</si>
  <si>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</si>
  <si>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</si>
  <si>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</si>
  <si>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</si>
  <si>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</si>
  <si>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</si>
  <si>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</si>
  <si>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</si>
  <si>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</si>
  <si>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</si>
  <si>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</si>
  <si>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</si>
  <si>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</si>
  <si>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</si>
  <si>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</si>
  <si>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</si>
  <si>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</si>
  <si>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</si>
  <si>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</si>
  <si>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</si>
  <si>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</si>
  <si>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</si>
  <si>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</si>
  <si>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</si>
  <si>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</si>
  <si>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</si>
  <si>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</si>
  <si>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</si>
  <si>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</si>
  <si>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</si>
  <si>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</si>
  <si>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</si>
  <si>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</si>
  <si>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</si>
  <si>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</si>
  <si>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</si>
  <si>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</si>
  <si>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</si>
  <si>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</si>
  <si>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</si>
  <si>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</si>
  <si>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</si>
  <si>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</si>
  <si>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</si>
  <si>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</si>
  <si>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</si>
  <si>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</si>
  <si>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</si>
  <si>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</si>
  <si>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</si>
  <si>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</si>
  <si>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</si>
  <si>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</si>
  <si>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</si>
  <si>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</si>
  <si>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</si>
  <si>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</si>
  <si>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</si>
  <si>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</si>
  <si>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</si>
  <si>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</si>
  <si>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</si>
  <si>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</si>
  <si>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</si>
  <si>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</si>
  <si>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</si>
  <si>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</si>
  <si>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</si>
  <si>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</si>
  <si>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</si>
  <si>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</si>
  <si>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</si>
  <si>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</si>
  <si>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</si>
  <si>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</si>
  <si>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</si>
  <si>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</si>
  <si>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</si>
  <si>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</si>
  <si>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</si>
  <si>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</si>
  <si>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</si>
  <si>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</si>
  <si>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</si>
  <si>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</si>
  <si>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</si>
  <si>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</si>
  <si>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</si>
  <si>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</si>
  <si>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</si>
  <si>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</si>
  <si>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</si>
  <si>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</si>
  <si>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</si>
  <si>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</si>
  <si>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</si>
  <si>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</si>
  <si>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</si>
  <si>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</si>
  <si>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</si>
  <si>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</si>
  <si>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</si>
  <si>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</si>
  <si>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</si>
  <si>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</si>
  <si>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</si>
  <si>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</si>
  <si>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</si>
  <si>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</si>
  <si>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</si>
  <si>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</si>
  <si>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</si>
  <si>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</si>
  <si>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</si>
  <si>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</si>
  <si>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</si>
  <si>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</si>
  <si>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</si>
  <si>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</si>
  <si>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</si>
  <si>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</si>
  <si>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</si>
  <si>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</si>
  <si>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</si>
  <si>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</si>
  <si>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</si>
  <si>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</si>
  <si>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</si>
  <si>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</si>
  <si>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</si>
  <si>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</si>
  <si>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</si>
  <si>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</si>
  <si>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</si>
  <si>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</si>
  <si>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</si>
  <si>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</si>
  <si>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</si>
  <si>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</si>
  <si>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</si>
  <si>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</si>
  <si>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</si>
  <si>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</si>
  <si>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</si>
  <si>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</si>
  <si>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</si>
  <si>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</si>
  <si>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</si>
  <si>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</si>
  <si>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</si>
  <si>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</si>
  <si>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</si>
  <si>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</si>
  <si>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</si>
  <si>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</si>
  <si>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</si>
  <si>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</si>
  <si>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</si>
  <si>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</si>
  <si>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</si>
  <si>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</si>
  <si>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</si>
  <si>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</si>
  <si>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</si>
  <si>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</si>
  <si>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</si>
  <si>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</si>
  <si>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</si>
  <si>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</si>
  <si>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</si>
  <si>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</si>
  <si>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</si>
  <si>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</si>
  <si>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</si>
  <si>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</si>
  <si>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</si>
  <si>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</si>
  <si>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</si>
  <si>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</si>
  <si>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</si>
  <si>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</si>
  <si>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</si>
  <si>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</si>
  <si>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</si>
  <si>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</si>
  <si>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</si>
  <si>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</si>
  <si>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</si>
  <si>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</si>
  <si>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</si>
  <si>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</si>
  <si>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</si>
  <si>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</si>
  <si>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</si>
  <si>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</si>
  <si>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</si>
  <si>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</si>
  <si>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</si>
  <si>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</si>
  <si>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</si>
  <si>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</si>
  <si>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</si>
  <si>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</si>
  <si>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</si>
  <si>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</si>
  <si>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</si>
  <si>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</si>
  <si>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</si>
  <si>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</si>
  <si>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</si>
  <si>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</si>
  <si>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</si>
  <si>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</si>
  <si>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</si>
  <si>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</si>
  <si>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</si>
  <si>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</si>
  <si>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</si>
  <si>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</si>
  <si>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</si>
  <si>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</si>
  <si>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</si>
  <si>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</si>
  <si>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</si>
  <si>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</si>
  <si>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</si>
  <si>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</si>
  <si>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</si>
  <si>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</si>
  <si>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</si>
  <si>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</si>
  <si>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</si>
  <si>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</si>
  <si>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</si>
  <si>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</si>
  <si>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</si>
  <si>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</si>
  <si>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</si>
  <si>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</si>
  <si>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</si>
  <si>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</si>
  <si>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</si>
  <si>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</si>
  <si>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</si>
  <si>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</si>
  <si>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</si>
  <si>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</si>
  <si>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</si>
  <si>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</si>
  <si>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</si>
  <si>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</si>
  <si>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</si>
  <si>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</si>
  <si>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</si>
  <si>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</si>
  <si>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</si>
  <si>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</si>
  <si>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</si>
  <si>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</si>
  <si>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</si>
  <si>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</si>
  <si>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</si>
  <si>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</si>
  <si>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</si>
  <si>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</si>
  <si>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</si>
  <si>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</si>
  <si>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</si>
  <si>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</si>
  <si>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</si>
  <si>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</si>
  <si>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</si>
  <si>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</si>
  <si>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</si>
  <si>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</si>
  <si>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</si>
  <si>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</si>
  <si>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</si>
  <si>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</si>
  <si>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</si>
  <si>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</si>
  <si>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</si>
  <si>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</si>
  <si>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</si>
  <si>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</si>
  <si>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</si>
  <si>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</si>
  <si>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</si>
  <si>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</si>
  <si>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</si>
  <si>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</si>
  <si>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</si>
  <si>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</si>
  <si>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</si>
  <si>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</si>
  <si>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</si>
  <si>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</si>
  <si>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</si>
  <si>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</si>
  <si>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</si>
  <si>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</si>
  <si>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</si>
  <si>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</si>
  <si>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</si>
  <si>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</si>
  <si>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</si>
  <si>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</si>
  <si>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</si>
  <si>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</si>
  <si>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</si>
  <si>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</si>
  <si>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</si>
  <si>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</si>
  <si>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</si>
  <si>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</si>
  <si>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</si>
  <si>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</si>
  <si>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</si>
  <si>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</si>
  <si>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</si>
  <si>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</si>
  <si>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</si>
  <si>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</si>
  <si>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</si>
  <si>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</si>
  <si>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</si>
  <si>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</si>
  <si>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</si>
  <si>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</si>
  <si>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</si>
  <si>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</si>
  <si>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</si>
  <si>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</si>
  <si>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</si>
  <si>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</si>
  <si>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</si>
  <si>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</si>
  <si>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</si>
  <si>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</si>
  <si>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</si>
  <si>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</si>
  <si>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</si>
  <si>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</si>
  <si>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</si>
  <si>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</si>
  <si>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</si>
  <si>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</si>
  <si>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</si>
  <si>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</si>
  <si>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</si>
  <si>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</si>
  <si>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</si>
  <si>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</si>
  <si>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</si>
  <si>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</si>
  <si>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</si>
  <si>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</si>
  <si>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</si>
  <si>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</si>
  <si>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</si>
  <si>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</si>
  <si>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</si>
  <si>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</si>
  <si>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</si>
  <si>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</si>
  <si>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</si>
  <si>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</si>
  <si>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</si>
  <si>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</si>
  <si>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</si>
  <si>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</si>
  <si>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</si>
  <si>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</si>
  <si>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</si>
  <si>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</si>
  <si>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</si>
  <si>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</si>
  <si>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</si>
  <si>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</si>
  <si>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</si>
  <si>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</si>
  <si>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</si>
  <si>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</si>
  <si>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</si>
  <si>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</si>
  <si>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</si>
  <si>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</si>
  <si>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</si>
  <si>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</si>
  <si>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</si>
  <si>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</si>
  <si>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</si>
  <si>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</si>
  <si>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</si>
  <si>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</si>
  <si>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</si>
  <si>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</si>
  <si>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</si>
  <si>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</si>
  <si>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</si>
  <si>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</si>
  <si>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</si>
  <si>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</si>
  <si>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</si>
  <si>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</si>
  <si>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</si>
  <si>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</si>
  <si>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</si>
  <si>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</si>
  <si>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</si>
  <si>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</si>
  <si>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</si>
  <si>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</si>
  <si>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</si>
  <si>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</si>
  <si>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</si>
  <si>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</si>
  <si>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</si>
  <si>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</si>
  <si>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</si>
  <si>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</si>
  <si>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</si>
  <si>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</si>
  <si>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</si>
  <si>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</si>
  <si>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</si>
  <si>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</si>
  <si>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</si>
  <si>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</si>
  <si>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</si>
  <si>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</si>
  <si>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</si>
  <si>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</si>
  <si>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</si>
  <si>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</si>
  <si>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</si>
  <si>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</si>
  <si>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</si>
  <si>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</si>
  <si>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</si>
  <si>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</si>
  <si>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</si>
  <si>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</si>
  <si>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</si>
  <si>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</si>
  <si>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</si>
  <si>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</si>
  <si>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</si>
  <si>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</si>
  <si>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</si>
  <si>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</si>
  <si>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</si>
  <si>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</si>
  <si>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</si>
  <si>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</si>
  <si>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</si>
  <si>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</si>
  <si>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</si>
  <si>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</si>
  <si>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</si>
  <si>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</si>
  <si>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</si>
  <si>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</si>
  <si>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</si>
  <si>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</si>
  <si>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</si>
  <si>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</si>
  <si>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</si>
  <si>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</si>
  <si>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</si>
  <si>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</si>
  <si>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</si>
  <si>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</si>
  <si>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</si>
  <si>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</si>
  <si>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</si>
  <si>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</si>
  <si>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</si>
  <si>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</si>
  <si>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</si>
  <si>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</si>
  <si>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</si>
  <si>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</si>
  <si>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</si>
  <si>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</si>
  <si>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</si>
  <si>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</si>
  <si>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</si>
  <si>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</si>
  <si>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</si>
  <si>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</si>
  <si>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</si>
  <si>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</si>
  <si>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</si>
  <si>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</si>
  <si>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</si>
  <si>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</si>
  <si>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</si>
  <si>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</si>
  <si>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</si>
  <si>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</si>
  <si>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</si>
  <si>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</si>
  <si>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</si>
  <si>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</si>
  <si>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</si>
  <si>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</si>
  <si>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</si>
  <si>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</si>
  <si>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</si>
  <si>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</si>
  <si>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</si>
  <si>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</si>
  <si>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</si>
  <si>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</si>
  <si>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</si>
  <si>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</si>
  <si>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</si>
  <si>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</si>
  <si>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</si>
  <si>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</si>
  <si>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</si>
  <si>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</si>
  <si>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</si>
  <si>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</si>
  <si>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</si>
  <si>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</si>
  <si>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</si>
  <si>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</si>
  <si>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</si>
  <si>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</si>
  <si>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</si>
  <si>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</si>
  <si>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</si>
  <si>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</si>
  <si>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</si>
  <si>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</si>
  <si>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</si>
  <si>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</si>
  <si>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</si>
  <si>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</si>
  <si>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</si>
  <si>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</si>
  <si>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</si>
  <si>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</si>
  <si>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</si>
  <si>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</si>
  <si>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</si>
  <si>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</si>
  <si>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</si>
  <si>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</si>
  <si>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</si>
  <si>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</si>
  <si>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</si>
  <si>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</si>
  <si>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</si>
  <si>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</si>
  <si>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</si>
  <si>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</si>
  <si>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</si>
  <si>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</si>
  <si>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</si>
  <si>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</si>
  <si>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</si>
  <si>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</si>
  <si>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</si>
  <si>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</si>
  <si>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</si>
  <si>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</si>
  <si>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</si>
  <si>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</si>
  <si>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</si>
  <si>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</si>
  <si>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</si>
  <si>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</si>
  <si>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</si>
  <si>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</si>
  <si>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</si>
  <si>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</si>
  <si>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</si>
  <si>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</si>
  <si>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</si>
  <si>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</si>
  <si>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</si>
  <si>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</si>
  <si>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</si>
  <si>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</si>
  <si>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</si>
  <si>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</si>
  <si>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</si>
  <si>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</si>
  <si>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</si>
  <si>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</si>
  <si>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</si>
  <si>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</si>
  <si>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</si>
  <si>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</si>
  <si>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</si>
  <si>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</si>
  <si>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</si>
  <si>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</si>
  <si>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</si>
  <si>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</si>
  <si>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</si>
  <si>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</si>
  <si>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</si>
  <si>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</si>
  <si>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</si>
  <si>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</si>
  <si>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</si>
  <si>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</si>
  <si>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</si>
  <si>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</si>
  <si>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</si>
  <si>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</si>
  <si>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</si>
  <si>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</si>
  <si>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</si>
  <si>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</si>
  <si>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</si>
  <si>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</si>
  <si>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</si>
  <si>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</si>
  <si>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</si>
  <si>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</si>
  <si>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</si>
  <si>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</si>
  <si>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</si>
  <si>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</si>
  <si>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</si>
  <si>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</si>
  <si>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</si>
  <si>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</si>
  <si>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</si>
  <si>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</si>
  <si>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</si>
  <si>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</si>
  <si>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</si>
  <si>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</si>
  <si>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</si>
  <si>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</si>
  <si>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</si>
  <si>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</si>
  <si>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</si>
  <si>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</si>
  <si>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</si>
  <si>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</si>
  <si>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</si>
  <si>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</si>
  <si>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</si>
  <si>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</si>
  <si>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</si>
  <si>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</si>
  <si>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</si>
  <si>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</si>
  <si>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</si>
  <si>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</si>
  <si>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</si>
  <si>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</si>
  <si>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</si>
  <si>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</si>
  <si>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</si>
  <si>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</si>
  <si>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</si>
  <si>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</si>
  <si>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</si>
  <si>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</si>
  <si>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</si>
  <si>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</si>
  <si>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</si>
  <si>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</si>
  <si>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</si>
  <si>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</si>
  <si>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</si>
  <si>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</si>
  <si>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</si>
  <si>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</si>
  <si>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</si>
  <si>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</si>
  <si>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</si>
  <si>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</si>
  <si>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</si>
  <si>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</si>
  <si>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</si>
  <si>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</si>
  <si>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</si>
  <si>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</si>
  <si>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</si>
  <si>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</si>
  <si>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</si>
  <si>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</si>
  <si>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</si>
  <si>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</si>
  <si>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</si>
  <si>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</si>
  <si>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</si>
  <si>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</si>
  <si>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</si>
  <si>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</si>
  <si>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</si>
  <si>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</si>
  <si>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</si>
  <si>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</si>
  <si>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</si>
  <si>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</si>
  <si>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</si>
  <si>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</si>
  <si>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</si>
  <si>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</si>
  <si>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</si>
  <si>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</si>
  <si>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</si>
  <si>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</si>
  <si>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</si>
  <si>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</si>
  <si>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</si>
  <si>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</si>
  <si>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</si>
  <si>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</si>
  <si>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</si>
  <si>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</si>
  <si>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</si>
  <si>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</si>
  <si>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</si>
  <si>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</si>
  <si>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</si>
  <si>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</si>
  <si>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</si>
  <si>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</si>
  <si>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</si>
  <si>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</si>
  <si>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</si>
  <si>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</si>
  <si>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</si>
  <si>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</si>
  <si>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</si>
  <si>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</si>
  <si>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</si>
  <si>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</si>
  <si>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</si>
  <si>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</si>
  <si>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</si>
  <si>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</si>
  <si>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</si>
  <si>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</si>
  <si>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</si>
  <si>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</si>
  <si>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</si>
  <si>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</si>
  <si>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</si>
  <si>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</si>
  <si>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</si>
  <si>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</si>
  <si>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</si>
  <si>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</si>
  <si>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</si>
  <si>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</si>
  <si>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</si>
  <si>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</si>
  <si>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</si>
  <si>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</si>
  <si>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</si>
  <si>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</si>
  <si>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</si>
  <si>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</si>
  <si>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</si>
  <si>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</si>
  <si>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</si>
  <si>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</si>
  <si>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</si>
  <si>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</si>
  <si>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</si>
  <si>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</si>
  <si>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</si>
  <si>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</si>
  <si>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</si>
  <si>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</si>
  <si>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</si>
  <si>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</si>
  <si>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</si>
  <si>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</si>
  <si>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</si>
  <si>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</si>
  <si>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</si>
  <si>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</si>
  <si>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</si>
  <si>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</si>
  <si>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</si>
  <si>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</si>
  <si>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</si>
  <si>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</si>
  <si>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</si>
  <si>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</si>
  <si>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</si>
  <si>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</si>
  <si>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</si>
  <si>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</si>
  <si>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</si>
  <si>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</si>
  <si>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</si>
  <si>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</si>
  <si>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</si>
  <si>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</si>
  <si>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</si>
  <si>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</si>
  <si>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</si>
  <si>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</si>
  <si>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</si>
  <si>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</si>
  <si>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</si>
  <si>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</si>
  <si>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</si>
  <si>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</si>
  <si>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</si>
  <si>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</si>
  <si>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</si>
  <si>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</si>
  <si>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</si>
  <si>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</si>
  <si>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</si>
  <si>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</si>
  <si>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</si>
  <si>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</si>
  <si>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</si>
  <si>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</si>
  <si>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</si>
  <si>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</si>
  <si>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</si>
  <si>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</si>
  <si>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</si>
  <si>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</si>
  <si>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</si>
  <si>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</si>
  <si>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</si>
  <si>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</si>
  <si>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</si>
  <si>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</si>
  <si>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</si>
  <si>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</si>
  <si>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</si>
  <si>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</si>
  <si>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</si>
  <si>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</si>
  <si>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</si>
  <si>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</si>
  <si>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</si>
  <si>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</si>
  <si>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</si>
  <si>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</si>
  <si>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</si>
  <si>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</si>
  <si>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</si>
  <si>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</si>
  <si>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</si>
  <si>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</si>
  <si>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</si>
  <si>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</si>
  <si>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</si>
  <si>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</si>
  <si>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</si>
  <si>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</si>
  <si>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</si>
  <si>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</si>
  <si>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</si>
  <si>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</si>
  <si>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</si>
  <si>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</si>
  <si>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</si>
  <si>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</si>
  <si>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</si>
  <si>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</si>
  <si>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</si>
  <si>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</si>
  <si>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</si>
  <si>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</si>
  <si>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</si>
  <si>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</si>
  <si>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</si>
  <si>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</si>
  <si>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</si>
  <si>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</si>
  <si>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</si>
  <si>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</si>
  <si>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</si>
  <si>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</si>
  <si>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</si>
  <si>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</si>
  <si>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</si>
  <si>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</si>
  <si>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</si>
  <si>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</si>
  <si>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</si>
  <si>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</si>
  <si>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</si>
  <si>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</si>
  <si>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</si>
  <si>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</si>
  <si>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</si>
  <si>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</si>
  <si>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</si>
  <si>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</si>
  <si>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</si>
  <si>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</si>
  <si>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</si>
  <si>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</si>
  <si>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</si>
  <si>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</si>
  <si>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</si>
  <si>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</si>
  <si>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</si>
  <si>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</si>
  <si>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</si>
  <si>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</si>
  <si>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</si>
  <si>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</si>
  <si>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</si>
  <si>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</si>
  <si>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</si>
  <si>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</si>
  <si>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</si>
  <si>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</si>
  <si>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</si>
  <si>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</si>
  <si>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</si>
  <si>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</si>
  <si>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</si>
  <si>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</si>
  <si>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</si>
  <si>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</si>
  <si>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</si>
  <si>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</si>
  <si>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</si>
  <si>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</si>
  <si>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</si>
  <si>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</si>
  <si>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</si>
  <si>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</si>
  <si>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</si>
  <si>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</si>
  <si>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</si>
  <si>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</si>
  <si>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</si>
  <si>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</si>
  <si>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</si>
  <si>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</si>
  <si>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</si>
  <si>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</si>
  <si>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</si>
  <si>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</si>
  <si>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</si>
  <si>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</si>
  <si>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</si>
  <si>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</si>
  <si>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</si>
  <si>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</si>
  <si>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</si>
  <si>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</si>
  <si>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</si>
  <si>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</si>
  <si>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</si>
  <si>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</si>
  <si>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</si>
  <si>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</si>
  <si>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</si>
  <si>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</si>
  <si>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</si>
  <si>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</si>
  <si>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</si>
  <si>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</si>
  <si>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</si>
  <si>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</si>
  <si>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</si>
  <si>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</si>
  <si>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</si>
  <si>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</si>
  <si>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</si>
  <si>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</si>
  <si>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</si>
  <si>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</si>
  <si>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</si>
  <si>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</si>
  <si>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</si>
  <si>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</si>
  <si>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</si>
  <si>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</si>
  <si>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</si>
  <si>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</si>
  <si>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</si>
  <si>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</si>
  <si>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</si>
  <si>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</si>
  <si>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</si>
  <si>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</si>
  <si>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</si>
  <si>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</si>
  <si>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</si>
  <si>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</si>
  <si>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</si>
  <si>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</si>
  <si>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</si>
  <si>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</si>
  <si>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</si>
  <si>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</si>
  <si>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</si>
  <si>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</si>
  <si>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</si>
  <si>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</si>
  <si>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</si>
  <si>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</si>
  <si>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</si>
  <si>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</si>
  <si>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</si>
  <si>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</si>
  <si>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</si>
  <si>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</si>
  <si>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</si>
  <si>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</si>
  <si>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</si>
  <si>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</si>
  <si>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</si>
  <si>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</si>
  <si>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</si>
  <si>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</si>
  <si>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</si>
  <si>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</si>
  <si>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</si>
  <si>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</si>
  <si>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</si>
  <si>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</si>
  <si>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</si>
  <si>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</si>
  <si>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</si>
  <si>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</si>
  <si>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</si>
  <si>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</si>
  <si>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</si>
  <si>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</si>
  <si>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</si>
  <si>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</si>
  <si>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</si>
  <si>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</si>
  <si>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</si>
  <si>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</si>
  <si>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</si>
  <si>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</si>
  <si>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</si>
  <si>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</si>
  <si>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</si>
  <si>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</si>
  <si>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</si>
  <si>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</si>
  <si>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</si>
  <si>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</si>
  <si>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</si>
  <si>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</si>
  <si>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</si>
  <si>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</si>
  <si>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</si>
  <si>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</si>
  <si>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</si>
  <si>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</si>
  <si>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</si>
  <si>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</si>
  <si>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</si>
  <si>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</si>
  <si>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</si>
  <si>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</si>
  <si>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</si>
  <si>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</si>
  <si>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</si>
  <si>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</si>
  <si>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</si>
  <si>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</si>
  <si>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</si>
  <si>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</si>
  <si>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</si>
  <si>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</si>
  <si>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</si>
  <si>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</si>
  <si>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</si>
  <si>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</si>
  <si>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</si>
  <si>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</si>
  <si>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</si>
  <si>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</si>
  <si>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</si>
  <si>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</si>
  <si>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</si>
  <si>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</si>
  <si>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</si>
  <si>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</si>
  <si>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</si>
  <si>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</si>
  <si>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</si>
  <si>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</si>
  <si>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</si>
  <si>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</si>
  <si>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</si>
  <si>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</si>
  <si>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</si>
  <si>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</si>
  <si>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</si>
  <si>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</si>
  <si>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</si>
  <si>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</si>
  <si>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</si>
  <si>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</si>
  <si>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</si>
  <si>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</si>
  <si>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</si>
  <si>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</si>
  <si>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</si>
  <si>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</si>
  <si>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</si>
  <si>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</si>
  <si>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</si>
  <si>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</si>
  <si>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</si>
  <si>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</si>
  <si>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</si>
  <si>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</si>
  <si>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</si>
  <si>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</si>
  <si>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</si>
  <si>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</si>
  <si>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</si>
  <si>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</si>
  <si>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</si>
  <si>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</si>
  <si>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</si>
  <si>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</si>
  <si>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</si>
  <si>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</si>
  <si>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</si>
  <si>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</si>
  <si>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</si>
  <si>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</si>
  <si>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</si>
  <si>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</si>
  <si>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</si>
  <si>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</si>
  <si>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</si>
  <si>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</si>
  <si>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</si>
  <si>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</si>
  <si>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</si>
  <si>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</si>
  <si>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</si>
  <si>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</si>
  <si>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</si>
  <si>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</si>
  <si>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</si>
  <si>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</si>
  <si>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</si>
  <si>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</si>
  <si>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</si>
  <si>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</si>
  <si>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</si>
  <si>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</si>
  <si>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</si>
  <si>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</si>
  <si>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</si>
  <si>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</si>
  <si>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</si>
  <si>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</si>
  <si>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</si>
  <si>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</si>
  <si>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</si>
  <si>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</si>
  <si>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</si>
  <si>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</si>
  <si>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</si>
  <si>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</si>
  <si>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</si>
  <si>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</si>
  <si>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</si>
  <si>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</si>
  <si>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</si>
  <si>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</si>
  <si>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</si>
  <si>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</si>
  <si>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</si>
  <si>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</si>
  <si>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</si>
  <si>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</si>
  <si>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</si>
  <si>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</si>
  <si>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</si>
  <si>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</si>
  <si>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</si>
  <si>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</si>
  <si>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</si>
  <si>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</si>
  <si>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</si>
  <si>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</si>
  <si>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</si>
  <si>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</si>
  <si>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</si>
  <si>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</si>
  <si>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</si>
  <si>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</si>
  <si>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</si>
  <si>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</si>
  <si>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</si>
  <si>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</si>
  <si>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</si>
  <si>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</si>
  <si>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</si>
  <si>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</si>
  <si>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</si>
  <si>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</si>
  <si>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</si>
  <si>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</si>
  <si>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</si>
  <si>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</si>
  <si>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</si>
  <si>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</si>
  <si>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</si>
  <si>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</si>
  <si>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</si>
  <si>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</si>
  <si>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</si>
  <si>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</si>
  <si>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</si>
  <si>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</si>
  <si>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</si>
  <si>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</si>
  <si>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</si>
  <si>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</si>
  <si>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</si>
  <si>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</si>
  <si>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</si>
  <si>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</si>
  <si>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</si>
  <si>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</si>
  <si>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</si>
  <si>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</si>
  <si>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</si>
  <si>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</si>
  <si>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</si>
  <si>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</si>
  <si>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</si>
  <si>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</si>
  <si>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</si>
  <si>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</si>
  <si>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</si>
  <si>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</si>
  <si>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</si>
  <si>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</si>
  <si>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</si>
  <si>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</si>
  <si>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</si>
  <si>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</si>
  <si>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</si>
  <si>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</si>
  <si>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</si>
  <si>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</si>
  <si>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</si>
  <si>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</si>
  <si>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</si>
  <si>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</si>
  <si>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</si>
  <si>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</si>
  <si>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</si>
  <si>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</si>
  <si>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</si>
  <si>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</si>
  <si>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</si>
  <si>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</si>
  <si>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</si>
  <si>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</si>
  <si>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</si>
  <si>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</si>
  <si>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</si>
  <si>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</si>
  <si>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</si>
  <si>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</si>
  <si>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</si>
  <si>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</si>
  <si>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</si>
  <si>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</si>
  <si>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</si>
  <si>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</si>
  <si>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</si>
  <si>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</si>
  <si>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</si>
  <si>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</si>
  <si>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</si>
  <si>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</si>
  <si>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</si>
  <si>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</si>
  <si>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</si>
  <si>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</si>
  <si>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</si>
  <si>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</si>
  <si>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</si>
  <si>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</si>
  <si>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</si>
  <si>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</si>
  <si>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</si>
  <si>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</si>
  <si>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</si>
  <si>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</si>
  <si>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</si>
  <si>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</si>
  <si>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</si>
  <si>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</si>
  <si>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</si>
  <si>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</si>
  <si>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</si>
  <si>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</si>
  <si>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</si>
  <si>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</si>
  <si>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</si>
  <si>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</si>
  <si>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</si>
  <si>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</si>
  <si>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</si>
  <si>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</si>
  <si>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</si>
  <si>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</si>
  <si>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</si>
  <si>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</si>
  <si>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</si>
  <si>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</si>
  <si>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</si>
  <si>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</si>
  <si>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</si>
  <si>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</si>
  <si>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</si>
  <si>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</si>
  <si>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</si>
  <si>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</si>
  <si>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</si>
  <si>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</si>
  <si>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</si>
  <si>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</si>
  <si>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</si>
  <si>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</si>
  <si>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</si>
  <si>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</si>
  <si>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</si>
  <si>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</si>
  <si>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</si>
  <si>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</si>
  <si>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</si>
  <si>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</si>
  <si>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</si>
  <si>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</si>
  <si>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</si>
  <si>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</si>
  <si>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</si>
  <si>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</si>
  <si>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</si>
  <si>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</si>
  <si>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</si>
  <si>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</si>
  <si>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</si>
  <si>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</si>
  <si>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</si>
  <si>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</si>
  <si>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</si>
  <si>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</si>
  <si>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</si>
  <si>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</si>
  <si>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</si>
  <si>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</si>
  <si>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</si>
  <si>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</si>
  <si>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</si>
  <si>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</si>
  <si>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</si>
  <si>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</si>
  <si>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</si>
  <si>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</si>
  <si>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</si>
  <si>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</si>
  <si>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</si>
  <si>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</si>
  <si>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</si>
  <si>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</si>
  <si>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</si>
  <si>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</si>
  <si>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</si>
  <si>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</si>
  <si>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</si>
  <si>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</si>
  <si>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</si>
  <si>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</si>
  <si>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</si>
  <si>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</si>
  <si>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</si>
  <si>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</si>
  <si>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</si>
  <si>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</si>
  <si>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</si>
  <si>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</si>
  <si>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</si>
  <si>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</si>
  <si>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</si>
  <si>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</si>
  <si>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</si>
  <si>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</si>
  <si>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</si>
  <si>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</si>
  <si>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</si>
  <si>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</si>
  <si>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</si>
  <si>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</si>
  <si>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</si>
  <si>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</si>
  <si>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</si>
  <si>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</si>
  <si>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</si>
  <si>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</si>
  <si>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</si>
  <si>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</si>
  <si>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</si>
  <si>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</si>
  <si>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</si>
  <si>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</si>
  <si>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</si>
  <si>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</si>
  <si>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</si>
  <si>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</si>
  <si>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</si>
  <si>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</si>
  <si>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</si>
  <si>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</si>
  <si>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</si>
  <si>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</si>
  <si>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</si>
  <si>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</si>
  <si>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</si>
  <si>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</si>
  <si>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</si>
  <si>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</si>
  <si>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</si>
  <si>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</si>
  <si>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</si>
  <si>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</si>
  <si>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</si>
  <si>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</si>
  <si>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</si>
  <si>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</si>
  <si>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</si>
  <si>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</si>
  <si>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</si>
  <si>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</si>
  <si>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</si>
  <si>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</si>
  <si>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</si>
  <si>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</si>
  <si>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</si>
  <si>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</si>
  <si>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</si>
  <si>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</si>
  <si>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</si>
  <si>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</si>
  <si>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</si>
  <si>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</si>
  <si>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</si>
  <si>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</si>
  <si>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</si>
  <si>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</si>
  <si>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</si>
  <si>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</si>
  <si>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</si>
  <si>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</si>
  <si>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</si>
  <si>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</si>
  <si>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</si>
  <si>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</si>
  <si>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</si>
  <si>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</si>
  <si>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</si>
  <si>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</si>
  <si>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</si>
  <si>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</si>
  <si>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</si>
  <si>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</si>
  <si>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</si>
  <si>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</si>
  <si>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</si>
  <si>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</si>
  <si>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</si>
  <si>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</si>
  <si>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</si>
  <si>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</si>
  <si>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</si>
  <si>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</si>
  <si>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</si>
  <si>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</si>
  <si>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</si>
  <si>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</si>
  <si>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</si>
  <si>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</si>
  <si>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</si>
  <si>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</si>
  <si>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</si>
  <si>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</si>
  <si>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</si>
  <si>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</si>
  <si>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</si>
  <si>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</si>
  <si>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</si>
  <si>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</si>
  <si>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</si>
  <si>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</si>
  <si>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</si>
  <si>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</si>
  <si>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</si>
  <si>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</si>
  <si>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</si>
  <si>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</si>
  <si>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</si>
  <si>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</si>
  <si>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</si>
  <si>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</si>
  <si>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</si>
  <si>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</si>
  <si>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</si>
  <si>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</si>
  <si>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</si>
  <si>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</si>
  <si>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</si>
  <si>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</si>
  <si>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</si>
  <si>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</si>
  <si>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</si>
  <si>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</si>
  <si>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</si>
  <si>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</si>
  <si>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</si>
  <si>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</si>
  <si>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</si>
  <si>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</si>
  <si>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</si>
  <si>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</si>
  <si>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</si>
  <si>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</si>
  <si>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</si>
  <si>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</si>
  <si>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</si>
  <si>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</si>
  <si>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</si>
  <si>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</si>
  <si>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</si>
  <si>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</si>
  <si>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</si>
  <si>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</si>
  <si>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</si>
  <si>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</si>
  <si>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</si>
  <si>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</si>
  <si>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</si>
  <si>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</si>
  <si>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</si>
  <si>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</si>
  <si>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</si>
  <si>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</si>
  <si>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</si>
  <si>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</si>
  <si>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</si>
  <si>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</si>
  <si>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</si>
  <si>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</si>
  <si>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</si>
  <si>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</si>
  <si>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</si>
  <si>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</si>
  <si>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</si>
  <si>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</si>
  <si>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</si>
  <si>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</si>
  <si>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</si>
  <si>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</si>
  <si>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</si>
  <si>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</si>
  <si>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</si>
  <si>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</si>
  <si>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</si>
  <si>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</si>
  <si>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</si>
  <si>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</si>
  <si>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</si>
  <si>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</si>
  <si>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</si>
  <si>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</si>
  <si>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</si>
  <si>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</si>
  <si>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</si>
  <si>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</si>
  <si>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</si>
  <si>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</si>
  <si>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</si>
  <si>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</si>
  <si>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</si>
  <si>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</si>
  <si>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</si>
  <si>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</si>
  <si>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</si>
  <si>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</si>
  <si>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</si>
  <si>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</si>
  <si>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</si>
  <si>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</si>
  <si>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</si>
  <si>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</si>
  <si>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</si>
  <si>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</si>
  <si>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</si>
  <si>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</si>
  <si>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</si>
  <si>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</si>
  <si>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</si>
  <si>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</si>
  <si>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</si>
  <si>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</si>
  <si>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</si>
  <si>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</si>
  <si>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</si>
  <si>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</si>
  <si>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</si>
  <si>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</si>
  <si>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</si>
  <si>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</si>
  <si>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</si>
  <si>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</si>
  <si>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</si>
  <si>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</si>
  <si>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</si>
  <si>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</si>
  <si>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</si>
  <si>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</si>
  <si>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</si>
  <si>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</si>
  <si>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</si>
  <si>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</si>
  <si>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</si>
  <si>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</si>
  <si>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</si>
  <si>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</si>
  <si>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</si>
  <si>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</si>
  <si>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</si>
  <si>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</si>
  <si>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</si>
  <si>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</si>
  <si>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</si>
  <si>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</si>
  <si>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</si>
  <si>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</si>
  <si>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</si>
  <si>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</si>
  <si>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</si>
  <si>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</si>
  <si>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</si>
  <si>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</si>
  <si>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</si>
  <si>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</si>
  <si>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</si>
  <si>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</si>
  <si>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</si>
  <si>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</si>
  <si>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</si>
  <si>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</si>
  <si>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</si>
  <si>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</si>
  <si>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</si>
  <si>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</si>
  <si>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</si>
  <si>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</si>
  <si>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</si>
  <si>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</si>
  <si>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</si>
  <si>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</si>
  <si>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</si>
  <si>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</si>
  <si>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</si>
  <si>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</si>
  <si>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</si>
  <si>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</si>
  <si>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</si>
  <si>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</si>
  <si>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</si>
  <si>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</si>
  <si>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</si>
  <si>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</si>
  <si>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</si>
  <si>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</si>
  <si>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</si>
  <si>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</si>
  <si>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</si>
  <si>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</si>
  <si>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</si>
  <si>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</si>
  <si>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</si>
  <si>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</si>
  <si>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</si>
  <si>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</si>
  <si>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</si>
  <si>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</si>
  <si>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</si>
  <si>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</si>
  <si>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</si>
  <si>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</si>
  <si>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</si>
  <si>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</si>
  <si>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</si>
  <si>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</si>
  <si>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</si>
  <si>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</si>
  <si>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</si>
  <si>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</si>
  <si>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</si>
  <si>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</si>
  <si>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</si>
  <si>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</si>
  <si>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</si>
  <si>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</si>
  <si>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</si>
  <si>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</si>
  <si>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</si>
  <si>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</si>
  <si>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</si>
  <si>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</si>
  <si>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</si>
  <si>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</si>
  <si>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</si>
  <si>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</si>
  <si>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</si>
  <si>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</si>
  <si>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</si>
  <si>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</si>
  <si>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</si>
  <si>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</si>
  <si>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</si>
  <si>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</si>
  <si>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</si>
  <si>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</si>
  <si>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</si>
  <si>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</si>
  <si>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</si>
  <si>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</si>
  <si>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</si>
  <si>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</si>
  <si>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</si>
  <si>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</si>
  <si>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</si>
  <si>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</si>
  <si>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</si>
  <si>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</si>
  <si>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</si>
  <si>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</si>
  <si>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</si>
  <si>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</si>
  <si>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</si>
  <si>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</si>
  <si>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</si>
  <si>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</si>
  <si>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</si>
  <si>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</si>
  <si>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</si>
  <si>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</si>
  <si>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</si>
  <si>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</si>
  <si>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</si>
  <si>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</si>
  <si>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</si>
  <si>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</si>
  <si>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</si>
  <si>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</si>
  <si>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</si>
  <si>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</si>
  <si>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</si>
  <si>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</si>
  <si>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</si>
  <si>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</si>
  <si>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</si>
  <si>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</si>
  <si>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</si>
  <si>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</si>
  <si>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</si>
  <si>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</si>
  <si>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</si>
  <si>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</si>
  <si>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</si>
  <si>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</si>
  <si>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</si>
  <si>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</si>
  <si>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</si>
  <si>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</si>
  <si>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</si>
  <si>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</si>
  <si>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</si>
  <si>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</si>
  <si>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</si>
  <si>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</si>
  <si>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</si>
  <si>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</si>
  <si>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</si>
  <si>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</si>
  <si>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</si>
  <si>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</si>
  <si>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</si>
  <si>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</si>
  <si>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</si>
  <si>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</si>
  <si>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</si>
  <si>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</si>
  <si>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</si>
  <si>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</si>
  <si>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</si>
  <si>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</si>
  <si>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</si>
  <si>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</si>
  <si>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</si>
  <si>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</si>
  <si>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</si>
  <si>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</si>
  <si>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</si>
  <si>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</si>
  <si>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</si>
  <si>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</si>
  <si>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</si>
  <si>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</si>
  <si>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</si>
  <si>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</si>
  <si>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</si>
  <si>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</si>
  <si>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</si>
  <si>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</si>
  <si>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</si>
  <si>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</si>
  <si>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</si>
  <si>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</si>
  <si>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</si>
  <si>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</si>
  <si>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</si>
  <si>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</si>
  <si>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</si>
  <si>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</si>
  <si>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</si>
  <si>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</si>
  <si>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</si>
  <si>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</si>
  <si>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</si>
  <si>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</si>
  <si>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</si>
  <si>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</si>
  <si>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</si>
  <si>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</si>
  <si>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</si>
  <si>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</si>
  <si>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</si>
  <si>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</si>
  <si>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</si>
  <si>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</si>
  <si>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</si>
  <si>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</si>
  <si>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</si>
  <si>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</si>
  <si>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</si>
  <si>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</si>
  <si>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</si>
  <si>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</si>
  <si>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</si>
  <si>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</si>
  <si>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</si>
  <si>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</si>
  <si>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</si>
  <si>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</si>
  <si>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</si>
  <si>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</si>
  <si>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</si>
  <si>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</si>
  <si>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</si>
  <si>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</si>
  <si>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</si>
  <si>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</si>
  <si>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</si>
  <si>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</si>
  <si>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</si>
  <si>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</si>
  <si>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</si>
  <si>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</si>
  <si>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</si>
  <si>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</si>
  <si>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</si>
  <si>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</si>
  <si>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</si>
  <si>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</si>
  <si>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</si>
  <si>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</si>
  <si>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</si>
  <si>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</si>
  <si>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</si>
  <si>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</si>
  <si>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</si>
  <si>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</si>
  <si>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</si>
  <si>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</si>
  <si>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</si>
  <si>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</si>
  <si>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</si>
  <si>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</si>
  <si>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</si>
  <si>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</si>
  <si>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</si>
  <si>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</si>
  <si>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</si>
  <si>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</si>
  <si>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</si>
  <si>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</si>
  <si>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</si>
  <si>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</si>
  <si>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</si>
  <si>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</si>
  <si>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</si>
  <si>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</si>
  <si>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</si>
  <si>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</si>
  <si>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</si>
  <si>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</si>
  <si>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</si>
  <si>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</si>
  <si>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</si>
  <si>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</si>
  <si>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</si>
  <si>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</si>
  <si>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</si>
  <si>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</si>
  <si>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</si>
  <si>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</si>
  <si>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</si>
  <si>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</si>
  <si>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</si>
  <si>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</si>
  <si>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</si>
  <si>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</si>
  <si>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</si>
  <si>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</si>
  <si>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</si>
  <si>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</si>
  <si>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</si>
  <si>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</si>
  <si>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</si>
  <si>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</si>
  <si>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</si>
  <si>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</si>
  <si>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</si>
  <si>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</si>
  <si>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</si>
  <si>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</si>
  <si>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</si>
  <si>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</si>
  <si>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</si>
  <si>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</si>
  <si>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</si>
  <si>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</si>
  <si>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</si>
  <si>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</si>
  <si>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</si>
  <si>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序号</t>
  </si>
  <si>
    <t>坐落</t>
  </si>
  <si>
    <t>房号</t>
  </si>
  <si>
    <t>不动产单元号</t>
  </si>
  <si>
    <t>建筑面积</t>
  </si>
  <si>
    <t>海淀区南辛庄路8号院12号楼1层一单元101</t>
  </si>
  <si>
    <t>12-1-101</t>
  </si>
  <si>
    <t>110108102001GB00541F
00280027</t>
  </si>
  <si>
    <t>海淀区南辛庄路8号院12号楼1层一单元102</t>
  </si>
  <si>
    <t>12-1-102</t>
  </si>
  <si>
    <t>110108102001GB00541F
00280028</t>
  </si>
  <si>
    <t>12-1-201</t>
  </si>
  <si>
    <t>110108102001GB00541F
00280031</t>
  </si>
  <si>
    <t>12-1-202</t>
  </si>
  <si>
    <t>110108102001GB00541F
00280032</t>
  </si>
  <si>
    <t>海淀区南辛庄路8号院12号楼3层一单元302</t>
  </si>
  <si>
    <t>12-1-302</t>
  </si>
  <si>
    <t>110108102001GB00541F
00280036</t>
  </si>
  <si>
    <t>海淀区南辛庄路8号院12号楼4层一单元402</t>
  </si>
  <si>
    <t>12-1-402</t>
  </si>
  <si>
    <t>110108102001GB00541F00280040</t>
  </si>
  <si>
    <t>海淀区南辛庄路8号院12号楼1层二单元101</t>
  </si>
  <si>
    <t>12-2-101</t>
  </si>
  <si>
    <t>110108102001GB00541F
00280025</t>
  </si>
  <si>
    <t>海淀区南辛庄路8号院12号楼1层二单元102</t>
  </si>
  <si>
    <t>12-2-102</t>
  </si>
  <si>
    <t>110108102001GB00541F
00280026</t>
  </si>
  <si>
    <t>12-2-201</t>
  </si>
  <si>
    <t>110108102001GB00541F
00280029</t>
  </si>
  <si>
    <t>海淀区南辛庄路8号院12号楼3层二单元301</t>
  </si>
  <si>
    <t>12-2-301</t>
  </si>
  <si>
    <t>110108102001GB00541F
00280033</t>
  </si>
  <si>
    <t>海淀区南辛庄路8号院12号楼4层二单元401</t>
  </si>
  <si>
    <t>12-2-401</t>
  </si>
  <si>
    <t>110108102001GB00541F00280037</t>
  </si>
  <si>
    <t>海淀区南辛庄路8号院12号楼-1层-102</t>
  </si>
  <si>
    <t>12-102</t>
  </si>
  <si>
    <t>110108102001GB00541F
00280006</t>
  </si>
  <si>
    <t>海淀区南辛庄路8号院12号楼-1层-103</t>
  </si>
  <si>
    <t>12-103</t>
  </si>
  <si>
    <t>110108102001GB00541F00280007</t>
  </si>
  <si>
    <t>海淀区南辛庄路8号院12号楼-1层-104</t>
  </si>
  <si>
    <t>12-104</t>
  </si>
  <si>
    <t>110108102001GB00541F
00280008</t>
  </si>
  <si>
    <t>海淀区南辛庄路8号院12号楼-1层-105</t>
  </si>
  <si>
    <t>12-105</t>
  </si>
  <si>
    <t>110108102001GB00541F
00280009</t>
  </si>
  <si>
    <t>海淀区南辛庄路8号院12号楼-1层-106</t>
  </si>
  <si>
    <t>12-106</t>
  </si>
  <si>
    <t>110108102001GB00541F
00280010</t>
  </si>
  <si>
    <t>海淀区南辛庄路8号院12号楼-1层-107</t>
  </si>
  <si>
    <t>12-107</t>
  </si>
  <si>
    <t>110108102001GB00541F00280011</t>
  </si>
  <si>
    <t>海淀区南辛庄路8号院12号楼-1层-108</t>
  </si>
  <si>
    <t>12-108</t>
  </si>
  <si>
    <t>110108102001GB00541F00280012</t>
  </si>
  <si>
    <t>海淀区南辛庄路8号院12号楼-1层-109</t>
  </si>
  <si>
    <t>12-109</t>
  </si>
  <si>
    <t>110108102001GB00541F00280013</t>
  </si>
  <si>
    <t>海淀区南辛庄路8号院12号楼-1层-110</t>
  </si>
  <si>
    <t>12-110</t>
  </si>
  <si>
    <t>110108102001GB00541F00280014</t>
  </si>
  <si>
    <t>海淀区南辛庄路8号院12号楼-1层-111</t>
  </si>
  <si>
    <t>12-111</t>
  </si>
  <si>
    <t>110108102001GB00541F
00280015</t>
  </si>
  <si>
    <t>海淀区南辛庄路8号院12号楼-1层-112</t>
  </si>
  <si>
    <t>12-112</t>
  </si>
  <si>
    <t>110108102001GB00541F
00280016</t>
  </si>
  <si>
    <t>海淀区南辛庄路8号院12号楼-1层-113</t>
  </si>
  <si>
    <t>12-113</t>
  </si>
  <si>
    <t>110108102001GB00541F
00280017</t>
  </si>
  <si>
    <t>海淀区南辛庄路8号院12号楼-1层-114</t>
  </si>
  <si>
    <t>12-114</t>
  </si>
  <si>
    <t>110108102001GB00541F
00280018</t>
  </si>
  <si>
    <t>海淀区南辛庄路8号院12号楼-1层-115</t>
  </si>
  <si>
    <t>12-115</t>
  </si>
  <si>
    <t>110108102001GB00541F00280019</t>
  </si>
  <si>
    <t>海淀区南辛庄路8号院12号楼-1层-116</t>
  </si>
  <si>
    <t>12-116</t>
  </si>
  <si>
    <t>110108102001GB00541F
00280020</t>
  </si>
  <si>
    <t>海淀区南辛庄路8号院12号楼-1层-117</t>
  </si>
  <si>
    <t>12-117</t>
  </si>
  <si>
    <t>110108102001GB00541F00280021</t>
  </si>
  <si>
    <t>海淀区南辛庄路8号院12号楼-1层-118</t>
  </si>
  <si>
    <t>12-118</t>
  </si>
  <si>
    <t>110108102001GB00541F
00280022</t>
  </si>
  <si>
    <t>海淀区南辛庄路8号院12号楼-2层-201</t>
  </si>
  <si>
    <t>12-201</t>
  </si>
  <si>
    <t>110108102001GB00541F00280001</t>
  </si>
  <si>
    <t>海淀区南辛庄路8号院12号楼-2层-202</t>
  </si>
  <si>
    <t>12-202</t>
  </si>
  <si>
    <t>110108102001GB00541F00280002</t>
  </si>
  <si>
    <t>海淀区南辛庄路8号院12号楼-2层-203</t>
  </si>
  <si>
    <t>12-203</t>
  </si>
  <si>
    <t>110108102001GB00541F
00280003</t>
  </si>
  <si>
    <t>海淀区南辛庄路8号院12号楼-2层-204</t>
  </si>
  <si>
    <t>12-204</t>
  </si>
  <si>
    <t>110108102001GB00541F00280004</t>
  </si>
  <si>
    <t>11-1-302</t>
  </si>
  <si>
    <t>110108102001GB00541F00260020</t>
  </si>
  <si>
    <t>海淀区南辛庄路8号院11号楼-2层-202</t>
  </si>
  <si>
    <t>11-202</t>
  </si>
  <si>
    <t>110108102001GB00541F
00260002</t>
  </si>
  <si>
    <t>海淀区南辛庄路8号院14号楼-1层-106</t>
  </si>
  <si>
    <t>14-106</t>
  </si>
  <si>
    <t>110108102001GB00541F00300008</t>
  </si>
  <si>
    <t>海淀区南辛庄路8号院14号楼-1层-107</t>
  </si>
  <si>
    <t>14-107</t>
  </si>
  <si>
    <t>110108102001GB00541F00300009</t>
  </si>
  <si>
    <t>海淀区南辛庄路8号院14号楼-1层-108</t>
  </si>
  <si>
    <t>14-108</t>
  </si>
  <si>
    <t>110108102001GB00541F00300010</t>
  </si>
  <si>
    <t>海淀区南辛庄路8号院14号楼-1层-109</t>
  </si>
  <si>
    <t>14-109</t>
  </si>
  <si>
    <t>110108102001GB00541F00300011</t>
  </si>
  <si>
    <t>海淀区南辛庄路8号院14号楼-2层-202</t>
  </si>
  <si>
    <t>14-202</t>
  </si>
  <si>
    <t>110108102001GB00541F00300002</t>
  </si>
  <si>
    <t>权属证书编号：京（2025）海不动产权第0049813号</t>
  </si>
  <si>
    <t>海淀区南辛庄路8号院1号楼1层一单元101</t>
  </si>
  <si>
    <t>1-1-101</t>
  </si>
  <si>
    <t>110108102001GB00541F
00240110</t>
  </si>
  <si>
    <t>海淀区南辛庄路8号院1号楼1层一单元102</t>
  </si>
  <si>
    <t>1-1-102</t>
  </si>
  <si>
    <t>110108102001GB00541F
00240111</t>
  </si>
  <si>
    <t>海淀区南辛庄路8号院1号楼3层一单元301</t>
  </si>
  <si>
    <t>1-1-301</t>
  </si>
  <si>
    <t>110108102001GB00541F
00240118</t>
  </si>
  <si>
    <t>海淀区南辛庄路8号院1号楼3层一单元302</t>
  </si>
  <si>
    <t>1-1-302</t>
  </si>
  <si>
    <t>110108102001GB00541F
00240119</t>
  </si>
  <si>
    <t>海淀区南辛庄路8号院1号楼1层二单元101</t>
  </si>
  <si>
    <t>1-2-101</t>
  </si>
  <si>
    <t>110108102001GB00541F
00240108</t>
  </si>
  <si>
    <t>海淀区南辛庄路8号院1号楼1层二单元102</t>
  </si>
  <si>
    <t>1-2-102</t>
  </si>
  <si>
    <t>110108102001GB00541F
00240109</t>
  </si>
  <si>
    <t>海淀区南辛庄路8号院1号楼3层二单元301</t>
  </si>
  <si>
    <t>1-2-301</t>
  </si>
  <si>
    <t>110108102001GB00541F
00240116</t>
  </si>
  <si>
    <t>海淀区南辛庄路8号院1号楼3层二单元302</t>
  </si>
  <si>
    <t>1-2-302</t>
  </si>
  <si>
    <t>110108102001GB00541F
00240117</t>
  </si>
  <si>
    <t>海淀区南辛庄路8号院1号楼-1层-101</t>
  </si>
  <si>
    <t>1-101</t>
  </si>
  <si>
    <t>110108102001GB00541F
00240088</t>
  </si>
  <si>
    <t>海淀区南辛庄路8号院1号楼-1层-102</t>
  </si>
  <si>
    <t>1-102</t>
  </si>
  <si>
    <t>110108102001GB00541F
00240089</t>
  </si>
  <si>
    <t>海淀区南辛庄路8号院1号楼-1层-103</t>
  </si>
  <si>
    <t>1-103</t>
  </si>
  <si>
    <t>110108102001GB00541F
00240090</t>
  </si>
  <si>
    <t>海淀区南辛庄路8号院1号楼-1层-104</t>
  </si>
  <si>
    <t>1-104</t>
  </si>
  <si>
    <t>110108102001GB00541F
00240091</t>
  </si>
  <si>
    <t>海淀区南辛庄路8号院1号楼-1层-105</t>
  </si>
  <si>
    <t>1-105</t>
  </si>
  <si>
    <t>110108102001GB00541F
00240092</t>
  </si>
  <si>
    <t>海淀区南辛庄路8号院1号楼-1层-106</t>
  </si>
  <si>
    <t>1-106</t>
  </si>
  <si>
    <t>110108102001GB00541F
00240093</t>
  </si>
  <si>
    <t>海淀区南辛庄路8号院1号楼-1层-107</t>
  </si>
  <si>
    <t>1-107</t>
  </si>
  <si>
    <t>110108102001GB00541F
00240094</t>
  </si>
  <si>
    <t>海淀区南辛庄路8号院1号楼-1层-108</t>
  </si>
  <si>
    <t>1-108</t>
  </si>
  <si>
    <t>110108102001GB00541F
00240095</t>
  </si>
  <si>
    <t>海淀区南辛庄路8号院1号楼-1层-111</t>
  </si>
  <si>
    <t>1-111</t>
  </si>
  <si>
    <t>110108102001GB00541F
00240098</t>
  </si>
  <si>
    <t>海淀区南辛庄路8号院1号楼-1层-112</t>
  </si>
  <si>
    <t>1-112</t>
  </si>
  <si>
    <t>110108102001GB00541F
00240099</t>
  </si>
  <si>
    <t>海淀区南辛庄路8号院1号楼-1层-113</t>
  </si>
  <si>
    <t>1-113</t>
  </si>
  <si>
    <t>110108102001GB00541F
00240100</t>
  </si>
  <si>
    <t>海淀区南辛庄路8号院1号楼-1层-114</t>
  </si>
  <si>
    <t>1-114</t>
  </si>
  <si>
    <t>110108102001GB00541F
00240101</t>
  </si>
  <si>
    <t>海淀区南辛庄路8号院1号楼-1层-115</t>
  </si>
  <si>
    <t>1-115</t>
  </si>
  <si>
    <t>110108102001GB00541F
00240102</t>
  </si>
  <si>
    <t>海淀区南辛庄路8号院1号楼-1层-116</t>
  </si>
  <si>
    <t>1-116</t>
  </si>
  <si>
    <t>110108102001GB00541F
00240103</t>
  </si>
  <si>
    <t>海淀区南辛庄路8号院1号楼-1层-117</t>
  </si>
  <si>
    <t>1-117</t>
  </si>
  <si>
    <t>110108102001GB00541F
00240104</t>
  </si>
  <si>
    <t>海淀区南辛庄路8号院1号楼-1层-118</t>
  </si>
  <si>
    <t>1-118</t>
  </si>
  <si>
    <t>110108102001GB00541F
00240105</t>
  </si>
  <si>
    <t>海淀区南辛庄路8号院1号楼-1层-119</t>
  </si>
  <si>
    <t>1-119</t>
  </si>
  <si>
    <t>110108102001GB00541F
00240106</t>
  </si>
  <si>
    <t>海淀区南辛庄路8号院1号楼-1层-120</t>
  </si>
  <si>
    <t>1-120</t>
  </si>
  <si>
    <t>110108102001GB00541F
00240107</t>
  </si>
  <si>
    <t>海淀区南辛庄路8号院1号楼-2层-201</t>
  </si>
  <si>
    <t>1-201</t>
  </si>
  <si>
    <t>110108102001GB00541F
00240083</t>
  </si>
  <si>
    <t>海淀区南辛庄路8号院1号楼-2层-202</t>
  </si>
  <si>
    <t>1-202</t>
  </si>
  <si>
    <t>110108102001GB00541F
00240084</t>
  </si>
  <si>
    <t>海淀区南辛庄路8号院1号楼-2层-203</t>
  </si>
  <si>
    <t>1-203</t>
  </si>
  <si>
    <t>110108102001GB00541F
00240085</t>
  </si>
  <si>
    <t>海淀区南辛庄路8号院1号楼-2层-204</t>
  </si>
  <si>
    <t>1-204</t>
  </si>
  <si>
    <t>110108102001GB00541F
00240086</t>
  </si>
  <si>
    <t>海淀区南辛庄路8号院1号楼-2层-205</t>
  </si>
  <si>
    <t>1-205</t>
  </si>
  <si>
    <t>110108102001GB00541F
00240087</t>
  </si>
  <si>
    <t>海淀区南辛庄路8号院2号楼1层一单元102</t>
  </si>
  <si>
    <t>2-1-102</t>
  </si>
  <si>
    <t>110108102001GB00541F
00230102</t>
  </si>
  <si>
    <t>海淀区南辛庄路8号院2号楼3层一单元301</t>
  </si>
  <si>
    <t>2-1-301</t>
  </si>
  <si>
    <t>110108102001GB00541F
00230113</t>
  </si>
  <si>
    <t>海淀区南辛庄路8号院2号楼1层二单元101</t>
  </si>
  <si>
    <t>2-2-101</t>
  </si>
  <si>
    <t>110108102001GB00541F
00230097</t>
  </si>
  <si>
    <t>海淀区南辛庄路8号院2号楼1层二单元102</t>
  </si>
  <si>
    <t>2-2-102</t>
  </si>
  <si>
    <t>110108102001GB00541F
00230098</t>
  </si>
  <si>
    <t>海淀区南辛庄路8号院2号楼3层二单元302</t>
  </si>
  <si>
    <t>2-2-302</t>
  </si>
  <si>
    <t>110108102001GB00541F
00230110</t>
  </si>
  <si>
    <t>海淀区南辛庄路8号院2号楼1层三单元101</t>
  </si>
  <si>
    <t>2-3-101</t>
  </si>
  <si>
    <t>110108102001GB00541F
00230099</t>
  </si>
  <si>
    <t>海淀区南辛庄路8号院2号楼1层三单元102</t>
  </si>
  <si>
    <t>2-3-102</t>
  </si>
  <si>
    <t>110108102001GB00541F
00230100</t>
  </si>
  <si>
    <t>2-3-201</t>
  </si>
  <si>
    <t>110108102001GB00541F
00230105</t>
  </si>
  <si>
    <t>2-3-202</t>
  </si>
  <si>
    <t>110108102001GB00541F
00230106</t>
  </si>
  <si>
    <t>海淀区南辛庄路8号院2号楼3层三单元301</t>
  </si>
  <si>
    <t>2-3-301</t>
  </si>
  <si>
    <t>110108102001GB00541F
00230111</t>
  </si>
  <si>
    <t>海淀区南辛庄路8号院2号楼4层三单元401</t>
  </si>
  <si>
    <t>2-3-401</t>
  </si>
  <si>
    <t>110108102001GB00541F
00230117</t>
  </si>
  <si>
    <t>海淀区南辛庄路8号院2号楼-1层-107</t>
  </si>
  <si>
    <t>2-107</t>
  </si>
  <si>
    <t>110108102001GB00541F
00230073</t>
  </si>
  <si>
    <t>海淀区南辛庄路8号院2号楼-1层-108</t>
  </si>
  <si>
    <t>2-108</t>
  </si>
  <si>
    <t>110108102001GB00541F
00230074</t>
  </si>
  <si>
    <t>海淀区南辛庄路8号院2号楼-1层-109</t>
  </si>
  <si>
    <t>2-109</t>
  </si>
  <si>
    <t>110108102001GB00541F
00230075</t>
  </si>
  <si>
    <t>海淀区南辛庄路8号院2号楼-1层-110</t>
  </si>
  <si>
    <t>2-110</t>
  </si>
  <si>
    <t>110108102001GB00541F
00230076</t>
  </si>
  <si>
    <t>海淀区南辛庄路8号院2号楼-1层-111</t>
  </si>
  <si>
    <t>2-111</t>
  </si>
  <si>
    <t>110108102001GB00541F
00230077</t>
  </si>
  <si>
    <t>海淀区南辛庄路8号院2号楼-1层-112</t>
  </si>
  <si>
    <t>2-112</t>
  </si>
  <si>
    <t>110108102001GB00541F
00230078</t>
  </si>
  <si>
    <t>海淀区南辛庄路8号院2号楼-1层-113</t>
  </si>
  <si>
    <t>2-113</t>
  </si>
  <si>
    <t>110108102001GB00541F
00230079</t>
  </si>
  <si>
    <t>海淀区南辛庄路8号院2号楼-1层-114</t>
  </si>
  <si>
    <t>2-114</t>
  </si>
  <si>
    <t>110108102001GB00541F
00230080</t>
  </si>
  <si>
    <t>海淀区南辛庄路8号院2号楼-1层-115</t>
  </si>
  <si>
    <t>2-115</t>
  </si>
  <si>
    <t>110108102001GB00541F
00230081</t>
  </si>
  <si>
    <t>海淀区南辛庄路8号院2号楼-1层-117</t>
  </si>
  <si>
    <t>2-117</t>
  </si>
  <si>
    <t>110108102001GB00541F
00230083</t>
  </si>
  <si>
    <t>海淀区南辛庄路8号院2号楼-1层-118</t>
  </si>
  <si>
    <t>2-118</t>
  </si>
  <si>
    <t>110108102001GB00541F
00230084</t>
  </si>
  <si>
    <t>海淀区南辛庄路8号院2号楼-1层-119</t>
  </si>
  <si>
    <t>2-119</t>
  </si>
  <si>
    <t>110108102001GB00541F
00230085</t>
  </si>
  <si>
    <t>海淀区南辛庄路8号院2号楼-1层-120</t>
  </si>
  <si>
    <t>2-120</t>
  </si>
  <si>
    <t>110108102001GB00541F
00230086</t>
  </si>
  <si>
    <t>海淀区南辛庄路8号院2号楼-1层-121</t>
  </si>
  <si>
    <t>2-121</t>
  </si>
  <si>
    <t>110108102001GB00541F
00230087</t>
  </si>
  <si>
    <t>海淀区南辛庄路8号院2号楼-1层-122</t>
  </si>
  <si>
    <t>2-122</t>
  </si>
  <si>
    <t>110108102001GB00541F
00230088</t>
  </si>
  <si>
    <t>海淀区南辛庄路8号院2号楼-1层-123</t>
  </si>
  <si>
    <t>2-123</t>
  </si>
  <si>
    <t>110108102001GB00541F
00230089</t>
  </si>
  <si>
    <t>海淀区南辛庄路8号院2号楼-1层-124</t>
  </si>
  <si>
    <t>2-124</t>
  </si>
  <si>
    <t>110108102001GB00541F
00230090</t>
  </si>
  <si>
    <t>海淀区南辛庄路8号院2号楼-1层-125</t>
  </si>
  <si>
    <t>2-125</t>
  </si>
  <si>
    <t>110108102001GB00541F
00230091</t>
  </si>
  <si>
    <t>海淀区南辛庄路8号院2号楼-1层-126</t>
  </si>
  <si>
    <t>2-126</t>
  </si>
  <si>
    <t>110108102001GB00541F
00230092</t>
  </si>
  <si>
    <t>海淀区南辛庄路8号院2号楼-1层-127</t>
  </si>
  <si>
    <t>2-127</t>
  </si>
  <si>
    <t>110108102001GB00541F
00230093</t>
  </si>
  <si>
    <t>海淀区南辛庄路8号院2号楼-1层-128</t>
  </si>
  <si>
    <t>2-128</t>
  </si>
  <si>
    <t>110108102001GB00541F
00230094</t>
  </si>
  <si>
    <t>海淀区南辛庄路8号院2号楼-1层-129</t>
  </si>
  <si>
    <t>2-129</t>
  </si>
  <si>
    <t>110108102001GB00541F
00230095</t>
  </si>
  <si>
    <t>海淀区南辛庄路8号院2号楼-1层-130</t>
  </si>
  <si>
    <t>2-130</t>
  </si>
  <si>
    <t>110108102001GB00541F
00230096</t>
  </si>
  <si>
    <t>海淀区南辛庄路8号院2号楼-2层-202</t>
  </si>
  <si>
    <t>2-202</t>
  </si>
  <si>
    <t>110108102001GB00541F
00230062</t>
  </si>
  <si>
    <t>海淀区南辛庄路8号院2号楼-2层-204</t>
  </si>
  <si>
    <t>2-204</t>
  </si>
  <si>
    <t>110108102001GB00541F
00230064</t>
  </si>
  <si>
    <t>海淀区南辛庄路8号院2号楼-2层-205</t>
  </si>
  <si>
    <t>2-205</t>
  </si>
  <si>
    <t>110108102001GB00541F
00230065</t>
  </si>
  <si>
    <t>海淀区南辛庄路8号院2号楼-2层-206</t>
  </si>
  <si>
    <t>2-206</t>
  </si>
  <si>
    <t>110108102001GB00541F
00230066</t>
  </si>
  <si>
    <t>海淀区南辛庄路8号院5号楼1层二单元101</t>
  </si>
  <si>
    <t>5-2-101</t>
  </si>
  <si>
    <t>110108102001GB00541F
00200060</t>
  </si>
  <si>
    <t>海淀区南辛庄路8号院5号楼-1层-109</t>
  </si>
  <si>
    <t>5-109</t>
  </si>
  <si>
    <t>110108102001GB00541F
00200038</t>
  </si>
  <si>
    <t>海淀区南辛庄路8号院5号楼-1层-110</t>
  </si>
  <si>
    <t>5-110</t>
  </si>
  <si>
    <t>110108102001GB00541F
00200039</t>
  </si>
  <si>
    <t>海淀区南辛庄路8号院5号楼-1层-111</t>
  </si>
  <si>
    <t>5-111</t>
  </si>
  <si>
    <t>110108102001GB00541F
00200040</t>
  </si>
  <si>
    <t>海淀区南辛庄路8号院5号楼-1层-123</t>
  </si>
  <si>
    <t>5-123</t>
  </si>
  <si>
    <t>110108102001GB00541F
00200052</t>
  </si>
  <si>
    <t>海淀区南辛庄路8号院5号楼-1层-124</t>
  </si>
  <si>
    <t>5-124</t>
  </si>
  <si>
    <t>110108102001GB00541F
00200053</t>
  </si>
  <si>
    <t>海淀区南辛庄路8号院5号楼-1层-125</t>
  </si>
  <si>
    <t>5-125</t>
  </si>
  <si>
    <t>110108102001GB00541F
00200054</t>
  </si>
  <si>
    <t>海淀区南辛庄路8号院5号楼-1层-126</t>
  </si>
  <si>
    <t>5-126</t>
  </si>
  <si>
    <t>110108102001GB00541F
00200055</t>
  </si>
  <si>
    <t>海淀区南辛庄路8号院5号楼-1层-127</t>
  </si>
  <si>
    <t>5-127</t>
  </si>
  <si>
    <t>110108102001GB00541F
00200056</t>
  </si>
  <si>
    <t>海淀区南辛庄路8号院5号楼-1层-128</t>
  </si>
  <si>
    <t>5-128</t>
  </si>
  <si>
    <t>110108102001GB00541F
00200057</t>
  </si>
  <si>
    <t>海淀区南辛庄路8号院5号楼-1层-130</t>
  </si>
  <si>
    <t>5-130</t>
  </si>
  <si>
    <t>110108102001GB00541F
00200059</t>
  </si>
  <si>
    <t>海淀区南辛庄路8号院5号楼-2层-203</t>
  </si>
  <si>
    <t>5-203</t>
  </si>
  <si>
    <t>110108102001GB00541F
00200026</t>
  </si>
  <si>
    <t>海淀区南辛庄路8号院4号楼1层一单元101</t>
  </si>
  <si>
    <t>4-1-101</t>
  </si>
  <si>
    <t>110108102001GB00541F
00210067</t>
  </si>
  <si>
    <t>4-1-201</t>
  </si>
  <si>
    <t>110108102001GB00541F
00210071</t>
  </si>
  <si>
    <t>海淀区南辛庄路8号院4号楼3层一单元301</t>
  </si>
  <si>
    <t>4-1-301</t>
  </si>
  <si>
    <t>110108102001GB00541F
00210075</t>
  </si>
  <si>
    <t>海淀区南辛庄路8号院4号楼3层一单元302</t>
  </si>
  <si>
    <t>4-1-302</t>
  </si>
  <si>
    <t>110108102001GB00541F
00210076</t>
  </si>
  <si>
    <t>海淀区南辛庄路8号院4号楼1层二单元101</t>
  </si>
  <si>
    <t>4-2-101</t>
  </si>
  <si>
    <t>110108102001GB00541F
00210065</t>
  </si>
  <si>
    <t>海淀区南辛庄路8号院4号楼-1层-101</t>
  </si>
  <si>
    <t>4-101</t>
  </si>
  <si>
    <t>110108102001GB00541F
00210045</t>
  </si>
  <si>
    <t>海淀区南辛庄路8号院4号楼-1层-102</t>
  </si>
  <si>
    <t>4-102</t>
  </si>
  <si>
    <t>110108102001GB00541F
00210046</t>
  </si>
  <si>
    <t>海淀区南辛庄路8号院4号楼-1层-103</t>
  </si>
  <si>
    <t>4-103</t>
  </si>
  <si>
    <t>110108102001GB00541F
00210047</t>
  </si>
  <si>
    <t>海淀区南辛庄路8号院4号楼-1层-104</t>
  </si>
  <si>
    <t>4-104</t>
  </si>
  <si>
    <t>110108102001GB00541F
00210048</t>
  </si>
  <si>
    <t>海淀区南辛庄路8号院4号楼-1层-105</t>
  </si>
  <si>
    <t>4-105</t>
  </si>
  <si>
    <t>110108102001GB00541F
00210049</t>
  </si>
  <si>
    <t>海淀区南辛庄路8号院4号楼-1层-109</t>
  </si>
  <si>
    <t>4-109</t>
  </si>
  <si>
    <t>110108102001GB00541F
00210053</t>
  </si>
  <si>
    <t>海淀区南辛庄路8号院4号楼-1层-110</t>
  </si>
  <si>
    <t>4-110</t>
  </si>
  <si>
    <t>110108102001GB00541F
00210054</t>
  </si>
  <si>
    <t>海淀区南辛庄路8号院4号楼-1层-111</t>
  </si>
  <si>
    <t>4-111</t>
  </si>
  <si>
    <t>110108102001GB00541F
00210055</t>
  </si>
  <si>
    <t>海淀区南辛庄路8号院4号楼-1层-117</t>
  </si>
  <si>
    <t>4-117</t>
  </si>
  <si>
    <t>110108102001GB00541F
00210061</t>
  </si>
  <si>
    <t>海淀区南辛庄路8号院4号楼-1层-118</t>
  </si>
  <si>
    <t>4-118</t>
  </si>
  <si>
    <t>110108102001GB00541F
00210062</t>
  </si>
  <si>
    <t>海淀区南辛庄路8号院4号楼-1层-119</t>
  </si>
  <si>
    <t>4-119</t>
  </si>
  <si>
    <t>110108102001GB00541F
00210063</t>
  </si>
  <si>
    <t>海淀区南辛庄路8号院4号楼-1层-120</t>
  </si>
  <si>
    <t>4-120</t>
  </si>
  <si>
    <t>110108102001GB00541F
00210064</t>
  </si>
  <si>
    <t>海淀区南辛庄路8号院4号楼-2层-201</t>
  </si>
  <si>
    <t>4-201</t>
  </si>
  <si>
    <t>110108102001GB00541F
00210041</t>
  </si>
  <si>
    <t>海淀区南辛庄路8号院4号楼-2层-203</t>
  </si>
  <si>
    <t>4-203</t>
  </si>
  <si>
    <t>110108102001GB00541F
00210043</t>
  </si>
  <si>
    <t>3-1-101</t>
  </si>
  <si>
    <t>110108102001GB00541F
00220076</t>
  </si>
  <si>
    <t>3-1-102</t>
  </si>
  <si>
    <t>110108102001GB00541F
00220077</t>
  </si>
  <si>
    <t>3-1-201</t>
  </si>
  <si>
    <t>110108102001GB00541F
00220078</t>
  </si>
  <si>
    <t>海淀区南辛庄路8号院3号楼-1层-101</t>
  </si>
  <si>
    <t>3-101</t>
  </si>
  <si>
    <t>110108102001GB00541F
00220066</t>
  </si>
  <si>
    <t>海淀区南辛庄路8号院3号楼-1层-102</t>
  </si>
  <si>
    <t>3-102</t>
  </si>
  <si>
    <t>110108102001GB00541F
00220067</t>
  </si>
  <si>
    <t>海淀区南辛庄路8号院3号楼-1层-103</t>
  </si>
  <si>
    <t>3-103</t>
  </si>
  <si>
    <t>110108102001GB00541F
00220068</t>
  </si>
  <si>
    <t>海淀区南辛庄路8号院3号楼-1层-104</t>
  </si>
  <si>
    <t>3-104</t>
  </si>
  <si>
    <t>110108102001GB00541F
00220069</t>
  </si>
  <si>
    <t>海淀区南辛庄路8号院3号楼-1层-105</t>
  </si>
  <si>
    <t>3-105</t>
  </si>
  <si>
    <t>110108102001GB00541F
00220070</t>
  </si>
  <si>
    <t>海淀区南辛庄路8号院3号楼-1层-106</t>
  </si>
  <si>
    <t>3-106</t>
  </si>
  <si>
    <t>110108102001GB00541F
00220071</t>
  </si>
  <si>
    <t>海淀区南辛庄路8号院3号楼-1层-107</t>
  </si>
  <si>
    <t>3-107</t>
  </si>
  <si>
    <t>110108102001GB00541F
00220072</t>
  </si>
  <si>
    <t>海淀区南辛庄路8号院3号楼-1层-108</t>
  </si>
  <si>
    <t>3-108</t>
  </si>
  <si>
    <t>110108102001GB00541F
00220073</t>
  </si>
  <si>
    <t>海淀区南辛庄路8号院3号楼-1层-109</t>
  </si>
  <si>
    <t>3-109</t>
  </si>
  <si>
    <t>110108102001GB00541F
00220074</t>
  </si>
  <si>
    <t>海淀区南辛庄路8号院3号楼-2层-201</t>
  </si>
  <si>
    <t>3-201</t>
  </si>
  <si>
    <t>110108102001GB00541F
00220061</t>
  </si>
  <si>
    <t>海淀区南辛庄路8号院3号楼-2层-202</t>
  </si>
  <si>
    <t>3-202</t>
  </si>
  <si>
    <t>110108102001GB00541F
00220062</t>
  </si>
  <si>
    <t>海淀区南辛庄路8号院3号楼-2层-203</t>
  </si>
  <si>
    <t>3-203</t>
  </si>
  <si>
    <t>110108102001GB00541F
00220063</t>
  </si>
  <si>
    <t>海淀区南辛庄路8号院3号楼-2层-204</t>
  </si>
  <si>
    <t>3-204</t>
  </si>
  <si>
    <t>110108102001GB00541F
00220064</t>
  </si>
  <si>
    <t>海淀区南辛庄路8号院3号楼-2层-205</t>
  </si>
  <si>
    <t>3-205</t>
  </si>
  <si>
    <t>110108102001GB00541F
00220065</t>
  </si>
  <si>
    <t>海淀区南辛庄路8号院7号楼1层一单元102</t>
  </si>
  <si>
    <t>7-1-102</t>
  </si>
  <si>
    <t>110108102001GB00541F
00180102</t>
  </si>
  <si>
    <t>海淀区南辛庄路8号院7号楼1层二单元101</t>
  </si>
  <si>
    <t>7-2-101</t>
  </si>
  <si>
    <t>110108102001GB00541F
00180097</t>
  </si>
  <si>
    <t>海淀区南辛庄路8号院7号楼1层三单元101</t>
  </si>
  <si>
    <t>7-3-101</t>
  </si>
  <si>
    <t>110108102001GB00541F
00180099</t>
  </si>
  <si>
    <t>海淀区南辛庄路8号院7号楼-1层-106</t>
  </si>
  <si>
    <t>7-106</t>
  </si>
  <si>
    <t>110108102001GB00541F
00180072</t>
  </si>
  <si>
    <t>海淀区南辛庄路8号院7号楼-1层-107</t>
  </si>
  <si>
    <t>7-107</t>
  </si>
  <si>
    <t>110108102001GB00541F
00180073</t>
  </si>
  <si>
    <t>海淀区南辛庄路8号院7号楼-1层-108</t>
  </si>
  <si>
    <t>7-108</t>
  </si>
  <si>
    <t>110108102001GB00541F
00180074</t>
  </si>
  <si>
    <t>海淀区南辛庄路8号院7号楼-1层-109</t>
  </si>
  <si>
    <t>7-109</t>
  </si>
  <si>
    <t>110108102001GB00541F
00180075</t>
  </si>
  <si>
    <t>海淀区南辛庄路8号院7号楼-1层-110</t>
  </si>
  <si>
    <t>7-110</t>
  </si>
  <si>
    <t>110108102001GB00541F
00180076</t>
  </si>
  <si>
    <t>海淀区南辛庄路8号院7号楼-1层-111</t>
  </si>
  <si>
    <t>7-111</t>
  </si>
  <si>
    <t>110108102001GB00541F
00180077</t>
  </si>
  <si>
    <t>海淀区南辛庄路8号院7号楼-1层-115</t>
  </si>
  <si>
    <t>7-115</t>
  </si>
  <si>
    <t>110108102001GB00541F
00180081</t>
  </si>
  <si>
    <t>海淀区南辛庄路8号院7号楼-1层-116</t>
  </si>
  <si>
    <t>7-116</t>
  </si>
  <si>
    <t>110108102001GB00541F
00180082</t>
  </si>
  <si>
    <t>海淀区南辛庄路8号院7号楼-1层-117</t>
  </si>
  <si>
    <t>7-117</t>
  </si>
  <si>
    <t>110108102001GB00541F
00180083</t>
  </si>
  <si>
    <t>海淀区南辛庄路8号院7号楼-1层-123</t>
  </si>
  <si>
    <t>7-123</t>
  </si>
  <si>
    <t>110108102001GB00541F
00180089</t>
  </si>
  <si>
    <t>海淀区南辛庄路8号院7号楼-1层-124</t>
  </si>
  <si>
    <t>7-124</t>
  </si>
  <si>
    <t>110108102001GB00541F
00180090</t>
  </si>
  <si>
    <t>海淀区南辛庄路8号院7号楼-1层-126</t>
  </si>
  <si>
    <t>7-126</t>
  </si>
  <si>
    <t>110108102001GB00541F
00180092</t>
  </si>
  <si>
    <t>海淀区南辛庄路8号院7号楼-1层-127</t>
  </si>
  <si>
    <t>7-127</t>
  </si>
  <si>
    <t>110108102001GB00541F
00180093</t>
  </si>
  <si>
    <t>海淀区南辛庄路8号院7号楼-1层-128</t>
  </si>
  <si>
    <t>7-128</t>
  </si>
  <si>
    <t>110108102001GB00541F
00180094</t>
  </si>
  <si>
    <t>海淀区南辛庄路8号院7号楼-2层-202</t>
  </si>
  <si>
    <t>7-202</t>
  </si>
  <si>
    <t>110108102001GB00541F
00180062</t>
  </si>
  <si>
    <t>海淀区南辛庄路8号院7号楼-2层-203</t>
  </si>
  <si>
    <t>7-203</t>
  </si>
  <si>
    <t>110108102001GB00541F
00180063</t>
  </si>
  <si>
    <t>海淀区南辛庄路8号院7号楼-2层-205</t>
  </si>
  <si>
    <t>7-205</t>
  </si>
  <si>
    <t>110108102001GB00541F
00180065</t>
  </si>
  <si>
    <t>海淀区南辛庄路8号院8号楼1层一单元101</t>
  </si>
  <si>
    <t>8-1-101</t>
  </si>
  <si>
    <t>110108102001GB00541F
00320027</t>
  </si>
  <si>
    <t>海淀区南辛庄路8号院8号楼1层一单元102</t>
  </si>
  <si>
    <t>8-1-102</t>
  </si>
  <si>
    <t>110108102001GB00541F
00320028</t>
  </si>
  <si>
    <t>8-1-201</t>
  </si>
  <si>
    <t>110108102001GB00541F
00320031</t>
  </si>
  <si>
    <t>8-1-202</t>
  </si>
  <si>
    <t>110108102001GB00541F
00320032</t>
  </si>
  <si>
    <t>海淀区南辛庄路8号院8号楼3层一单元301</t>
  </si>
  <si>
    <t>8-1-301</t>
  </si>
  <si>
    <t>110108102001GB00541F
00320035</t>
  </si>
  <si>
    <t>海淀区南辛庄路8号院8号楼4层一单元401</t>
  </si>
  <si>
    <t>8-1-401</t>
  </si>
  <si>
    <t>110108102001GB00541F
00320039</t>
  </si>
  <si>
    <t>海淀区南辛庄路8号院8号楼4层一单元402</t>
  </si>
  <si>
    <t>8-1-402</t>
  </si>
  <si>
    <t>110108102001GB00541F
00320040</t>
  </si>
  <si>
    <t>海淀区南辛庄路8号院8号楼1层二单元101</t>
  </si>
  <si>
    <t>8-2-101</t>
  </si>
  <si>
    <t>110108102001GB00541F
00320025</t>
  </si>
  <si>
    <t>海淀区南辛庄路8号院8号楼1层二单元102</t>
  </si>
  <si>
    <t>8-2-102</t>
  </si>
  <si>
    <t>110108102001GB00541F
00320026</t>
  </si>
  <si>
    <t>海淀区南辛庄路8号院8号楼3层二单元301</t>
  </si>
  <si>
    <t>8-2-301</t>
  </si>
  <si>
    <t>110108102001GB00541F
00320033</t>
  </si>
  <si>
    <t>海淀区南辛庄路8号院8号楼-1层-101</t>
  </si>
  <si>
    <t>8-101</t>
  </si>
  <si>
    <t>110108102001GB00541F
00320005</t>
  </si>
  <si>
    <t>海淀区南辛庄路8号院8号楼-1层-102</t>
  </si>
  <si>
    <t>8-102</t>
  </si>
  <si>
    <t>110108102001GB00541F
00320006</t>
  </si>
  <si>
    <t>海淀区南辛庄路8号院8号楼-1层-103</t>
  </si>
  <si>
    <t>8-103</t>
  </si>
  <si>
    <t>110108102001GB00541F
00320007</t>
  </si>
  <si>
    <t>海淀区南辛庄路8号院8号楼-1层-104</t>
  </si>
  <si>
    <t>8-104</t>
  </si>
  <si>
    <t>110108102001GB00541F
00320008</t>
  </si>
  <si>
    <t>海淀区南辛庄路8号院8号楼-1层-105</t>
  </si>
  <si>
    <t>8-105</t>
  </si>
  <si>
    <t>110108102001GB00541F
00320009</t>
  </si>
  <si>
    <t>海淀区南辛庄路8号院8号楼-1层-107</t>
  </si>
  <si>
    <t>8-107</t>
  </si>
  <si>
    <t>110108102001GB00541F
00320011</t>
  </si>
  <si>
    <t>海淀区南辛庄路8号院8号楼-1层-108</t>
  </si>
  <si>
    <t>8-108</t>
  </si>
  <si>
    <t>110108102001GB00541F
00320012</t>
  </si>
  <si>
    <t>海淀区南辛庄路8号院8号楼-1层-109</t>
  </si>
  <si>
    <t>8-109</t>
  </si>
  <si>
    <t>110108102001GB00541F
00320013</t>
  </si>
  <si>
    <t>海淀区南辛庄路8号院8号楼-1层-110</t>
  </si>
  <si>
    <t>8-110</t>
  </si>
  <si>
    <t>110108102001GB00541F
00320014</t>
  </si>
  <si>
    <t>海淀区南辛庄路8号院8号楼-1层-112</t>
  </si>
  <si>
    <t>8-112</t>
  </si>
  <si>
    <t>110108102001GB00541F
00320016</t>
  </si>
  <si>
    <t>海淀区南辛庄路8号院8号楼-1层-113</t>
  </si>
  <si>
    <t>8-113</t>
  </si>
  <si>
    <t>110108102001GB00541F
00320017</t>
  </si>
  <si>
    <t>海淀区南辛庄路8号院8号楼-1层-114</t>
  </si>
  <si>
    <t>8-114</t>
  </si>
  <si>
    <t>110108102001GB00541F
00320018</t>
  </si>
  <si>
    <t>海淀区南辛庄路8号院8号楼-1层-115</t>
  </si>
  <si>
    <t>8-115</t>
  </si>
  <si>
    <t>110108102001GB00541F
00320019</t>
  </si>
  <si>
    <t>海淀区南辛庄路8号院8号楼-1层-116</t>
  </si>
  <si>
    <t>8-116</t>
  </si>
  <si>
    <t>110108102001GB00541F
00320020</t>
  </si>
  <si>
    <t>海淀区南辛庄路8号院8号楼-1层-117</t>
  </si>
  <si>
    <t>8-117</t>
  </si>
  <si>
    <t>110108102001GB00541F
00320021</t>
  </si>
  <si>
    <t>海淀区南辛庄路8号院8号楼-1层-118</t>
  </si>
  <si>
    <t>8-118</t>
  </si>
  <si>
    <t>110108102001GB00541F
00320022</t>
  </si>
  <si>
    <t>海淀区南辛庄路8号院8号楼-1层-119</t>
  </si>
  <si>
    <t>8-119</t>
  </si>
  <si>
    <t>110108102001GB00541F
00320023</t>
  </si>
  <si>
    <t>海淀区南辛庄路8号院8号楼-1层-120</t>
  </si>
  <si>
    <t>8-120</t>
  </si>
  <si>
    <t>110108102001GB00541F
00320024</t>
  </si>
  <si>
    <t>海淀区南辛庄路8号院8号楼-2层-201</t>
  </si>
  <si>
    <t>8-201</t>
  </si>
  <si>
    <t>110108102001GB00541F
00320001</t>
  </si>
  <si>
    <t>海淀区南辛庄路8号院8号楼-2层-203</t>
  </si>
  <si>
    <t>8-203</t>
  </si>
  <si>
    <t>110108102001GB00541F
00320003</t>
  </si>
  <si>
    <t>海淀区南辛庄路8号院8号楼-2层-204</t>
  </si>
  <si>
    <t>8-204</t>
  </si>
  <si>
    <t>110108102001GB00541F
00320004</t>
  </si>
  <si>
    <t>海淀区南辛庄路8号院9号楼1层一单元101</t>
  </si>
  <si>
    <t>9-1-101</t>
  </si>
  <si>
    <t>110108102001GB00541F
00170067</t>
  </si>
  <si>
    <t>海淀区南辛庄路8号院9号楼3层一单元301</t>
  </si>
  <si>
    <t>9-1-301</t>
  </si>
  <si>
    <t>110108102001GB00541F
00170075</t>
  </si>
  <si>
    <t>海淀区南辛庄路8号院9号楼1层二单元101</t>
  </si>
  <si>
    <t>9-2-101</t>
  </si>
  <si>
    <t>110108102001GB00541F
00170065</t>
  </si>
  <si>
    <t>海淀区南辛庄路8号院9号楼-1层-101</t>
  </si>
  <si>
    <t>9-101</t>
  </si>
  <si>
    <t>110108102001GB00541F
00170045</t>
  </si>
  <si>
    <t>海淀区南辛庄路8号院9号楼-1层-102</t>
  </si>
  <si>
    <t>9-102</t>
  </si>
  <si>
    <t>110108102001GB00541F
00170046</t>
  </si>
  <si>
    <t>海淀区南辛庄路8号院9号楼-1层-103</t>
  </si>
  <si>
    <t>9-103</t>
  </si>
  <si>
    <t>110108102001GB00541F
00170047</t>
  </si>
  <si>
    <t>海淀区南辛庄路8号院9号楼-1层-104</t>
  </si>
  <si>
    <t>9-104</t>
  </si>
  <si>
    <t>110108102001GB00541F
00170048</t>
  </si>
  <si>
    <t>海淀区南辛庄路8号院9号楼-1层-105</t>
  </si>
  <si>
    <t>9-105</t>
  </si>
  <si>
    <t>110108102001GB00541F
00170049</t>
  </si>
  <si>
    <t>海淀区南辛庄路8号院9号楼-1层-107</t>
  </si>
  <si>
    <t>9-107</t>
  </si>
  <si>
    <t>110108102001GB00541F
00170051</t>
  </si>
  <si>
    <t>海淀区南辛庄路8号院9号楼-1层-108</t>
  </si>
  <si>
    <t>9-108</t>
  </si>
  <si>
    <t>110108102001GB00541F
00170052</t>
  </si>
  <si>
    <t>海淀区南辛庄路8号院9号楼-1层-109</t>
  </si>
  <si>
    <t>9-109</t>
  </si>
  <si>
    <t>110108102001GB00541F
00170053</t>
  </si>
  <si>
    <t>海淀区南辛庄路8号院9号楼-1层-110</t>
  </si>
  <si>
    <t>9-110</t>
  </si>
  <si>
    <t>110108102001GB00541F
00170054</t>
  </si>
  <si>
    <t>海淀区南辛庄路8号院9号楼-1层-119</t>
  </si>
  <si>
    <t>9-119</t>
  </si>
  <si>
    <t>110108102001GB00541F
00170063</t>
  </si>
  <si>
    <t>海淀区南辛庄路8号院9号楼-1层-120</t>
  </si>
  <si>
    <t>9-120</t>
  </si>
  <si>
    <t>110108102001GB00541F
00170064</t>
  </si>
  <si>
    <t>海淀区南辛庄路8号院9号楼-2层-201</t>
  </si>
  <si>
    <t>9-201</t>
  </si>
  <si>
    <t>110108102001GB00541F
00170041</t>
  </si>
  <si>
    <t>海淀区南辛庄路8号院9号楼-2层-203</t>
  </si>
  <si>
    <t>9-203</t>
  </si>
  <si>
    <t>110108102001GB00541F
00170043</t>
  </si>
  <si>
    <t>海淀区南辛庄路8号院10号楼1层二单元101</t>
  </si>
  <si>
    <t>10-2-101</t>
  </si>
  <si>
    <t>110108102001GB00541F
00160077</t>
  </si>
  <si>
    <t>海淀区南辛庄路8号院10号楼-1层-109</t>
  </si>
  <si>
    <t>10-109</t>
  </si>
  <si>
    <t>110108102001GB00541F
00160055</t>
  </si>
  <si>
    <t>海淀区南辛庄路8号院10号楼-1层-110</t>
  </si>
  <si>
    <t>10-110</t>
  </si>
  <si>
    <t>110108102001GB00541F
00160056</t>
  </si>
  <si>
    <t>海淀区南辛庄路8号院10号楼-1层-111</t>
  </si>
  <si>
    <t>10-111</t>
  </si>
  <si>
    <t>110108102001GB00541F
00160057</t>
  </si>
  <si>
    <t>海淀区南辛庄路8号院10号楼-1层-123</t>
  </si>
  <si>
    <t>10-123</t>
  </si>
  <si>
    <t>110108102001GB00541F
00160069</t>
  </si>
  <si>
    <t>海淀区南辛庄路8号院10号楼-1层-124</t>
  </si>
  <si>
    <t>10-124</t>
  </si>
  <si>
    <t>110108102001GB00541F
00160070</t>
  </si>
  <si>
    <t>海淀区南辛庄路8号院10号楼-1层-125</t>
  </si>
  <si>
    <t>10-125</t>
  </si>
  <si>
    <t>110108102001GB00541F
00160071</t>
  </si>
  <si>
    <t>海淀区南辛庄路8号院10号楼-1层-127</t>
  </si>
  <si>
    <t>10-127</t>
  </si>
  <si>
    <t>110108102001GB00541F
00160073</t>
  </si>
  <si>
    <t>海淀区南辛庄路8号院10号楼-1层-128</t>
  </si>
  <si>
    <t>10-128</t>
  </si>
  <si>
    <t>110108102001GB00541F
00160074</t>
  </si>
  <si>
    <t>海淀区南辛庄路8号院10号楼-1层-129</t>
  </si>
  <si>
    <t>10-129</t>
  </si>
  <si>
    <t>110108102001GB00541F
00160075</t>
  </si>
  <si>
    <t>海淀区南辛庄路8号院10号楼-1层-130</t>
  </si>
  <si>
    <t>10-130</t>
  </si>
  <si>
    <t>110108102001GB00541F
00160076</t>
  </si>
  <si>
    <t>海淀区南辛庄路8号院10号楼-2层-203</t>
  </si>
  <si>
    <t>10-203</t>
  </si>
  <si>
    <t>110108102001GB00541F
00160043</t>
  </si>
  <si>
    <t>海淀区南辛庄路8号院13号楼1层一单元102</t>
  </si>
  <si>
    <t>13-1-102</t>
  </si>
  <si>
    <t>110108102001GB00541F
00270040</t>
  </si>
  <si>
    <t>13-1-202</t>
  </si>
  <si>
    <t>110108102001GB00541F
00270046</t>
  </si>
  <si>
    <t>海淀区南辛庄路8号院13号楼3层一单元302</t>
  </si>
  <si>
    <t>13-1-302</t>
  </si>
  <si>
    <t>110108102001GB00541F
00270052</t>
  </si>
  <si>
    <t>海淀区南辛庄路8号院13号楼1层二单元101</t>
  </si>
  <si>
    <t>13-2-101</t>
  </si>
  <si>
    <t>110108102001GB00541F
00270035</t>
  </si>
  <si>
    <t>海淀区南辛庄路8号院13号楼1层二单元102</t>
  </si>
  <si>
    <t>13-2-102</t>
  </si>
  <si>
    <t>110108102001GB00541F
00270036</t>
  </si>
  <si>
    <t>13-2-201</t>
  </si>
  <si>
    <t>110108102001GB00541F
00270041</t>
  </si>
  <si>
    <t>13-2-202</t>
  </si>
  <si>
    <t>110108102001GB00541F
00270042</t>
  </si>
  <si>
    <t>海淀区南辛庄路8号院13号楼3层二单元301</t>
  </si>
  <si>
    <t>13-2-301</t>
  </si>
  <si>
    <t>110108102001GB00541F
00270047</t>
  </si>
  <si>
    <t>海淀区南辛庄路8号院13号楼3层二单元302</t>
  </si>
  <si>
    <t>13-2-302</t>
  </si>
  <si>
    <t>110108102001GB00541F
00270048</t>
  </si>
  <si>
    <t>海淀区南辛庄路8号院13号楼4层二单元401</t>
  </si>
  <si>
    <t>13-2-401</t>
  </si>
  <si>
    <t>110108102001GB00541F
00270053</t>
  </si>
  <si>
    <t>海淀区南辛庄路8号院13号楼4层二单元402</t>
  </si>
  <si>
    <t>13-2-402</t>
  </si>
  <si>
    <t>110108102001GB00541F
00270054</t>
  </si>
  <si>
    <t>海淀区南辛庄路8号院13号楼1层三单元101</t>
  </si>
  <si>
    <t>13-3-101</t>
  </si>
  <si>
    <t>110108102001GB00541F
00270037</t>
  </si>
  <si>
    <t>海淀区南辛庄路8号院13号楼1层三单元102</t>
  </si>
  <si>
    <t>13-3-102</t>
  </si>
  <si>
    <t>110108102001GB00541F
00270038</t>
  </si>
  <si>
    <t>13-3-201</t>
  </si>
  <si>
    <t>110108102001GB00541F
00270043</t>
  </si>
  <si>
    <t>13-3-202</t>
  </si>
  <si>
    <t>110108102001GB00541F
00270044</t>
  </si>
  <si>
    <t>海淀区南辛庄路8号院13号楼3层三单元301</t>
  </si>
  <si>
    <t>13-3-301</t>
  </si>
  <si>
    <t>110108102001GB00541F
00270049</t>
  </si>
  <si>
    <t>海淀区南辛庄路8号院13号楼4层三单元402</t>
  </si>
  <si>
    <t>13-3-402</t>
  </si>
  <si>
    <t>110108102001GB00541F
00270056</t>
  </si>
  <si>
    <t>海淀区南辛庄路8号院13号楼4层三单元401</t>
  </si>
  <si>
    <t>13-3-401</t>
  </si>
  <si>
    <t>110108102001GB00541F
00270055</t>
  </si>
  <si>
    <t>海淀区南辛庄路8号院13号楼-1层-106</t>
  </si>
  <si>
    <t>13-106</t>
  </si>
  <si>
    <t>110108102001GB00541F
00270012</t>
  </si>
  <si>
    <t>海淀区南辛庄路8号院13号楼-1层-107</t>
  </si>
  <si>
    <t>13-107</t>
  </si>
  <si>
    <t>110108102001GB00541F
00270013</t>
  </si>
  <si>
    <t>海淀区南辛庄路8号院13号楼-1层-108</t>
  </si>
  <si>
    <t>13-108</t>
  </si>
  <si>
    <t>110108102001GB00541F
00270014</t>
  </si>
  <si>
    <t>海淀区南辛庄路8号院13号楼-1层-109</t>
  </si>
  <si>
    <t>13-109</t>
  </si>
  <si>
    <t>110108102001GB00541F
00270015</t>
  </si>
  <si>
    <t>海淀区南辛庄路8号院13号楼-1层-110</t>
  </si>
  <si>
    <t>13-110</t>
  </si>
  <si>
    <t>110108102001GB00541F
00270016</t>
  </si>
  <si>
    <t>海淀区南辛庄路8号院13号楼-1层-111</t>
  </si>
  <si>
    <t>13-111</t>
  </si>
  <si>
    <t>110108102001GB00541F
00270017</t>
  </si>
  <si>
    <t>海淀区南辛庄路8号院13号楼-1层-112</t>
  </si>
  <si>
    <t>13-112</t>
  </si>
  <si>
    <t>110108102001GB00541F
00270018</t>
  </si>
  <si>
    <t>海淀区南辛庄路8号院13号楼-1层-113</t>
  </si>
  <si>
    <t>13-113</t>
  </si>
  <si>
    <t>110108102001GB00541F
00270019</t>
  </si>
  <si>
    <t>海淀区南辛庄路8号院13号楼-1层-114</t>
  </si>
  <si>
    <t>13-114</t>
  </si>
  <si>
    <t>110108102001GB00541F
00270020</t>
  </si>
  <si>
    <t>海淀区南辛庄路8号院13号楼-1层-115</t>
  </si>
  <si>
    <t>13-115</t>
  </si>
  <si>
    <t>110108102001GB00541F
00270021</t>
  </si>
  <si>
    <t>海淀区南辛庄路8号院13号楼-1层-116</t>
  </si>
  <si>
    <t>13-116</t>
  </si>
  <si>
    <t>110108102001GB00541F
00270022</t>
  </si>
  <si>
    <t>海淀区南辛庄路8号院13号楼-1层-117</t>
  </si>
  <si>
    <t>13-117</t>
  </si>
  <si>
    <t>110108102001GB00541F
00270023</t>
  </si>
  <si>
    <t>海淀区南辛庄路8号院13号楼-1层-118</t>
  </si>
  <si>
    <t>13-118</t>
  </si>
  <si>
    <t>110108102001GB00541F
00270024</t>
  </si>
  <si>
    <t>海淀区南辛庄路8号院13号楼-1层-119</t>
  </si>
  <si>
    <t>13-119</t>
  </si>
  <si>
    <t>110108102001GB00541F
00270025</t>
  </si>
  <si>
    <t>海淀区南辛庄路8号院13号楼-1层-120</t>
  </si>
  <si>
    <t>13-120</t>
  </si>
  <si>
    <t>110108102001GB00541F
00270026</t>
  </si>
  <si>
    <t>海淀区南辛庄路8号院13号楼-1层-121</t>
  </si>
  <si>
    <t>13-121</t>
  </si>
  <si>
    <t>110108102001GB00541F
00270027</t>
  </si>
  <si>
    <t>海淀区南辛庄路8号院13号楼-1层-122</t>
  </si>
  <si>
    <t>13-122</t>
  </si>
  <si>
    <t>110108102001GB00541F
00270028</t>
  </si>
  <si>
    <t>海淀区南辛庄路8号院13号楼-1层-123</t>
  </si>
  <si>
    <t>13-123</t>
  </si>
  <si>
    <t>110108102001GB00541F
00270029</t>
  </si>
  <si>
    <t>海淀区南辛庄路8号院13号楼-1层-124</t>
  </si>
  <si>
    <t>13-124</t>
  </si>
  <si>
    <t>110108102001GB00541F
00270030</t>
  </si>
  <si>
    <t>海淀区南辛庄路8号院13号楼-1层-126</t>
  </si>
  <si>
    <t>13-126</t>
  </si>
  <si>
    <t>110108102001GB00541F
00270032</t>
  </si>
  <si>
    <t>海淀区南辛庄路8号院13号楼-1层-127</t>
  </si>
  <si>
    <t>13-127</t>
  </si>
  <si>
    <t>110108102001GB00541F
00270033</t>
  </si>
  <si>
    <t>海淀区南辛庄路8号院13号楼-2层-202</t>
  </si>
  <si>
    <t>13-202</t>
  </si>
  <si>
    <t>110108102001GB00541F
00270002</t>
  </si>
  <si>
    <t>海淀区南辛庄路8号院13号楼-2层-203</t>
  </si>
  <si>
    <t>13-203</t>
  </si>
  <si>
    <t>110108102001GB00541F
00270003</t>
  </si>
  <si>
    <t>海淀区南辛庄路8号院13号楼-2层-204</t>
  </si>
  <si>
    <t>13-204</t>
  </si>
  <si>
    <t>110108102001GB00541F
00270004</t>
  </si>
  <si>
    <t>海淀区南辛庄路8号院13号楼-2层-205</t>
  </si>
  <si>
    <t>13-205</t>
  </si>
  <si>
    <t>110108102001GB00541F
00270005</t>
  </si>
  <si>
    <t>海淀区南辛庄路8号院13号楼-2层-206</t>
  </si>
  <si>
    <t>13-206</t>
  </si>
  <si>
    <t>110108102001GB00541F
00270006</t>
  </si>
  <si>
    <t>海淀区南辛庄路8号院15号楼1层一单元101</t>
  </si>
  <si>
    <t>15-1-101</t>
  </si>
  <si>
    <t>110108102001GB00541F
00290027</t>
  </si>
  <si>
    <t>海淀区南辛庄路8号院15号楼1层一单元102</t>
  </si>
  <si>
    <t>15-1-102</t>
  </si>
  <si>
    <t>110108102001GB00541F
00290028</t>
  </si>
  <si>
    <t>15-1-201</t>
  </si>
  <si>
    <t>110108102001GB00541F
00290031</t>
  </si>
  <si>
    <t>15-1-202</t>
  </si>
  <si>
    <t>110108102001GB00541F
00290032</t>
  </si>
  <si>
    <t>海淀区南辛庄路8号院15号楼3层一单元301</t>
  </si>
  <si>
    <t>15-1-301</t>
  </si>
  <si>
    <t>110108102001GB00541F
00290035</t>
  </si>
  <si>
    <t>海淀区南辛庄路8号院15号楼1层二单元101</t>
  </si>
  <si>
    <t>15-2-101</t>
  </si>
  <si>
    <t>110108102001GB00541F
00290025</t>
  </si>
  <si>
    <t>海淀区南辛庄路8号院15号楼1层二单元102</t>
  </si>
  <si>
    <t>15-2-102</t>
  </si>
  <si>
    <t>110108102001GB00541F
00290026</t>
  </si>
  <si>
    <t>海淀区南辛庄路8号院15号楼-1层-101</t>
  </si>
  <si>
    <t>15-101</t>
  </si>
  <si>
    <t>110108102001GB00541F
00290005</t>
  </si>
  <si>
    <t>海淀区南辛庄路8号院15号楼-1层-102</t>
  </si>
  <si>
    <t>15-102</t>
  </si>
  <si>
    <t>110108102001GB00541F
00290006</t>
  </si>
  <si>
    <t>海淀区南辛庄路8号院15号楼-1层-103</t>
  </si>
  <si>
    <t>15-103</t>
  </si>
  <si>
    <t>110108102001GB00541F
00290007</t>
  </si>
  <si>
    <t>海淀区南辛庄路8号院15号楼-1层-104</t>
  </si>
  <si>
    <t>15-104</t>
  </si>
  <si>
    <t>110108102001GB00541F
00290008</t>
  </si>
  <si>
    <t>海淀区南辛庄路8号院15号楼-1层-105</t>
  </si>
  <si>
    <t>15-105</t>
  </si>
  <si>
    <t>110108102001GB00541F
00290009</t>
  </si>
  <si>
    <t>海淀区南辛庄路8号院15号楼-1层-106</t>
  </si>
  <si>
    <t>15-106</t>
  </si>
  <si>
    <t>110108102001GB00541F
00290010</t>
  </si>
  <si>
    <t>海淀区南辛庄路8号院15号楼-1层-107</t>
  </si>
  <si>
    <t>15-107</t>
  </si>
  <si>
    <t>110108102001GB00541F
00290011</t>
  </si>
  <si>
    <t>海淀区南辛庄路8号院15号楼-1层-108</t>
  </si>
  <si>
    <t>15-108</t>
  </si>
  <si>
    <t>110108102001GB00541F
00290012</t>
  </si>
  <si>
    <t>海淀区南辛庄路8号院15号楼-1层-109</t>
  </si>
  <si>
    <t>15-109</t>
  </si>
  <si>
    <t>110108102001GB00541F
00290013</t>
  </si>
  <si>
    <t>海淀区南辛庄路8号院15号楼-1层-110</t>
  </si>
  <si>
    <t>15-110</t>
  </si>
  <si>
    <t>110108102001GB00541F
00290014</t>
  </si>
  <si>
    <t>海淀区南辛庄路8号院15号楼-1层-111</t>
  </si>
  <si>
    <t>15-111</t>
  </si>
  <si>
    <t>110108102001GB00541F
00290015</t>
  </si>
  <si>
    <t>海淀区南辛庄路8号院15号楼-1层-112</t>
  </si>
  <si>
    <t>15-112</t>
  </si>
  <si>
    <t>110108102001GB00541F
00290016</t>
  </si>
  <si>
    <t>海淀区南辛庄路8号院15号楼-1层-113</t>
  </si>
  <si>
    <t>15-113</t>
  </si>
  <si>
    <t>110108102001GB00541F
00290017</t>
  </si>
  <si>
    <t>海淀区南辛庄路8号院15号楼-1层-114</t>
  </si>
  <si>
    <t>15-114</t>
  </si>
  <si>
    <t>110108102001GB00541F
00290018</t>
  </si>
  <si>
    <t>海淀区南辛庄路8号院15号楼-1层-115</t>
  </si>
  <si>
    <t>15-115</t>
  </si>
  <si>
    <t>110108102001GB00541F
00290019</t>
  </si>
  <si>
    <t>海淀区南辛庄路8号院15号楼-1层-116</t>
  </si>
  <si>
    <t>15-116</t>
  </si>
  <si>
    <t>110108102001GB00541F
00290020</t>
  </si>
  <si>
    <t>海淀区南辛庄路8号院15号楼-1层-117</t>
  </si>
  <si>
    <t>15-117</t>
  </si>
  <si>
    <t>110108102001GB00541F
00290021</t>
  </si>
  <si>
    <t>海淀区南辛庄路8号院15号楼-1层-118</t>
  </si>
  <si>
    <t>15-118</t>
  </si>
  <si>
    <t>110108102001GB00541F
00290022</t>
  </si>
  <si>
    <t>海淀区南辛庄路8号院15号楼-2层-201</t>
  </si>
  <si>
    <t>15-201</t>
  </si>
  <si>
    <t>110108102001GB00541F
00290001</t>
  </si>
  <si>
    <t>海淀区南辛庄路8号院15号楼-2层-202</t>
  </si>
  <si>
    <t>15-202</t>
  </si>
  <si>
    <t>110108102001GB00541F
00290002</t>
  </si>
  <si>
    <t>海淀区南辛庄路8号院15号楼-2层-203</t>
  </si>
  <si>
    <t>15-203</t>
  </si>
  <si>
    <t>110108102001GB00541F
00290003</t>
  </si>
  <si>
    <t>海淀区南辛庄路8号院15号楼-2层-204</t>
  </si>
  <si>
    <t>15-204</t>
  </si>
  <si>
    <t>110108102001GB00541F
00290004</t>
  </si>
  <si>
    <t>海淀区南辛庄路8号院16号楼1层二单元101</t>
  </si>
  <si>
    <t>16-2-101</t>
  </si>
  <si>
    <t>110108102001GB00541F
00100085</t>
  </si>
  <si>
    <t>海淀区南辛庄路8号院16号楼1层三单元101</t>
  </si>
  <si>
    <t>16-3-101</t>
  </si>
  <si>
    <t>110108102001GB00541F
00100087</t>
  </si>
  <si>
    <t>海淀区南辛庄路8号院16号楼1层三单元102</t>
  </si>
  <si>
    <t>16-3-102</t>
  </si>
  <si>
    <t>110108102001GB00541F
00100088</t>
  </si>
  <si>
    <t>16-3-202</t>
  </si>
  <si>
    <t>110108102001GB00541F
00100094</t>
  </si>
  <si>
    <t>海淀区南辛庄路8号院16号楼-1层-109</t>
  </si>
  <si>
    <t>16-109</t>
  </si>
  <si>
    <t>110108102001GB00541F
00100062</t>
  </si>
  <si>
    <t>海淀区南辛庄路8号院16号楼-1层-110</t>
  </si>
  <si>
    <t>16-110</t>
  </si>
  <si>
    <t>110108102001GB00541F
00100063</t>
  </si>
  <si>
    <t>海淀区南辛庄路8号院16号楼-1层-111</t>
  </si>
  <si>
    <t>16-111</t>
  </si>
  <si>
    <t>110108102001GB00541F
00100064</t>
  </si>
  <si>
    <t>海淀区南辛庄路8号院16号楼-1层-115</t>
  </si>
  <si>
    <t>16-115</t>
  </si>
  <si>
    <t>110108102001GB00541F
00100068</t>
  </si>
  <si>
    <t>海淀区南辛庄路8号院16号楼-1层-116</t>
  </si>
  <si>
    <t>16-116</t>
  </si>
  <si>
    <t>110108102001GB00541F
00100069</t>
  </si>
  <si>
    <t>海淀区南辛庄路8号院16号楼-1层-117</t>
  </si>
  <si>
    <t>16-117</t>
  </si>
  <si>
    <t>110108102001GB00541F
00100070</t>
  </si>
  <si>
    <t>海淀区南辛庄路8号院16号楼-1层-118</t>
  </si>
  <si>
    <t>16-118</t>
  </si>
  <si>
    <t>110108102001GB00541F
00100071</t>
  </si>
  <si>
    <t>海淀区南辛庄路8号院16号楼-1层-119</t>
  </si>
  <si>
    <t>16-119</t>
  </si>
  <si>
    <t>110108102001GB00541F
00100072</t>
  </si>
  <si>
    <t>海淀区南辛庄路8号院16号楼-1层-120</t>
  </si>
  <si>
    <t>16-120</t>
  </si>
  <si>
    <t>110108102001GB00541F
00100073</t>
  </si>
  <si>
    <t>海淀区南辛庄路8号院16号楼-1层-121</t>
  </si>
  <si>
    <t>16-121</t>
  </si>
  <si>
    <t>110108102001GB00541F
00100074</t>
  </si>
  <si>
    <t>海淀区南辛庄路8号院16号楼-1层-122</t>
  </si>
  <si>
    <t>16-122</t>
  </si>
  <si>
    <t>110108102001GB00541F
00100075</t>
  </si>
  <si>
    <t>海淀区南辛庄路8号院16号楼-1层-123</t>
  </si>
  <si>
    <t>16-123</t>
  </si>
  <si>
    <t>110108102001GB00541F
00100076</t>
  </si>
  <si>
    <t>海淀区南辛庄路8号院16号楼-1层-125</t>
  </si>
  <si>
    <t>16-125</t>
  </si>
  <si>
    <t>110108102001GB00541F
00100078</t>
  </si>
  <si>
    <t>海淀区南辛庄路8号院16号楼-1层-126</t>
  </si>
  <si>
    <t>16-126</t>
  </si>
  <si>
    <t>110108102001GB00541F
00100079</t>
  </si>
  <si>
    <t>海淀区南辛庄路8号院16号楼-1层-127</t>
  </si>
  <si>
    <t>16-127</t>
  </si>
  <si>
    <t>110108102001GB00541F
00100080</t>
  </si>
  <si>
    <t>海淀区南辛庄路8号院16号楼-1层-128</t>
  </si>
  <si>
    <t>16-128</t>
  </si>
  <si>
    <t>110108102001GB00541F
00100081</t>
  </si>
  <si>
    <t>海淀区南辛庄路8号院16号楼-1层-130</t>
  </si>
  <si>
    <t>16-130</t>
  </si>
  <si>
    <t>110108102001GB00541F
00100083</t>
  </si>
  <si>
    <t>海淀区南辛庄路8号院16号楼-2层-203</t>
  </si>
  <si>
    <t>16-203</t>
  </si>
  <si>
    <t>110108102001GB00541F
00100043</t>
  </si>
  <si>
    <t>海淀区南辛庄路8号院16号楼-2层-211</t>
  </si>
  <si>
    <t>16-211</t>
  </si>
  <si>
    <t>110108102001GB00541F
00100051</t>
  </si>
  <si>
    <t>海淀区南辛庄路8号院16号楼-2层-212</t>
  </si>
  <si>
    <t>16-212</t>
  </si>
  <si>
    <t>110108102001GB00541F
00100052</t>
  </si>
  <si>
    <t>海淀区南辛庄路8号院16号楼-2层-213</t>
  </si>
  <si>
    <t>16-213</t>
  </si>
  <si>
    <t>110108102001GB00541F
00100053</t>
  </si>
  <si>
    <t>海淀区南辛庄路8号院17号楼1层一单元102</t>
  </si>
  <si>
    <t>17-1-102</t>
  </si>
  <si>
    <t>110108102001GB00541F
00090096</t>
  </si>
  <si>
    <t>17-1-202</t>
  </si>
  <si>
    <t>110108102001GB00541F
00090100</t>
  </si>
  <si>
    <t>海淀区南辛庄路8号院17号楼1层二单元101</t>
  </si>
  <si>
    <t>17-2-101</t>
  </si>
  <si>
    <t>110108102001GB00541F
00090093</t>
  </si>
  <si>
    <t>17-2-201</t>
  </si>
  <si>
    <t>110108102001GB00541F
00090097</t>
  </si>
  <si>
    <t>海淀区南辛庄路8号院17号楼-1层-106</t>
  </si>
  <si>
    <t>17-106</t>
  </si>
  <si>
    <t>110108102001GB00541F
00090078</t>
  </si>
  <si>
    <t>海淀区南辛庄路8号院17号楼-1层-107</t>
  </si>
  <si>
    <t>17-107</t>
  </si>
  <si>
    <t>110108102001GB00541F
00090079</t>
  </si>
  <si>
    <t>海淀区南辛庄路8号院17号楼-1层-108</t>
  </si>
  <si>
    <t>17-108</t>
  </si>
  <si>
    <t>110108102001GB00541F
00090080</t>
  </si>
  <si>
    <t>海淀区南辛庄路8号院17号楼-1层-109</t>
  </si>
  <si>
    <t>17-109</t>
  </si>
  <si>
    <t>110108102001GB00541F
00090081</t>
  </si>
  <si>
    <t>海淀区南辛庄路8号院17号楼-1层-110</t>
  </si>
  <si>
    <t>17-110</t>
  </si>
  <si>
    <t>110108102001GB00541F
00090082</t>
  </si>
  <si>
    <t>海淀区南辛庄路8号院17号楼-1层-111</t>
  </si>
  <si>
    <t>17-111</t>
  </si>
  <si>
    <t>110108102001GB00541F
00090083</t>
  </si>
  <si>
    <t>海淀区南辛庄路8号院17号楼-1层-112</t>
  </si>
  <si>
    <t>17-112</t>
  </si>
  <si>
    <t>110108102001GB00541F
00090084</t>
  </si>
  <si>
    <t>海淀区南辛庄路8号院17号楼-1层-113</t>
  </si>
  <si>
    <t>17-113</t>
  </si>
  <si>
    <t>110108102001GB00541F
00090085</t>
  </si>
  <si>
    <t>海淀区南辛庄路8号院17号楼-1层-120</t>
  </si>
  <si>
    <t>17-120</t>
  </si>
  <si>
    <t>110108102001GB00541F
00090092</t>
  </si>
  <si>
    <t>海淀区南辛庄路8号院17号楼-2层-202</t>
  </si>
  <si>
    <t>17-202</t>
  </si>
  <si>
    <t>110108102001GB00541F
00090070</t>
  </si>
  <si>
    <t>海淀区南辛庄路8号院17号楼-2层-203</t>
  </si>
  <si>
    <t>17-203</t>
  </si>
  <si>
    <t>110108102001GB00541F
00090071</t>
  </si>
  <si>
    <t>海淀区南辛庄路8号院18号楼1层二单元101</t>
  </si>
  <si>
    <t>18-2-101</t>
  </si>
  <si>
    <t>110108102001GB00541F
00310023</t>
  </si>
  <si>
    <t>18-2-202</t>
  </si>
  <si>
    <t>110108102001GB00541F
00310028</t>
  </si>
  <si>
    <t>海淀区南辛庄路8号院18号楼3层二单元302</t>
  </si>
  <si>
    <t>18-2-302</t>
  </si>
  <si>
    <t>110108102001GB00541F
00310032</t>
  </si>
  <si>
    <t>海淀区南辛庄路8号院18号楼-1层-109</t>
  </si>
  <si>
    <t>18-109</t>
  </si>
  <si>
    <t>110108102001GB00541F
00310013</t>
  </si>
  <si>
    <t>海淀区南辛庄路8号院18号楼-1层-110</t>
  </si>
  <si>
    <t>18-110</t>
  </si>
  <si>
    <t>110108102001GB00541F
00310014</t>
  </si>
  <si>
    <t>海淀区南辛庄路8号院18号楼-1层-111</t>
  </si>
  <si>
    <t>18-111</t>
  </si>
  <si>
    <t>110108102001GB00541F
00310015</t>
  </si>
  <si>
    <t>海淀区南辛庄路8号院18号楼-2层-203</t>
  </si>
  <si>
    <t>18-203</t>
  </si>
  <si>
    <t>110108102001GB00541F
00310003</t>
  </si>
  <si>
    <t>海淀区南辛庄路8号院19号楼1层一单元101</t>
  </si>
  <si>
    <t>19-1-101</t>
  </si>
  <si>
    <t>110108102001GB00541F
00080067</t>
  </si>
  <si>
    <t>海淀区南辛庄路8号院19号楼1层一单元102</t>
  </si>
  <si>
    <t>19-1-102</t>
  </si>
  <si>
    <t>110108102001GB00541F
00080068</t>
  </si>
  <si>
    <t>19-1-201</t>
  </si>
  <si>
    <t>110108102001GB00541F
00080071</t>
  </si>
  <si>
    <t>19-1-202</t>
  </si>
  <si>
    <t>110108102001GB00541F
00080072</t>
  </si>
  <si>
    <t>海淀区南辛庄路8号院19号楼3层一单元301</t>
  </si>
  <si>
    <t>19-1-301</t>
  </si>
  <si>
    <t>110108102001GB00541F
00080075</t>
  </si>
  <si>
    <t>海淀区南辛庄路8号院19号楼3层一单元302</t>
  </si>
  <si>
    <t>19-1-302</t>
  </si>
  <si>
    <t>110108102001GB00541F
00080076</t>
  </si>
  <si>
    <t>19-2-201</t>
  </si>
  <si>
    <t>110108102001GB00541F
00080069</t>
  </si>
  <si>
    <t>海淀区南辛庄路8号院19号楼-1层-101</t>
  </si>
  <si>
    <t>19-101</t>
  </si>
  <si>
    <t>110108102001GB00541F
00080045</t>
  </si>
  <si>
    <t>海淀区南辛庄路8号院19号楼-1层-102</t>
  </si>
  <si>
    <t>19-102</t>
  </si>
  <si>
    <t>110108102001GB00541F
00080046</t>
  </si>
  <si>
    <t>海淀区南辛庄路8号院19号楼-1层-103</t>
  </si>
  <si>
    <t>19-103</t>
  </si>
  <si>
    <t>110108102001GB00541F
00080047</t>
  </si>
  <si>
    <t>海淀区南辛庄路8号院19号楼-1层-104</t>
  </si>
  <si>
    <t>19-104</t>
  </si>
  <si>
    <t>110108102001GB00541F
00080048</t>
  </si>
  <si>
    <t>海淀区南辛庄路8号院19号楼-1层-105</t>
  </si>
  <si>
    <t>19-105</t>
  </si>
  <si>
    <t>110108102001GB00541F
00080049</t>
  </si>
  <si>
    <t>海淀区南辛庄路8号院19号楼-1层-106</t>
  </si>
  <si>
    <t>19-106</t>
  </si>
  <si>
    <t>110108102001GB00541F
00080050</t>
  </si>
  <si>
    <t>海淀区南辛庄路8号院19号楼-1层-107</t>
  </si>
  <si>
    <t>19-107</t>
  </si>
  <si>
    <t>110108102001GB00541F
00080051</t>
  </si>
  <si>
    <t>海淀区南辛庄路8号院19号楼-1层-108</t>
  </si>
  <si>
    <t>19-108</t>
  </si>
  <si>
    <t>110108102001GB00541F
00080052</t>
  </si>
  <si>
    <t>海淀区南辛庄路8号院19号楼-1层-109</t>
  </si>
  <si>
    <t>19-109</t>
  </si>
  <si>
    <t>110108102001GB00541F
00080053</t>
  </si>
  <si>
    <t>海淀区南辛庄路8号院19号楼-1层-120</t>
  </si>
  <si>
    <t>19-120</t>
  </si>
  <si>
    <t>110108102001GB00541F
00080064</t>
  </si>
  <si>
    <t>海淀区南辛庄路8号院19号楼-2层-201</t>
  </si>
  <si>
    <t>19-201</t>
  </si>
  <si>
    <t>110108102001GB00541F
00080041</t>
  </si>
  <si>
    <t>海淀区南辛庄路8号院19号楼-2层-202</t>
  </si>
  <si>
    <t>19-202</t>
  </si>
  <si>
    <t>110108102001GB00541F
00080042</t>
  </si>
  <si>
    <t>海淀区南辛庄路8号院21号楼1层一单元102</t>
  </si>
  <si>
    <t>21-1-102</t>
  </si>
  <si>
    <t>110108102001GB00541F
00060108</t>
  </si>
  <si>
    <t>海淀区南辛庄路8号院21号楼3层一单元302</t>
  </si>
  <si>
    <t>21-1-302</t>
  </si>
  <si>
    <t>110108102001GB00541F
00060120</t>
  </si>
  <si>
    <t>海淀区南辛庄路8号院21号楼4层一单元402</t>
  </si>
  <si>
    <t>21-1-402</t>
  </si>
  <si>
    <t>110108102001GB00541F
00060126</t>
  </si>
  <si>
    <t>海淀区南辛庄路8号院21号楼1层二单元101</t>
  </si>
  <si>
    <t>21-2-101</t>
  </si>
  <si>
    <t>110108102001GB00541F
00060103</t>
  </si>
  <si>
    <t>21-2-201</t>
  </si>
  <si>
    <t>110108102001GB00541F
00060109</t>
  </si>
  <si>
    <t>海淀区南辛庄路8号院21号楼3层二单元301</t>
  </si>
  <si>
    <t>21-2-301</t>
  </si>
  <si>
    <t>110108102001GB00541F
00060115</t>
  </si>
  <si>
    <t>海淀区南辛庄路8号院21号楼3层二单元302</t>
  </si>
  <si>
    <t>21-2-302</t>
  </si>
  <si>
    <t>110108102001GB00541F
00060116</t>
  </si>
  <si>
    <t>海淀区南辛庄路8号院21号楼-1层-106</t>
  </si>
  <si>
    <t>21-106</t>
  </si>
  <si>
    <t>110108102001GB00541F
00060081</t>
  </si>
  <si>
    <t>海淀区南辛庄路8号院21号楼-1层-107</t>
  </si>
  <si>
    <t>21-107</t>
  </si>
  <si>
    <t>110108102001GB00541F
00060082</t>
  </si>
  <si>
    <t>海淀区南辛庄路8号院21号楼-1层-108</t>
  </si>
  <si>
    <t>21-108</t>
  </si>
  <si>
    <t>110108102001GB00541F
00060083</t>
  </si>
  <si>
    <t>海淀区南辛庄路8号院21号楼-1层-109</t>
  </si>
  <si>
    <t>21-109</t>
  </si>
  <si>
    <t>110108102001GB00541F
00060084</t>
  </si>
  <si>
    <t>海淀区南辛庄路8号院21号楼-1层-110</t>
  </si>
  <si>
    <t>21-110</t>
  </si>
  <si>
    <t>110108102001GB00541F
00060085</t>
  </si>
  <si>
    <t>海淀区南辛庄路8号院21号楼-1层-111</t>
  </si>
  <si>
    <t>21-111</t>
  </si>
  <si>
    <t>110108102001GB00541F
00060086</t>
  </si>
  <si>
    <t>海淀区南辛庄路8号院21号楼-1层-123</t>
  </si>
  <si>
    <t>21-123</t>
  </si>
  <si>
    <t>110108102001GB00541F
00060098</t>
  </si>
  <si>
    <t>海淀区南辛庄路8号院21号楼-1层-126</t>
  </si>
  <si>
    <t>21-126</t>
  </si>
  <si>
    <t>110108102001GB00541F
00060101</t>
  </si>
  <si>
    <t>海淀区南辛庄路8号院21号楼-1层-127</t>
  </si>
  <si>
    <t>21-127</t>
  </si>
  <si>
    <t>110108102001GB00541F
00060102</t>
  </si>
  <si>
    <t>海淀区南辛庄路8号院21号楼-2层-202</t>
  </si>
  <si>
    <t>21-202</t>
  </si>
  <si>
    <t>110108102001GB00541F
00060060</t>
  </si>
  <si>
    <t>海淀区南辛庄路8号院21号楼-2层-203</t>
  </si>
  <si>
    <t>21-203</t>
  </si>
  <si>
    <t>110108102001GB00541F
00060061</t>
  </si>
  <si>
    <t>海淀区南辛庄路8号院21号楼-2层-204</t>
  </si>
  <si>
    <t>21-204</t>
  </si>
  <si>
    <t>110108102001GB00541F
00060062</t>
  </si>
  <si>
    <t>海淀区南辛庄路8号院21号楼-2层-205</t>
  </si>
  <si>
    <t>21-205</t>
  </si>
  <si>
    <t>110108102001GB00541F
00060063</t>
  </si>
  <si>
    <t>海淀区南辛庄路8号院21号楼-2层-206</t>
  </si>
  <si>
    <t>21-206</t>
  </si>
  <si>
    <t>110108102001GB00541F
00060064</t>
  </si>
  <si>
    <t>海淀区南辛庄路8号院21号楼-2层-207</t>
  </si>
  <si>
    <t>21-207</t>
  </si>
  <si>
    <t>110108102001GB00541F
00060065</t>
  </si>
  <si>
    <t>海淀区南辛庄路8号院21号楼-2层-209</t>
  </si>
  <si>
    <t>21-209</t>
  </si>
  <si>
    <t>110108102001GB00541F
00060067</t>
  </si>
  <si>
    <t>海淀区南辛庄路8号院21号楼-2层-213</t>
  </si>
  <si>
    <t>21-213</t>
  </si>
  <si>
    <t>110108102001GB00541F
00060071</t>
  </si>
  <si>
    <t>海淀区南辛庄路8号院21号楼-2层-214</t>
  </si>
  <si>
    <t>21-214</t>
  </si>
  <si>
    <t>110108102001GB00541F
00060072</t>
  </si>
  <si>
    <t>海淀区南辛庄路8号院22号楼1层一单元102</t>
  </si>
  <si>
    <t>22-1-102</t>
  </si>
  <si>
    <t>110108102001GB00541F
00050081</t>
  </si>
  <si>
    <t>海淀区南辛庄路8号院22号楼3层一单元302</t>
  </si>
  <si>
    <t>22-1-302</t>
  </si>
  <si>
    <t>110108102001GB00541F
00050093</t>
  </si>
  <si>
    <t>海淀区南辛庄路8号院22号楼1层二单元101</t>
  </si>
  <si>
    <t>22-2-101</t>
  </si>
  <si>
    <t>110108102001GB00541F
00050076</t>
  </si>
  <si>
    <t>海淀区南辛庄路8号院22号楼1层三单元101</t>
  </si>
  <si>
    <t>22-3-101</t>
  </si>
  <si>
    <t>110108102001GB00541F
00050078</t>
  </si>
  <si>
    <t>22-3-202</t>
  </si>
  <si>
    <t>110108102001GB00541F
00050085</t>
  </si>
  <si>
    <t>海淀区南辛庄路8号院22号楼3层三单元301</t>
  </si>
  <si>
    <t>22-3-301</t>
  </si>
  <si>
    <t>110108102001GB00541F
00050090</t>
  </si>
  <si>
    <t>海淀区南辛庄路8号院22号楼-1层-106</t>
  </si>
  <si>
    <t>22-106</t>
  </si>
  <si>
    <t>110108102001GB00541F
00050054</t>
  </si>
  <si>
    <t>海淀区南辛庄路8号院22号楼-1层-107</t>
  </si>
  <si>
    <t>22-107</t>
  </si>
  <si>
    <t>110108102001GB00541F
00050055</t>
  </si>
  <si>
    <t>海淀区南辛庄路8号院22号楼-1层-108</t>
  </si>
  <si>
    <t>22-108</t>
  </si>
  <si>
    <t>110108102001GB00541F
00050056</t>
  </si>
  <si>
    <t>海淀区南辛庄路8号院22号楼-1层-109</t>
  </si>
  <si>
    <t>22-109</t>
  </si>
  <si>
    <t>110108102001GB00541F
00050057</t>
  </si>
  <si>
    <t>海淀区南辛庄路8号院22号楼-1层-110</t>
  </si>
  <si>
    <t>22-110</t>
  </si>
  <si>
    <t>110108102001GB00541F
00050058</t>
  </si>
  <si>
    <t>海淀区南辛庄路8号院22号楼-1层-111</t>
  </si>
  <si>
    <t>22-111</t>
  </si>
  <si>
    <t>110108102001GB00541F
00050059</t>
  </si>
  <si>
    <t>海淀区南辛庄路8号院22号楼-1层-115</t>
  </si>
  <si>
    <t>22-115</t>
  </si>
  <si>
    <t>110108102001GB00541F
00050063</t>
  </si>
  <si>
    <t>海淀区南辛庄路8号院22号楼-1层-116</t>
  </si>
  <si>
    <t>22-116</t>
  </si>
  <si>
    <t>110108102001GB00541F
00050064</t>
  </si>
  <si>
    <t>海淀区南辛庄路8号院22号楼-1层-117</t>
  </si>
  <si>
    <t>22-117</t>
  </si>
  <si>
    <t>110108102001GB00541F
00050065</t>
  </si>
  <si>
    <t>海淀区南辛庄路8号院22号楼-1层-118</t>
  </si>
  <si>
    <t>22-118</t>
  </si>
  <si>
    <t>110108102001GB00541F
00050066</t>
  </si>
  <si>
    <t>海淀区南辛庄路8号院22号楼-1层-119</t>
  </si>
  <si>
    <t>22-119</t>
  </si>
  <si>
    <t>110108102001GB00541F
00050067</t>
  </si>
  <si>
    <t>海淀区南辛庄路8号院22号楼-1层-120</t>
  </si>
  <si>
    <t>22-120</t>
  </si>
  <si>
    <t>110108102001GB00541F
00050068</t>
  </si>
  <si>
    <t>海淀区南辛庄路8号院22号楼-1层-121</t>
  </si>
  <si>
    <t>22-121</t>
  </si>
  <si>
    <t>110108102001GB00541F
00050069</t>
  </si>
  <si>
    <t>海淀区南辛庄路8号院22号楼-1层-122</t>
  </si>
  <si>
    <t>22-122</t>
  </si>
  <si>
    <t>110108102001GB00541F
00050070</t>
  </si>
  <si>
    <t>海淀区南辛庄路8号院22号楼-1层-123</t>
  </si>
  <si>
    <t>22-123</t>
  </si>
  <si>
    <t>110108102001GB00541F
00050071</t>
  </si>
  <si>
    <t>海淀区南辛庄路8号院22号楼-1层-124</t>
  </si>
  <si>
    <t>22-124</t>
  </si>
  <si>
    <t>110108102001GB00541F
00050072</t>
  </si>
  <si>
    <t>海淀区南辛庄路8号院22号楼-1层-125</t>
  </si>
  <si>
    <t>22-125</t>
  </si>
  <si>
    <t>110108102001GB00541F
00050073</t>
  </si>
  <si>
    <t>海淀区南辛庄路8号院22号楼-1层-126</t>
  </si>
  <si>
    <t>22-126</t>
  </si>
  <si>
    <t>110108102001GB00541F
00050074</t>
  </si>
  <si>
    <t>海淀区南辛庄路8号院22号楼-1层-127</t>
  </si>
  <si>
    <t>22-127</t>
  </si>
  <si>
    <t>110108102001GB00541F
00050075</t>
  </si>
  <si>
    <t>海淀区南辛庄路8号院22号楼-2层-202</t>
  </si>
  <si>
    <t>22-202</t>
  </si>
  <si>
    <t>110108102001GB00541F
00050042</t>
  </si>
  <si>
    <t>海淀区南辛庄路8号院22号楼-2层-203</t>
  </si>
  <si>
    <t>22-203</t>
  </si>
  <si>
    <t>110108102001GB00541F
00050043</t>
  </si>
  <si>
    <t>海淀区南辛庄路8号院22号楼-2层-205</t>
  </si>
  <si>
    <t>22-205</t>
  </si>
  <si>
    <t>110108102001GB00541F
00050045</t>
  </si>
  <si>
    <t>海淀区南辛庄路8号院22号楼-2层-206</t>
  </si>
  <si>
    <t>22-206</t>
  </si>
  <si>
    <t>110108102001GB00541F
00050046</t>
  </si>
  <si>
    <t>海淀区南辛庄路8号院22号楼-2层-207</t>
  </si>
  <si>
    <t>22-207</t>
  </si>
  <si>
    <t>110108102001GB00541F
00050047</t>
  </si>
  <si>
    <t>海淀区南辛庄路8号院24号楼1层一单元101</t>
  </si>
  <si>
    <t>24-1-101</t>
  </si>
  <si>
    <t>110108102001GB00541F
00040116</t>
  </si>
  <si>
    <t>海淀区南辛庄路8号院24号楼1层一单元102</t>
  </si>
  <si>
    <t>24-1-102</t>
  </si>
  <si>
    <t>110108102001GB00541F
00040117</t>
  </si>
  <si>
    <t>海淀区南辛庄路8号院24号楼1层二单元101</t>
  </si>
  <si>
    <t>24-2-101</t>
  </si>
  <si>
    <t>110108102001GB00541F
00040112</t>
  </si>
  <si>
    <t>海淀区南辛庄路8号院24号楼1层二单元102</t>
  </si>
  <si>
    <t>24-2-102</t>
  </si>
  <si>
    <t>110108102001GB00541F
00040113</t>
  </si>
  <si>
    <t>海淀区南辛庄路8号院24号楼-1层-101</t>
  </si>
  <si>
    <t>24-101</t>
  </si>
  <si>
    <t>110108102001GB00541F
00040085</t>
  </si>
  <si>
    <t>海淀区南辛庄路8号院24号楼-1层-102</t>
  </si>
  <si>
    <t>24-102</t>
  </si>
  <si>
    <t>110108102001GB00541F
00040086</t>
  </si>
  <si>
    <t>海淀区南辛庄路8号院24号楼-1层-103</t>
  </si>
  <si>
    <t>24-103</t>
  </si>
  <si>
    <t>110108102001GB00541F
00040087</t>
  </si>
  <si>
    <t>海淀区南辛庄路8号院24号楼-1层-104</t>
  </si>
  <si>
    <t>24-104</t>
  </si>
  <si>
    <t>110108102001GB00541F
00040088</t>
  </si>
  <si>
    <t>海淀区南辛庄路8号院24号楼-1层-105</t>
  </si>
  <si>
    <t>24-105</t>
  </si>
  <si>
    <t>110108102001GB00541F
00040089</t>
  </si>
  <si>
    <t>海淀区南辛庄路8号院24号楼-1层-106</t>
  </si>
  <si>
    <t>24-106</t>
  </si>
  <si>
    <t>110108102001GB00541F
00040090</t>
  </si>
  <si>
    <t>海淀区南辛庄路8号院24号楼-1层-107</t>
  </si>
  <si>
    <t>24-107</t>
  </si>
  <si>
    <t>110108102001GB00541F
00040091</t>
  </si>
  <si>
    <t>海淀区南辛庄路8号院24号楼-1层-108</t>
  </si>
  <si>
    <t>24-108</t>
  </si>
  <si>
    <t>110108102001GB00541F
00040092</t>
  </si>
  <si>
    <t>海淀区南辛庄路8号院24号楼-1层-109</t>
  </si>
  <si>
    <t>24-109</t>
  </si>
  <si>
    <t>110108102001GB00541F
00040093</t>
  </si>
  <si>
    <t>海淀区南辛庄路8号院24号楼-1层-110</t>
  </si>
  <si>
    <t>24-110</t>
  </si>
  <si>
    <t>110108102001GB00541F
00040094</t>
  </si>
  <si>
    <t>海淀区南辛庄路8号院24号楼-1层-111</t>
  </si>
  <si>
    <t>24-111</t>
  </si>
  <si>
    <t>110108102001GB00541F
00040095</t>
  </si>
  <si>
    <t>海淀区南辛庄路8号院24号楼-1层-112</t>
  </si>
  <si>
    <t>24-112</t>
  </si>
  <si>
    <t>110108102001GB00541F
00040096</t>
  </si>
  <si>
    <t>海淀区南辛庄路8号院24号楼-1层-113</t>
  </si>
  <si>
    <t>24-113</t>
  </si>
  <si>
    <t>110108102001GB00541F
00040097</t>
  </si>
  <si>
    <t>海淀区南辛庄路8号院24号楼-1层-114</t>
  </si>
  <si>
    <t>24-114</t>
  </si>
  <si>
    <t>110108102001GB00541F
00040098</t>
  </si>
  <si>
    <t>海淀区南辛庄路8号院24号楼-1层-124</t>
  </si>
  <si>
    <t>24-124</t>
  </si>
  <si>
    <t>110108102001GB00541F
00040108</t>
  </si>
  <si>
    <t>海淀区南辛庄路8号院24号楼-1层-125</t>
  </si>
  <si>
    <t>24-125</t>
  </si>
  <si>
    <t>110108102001GB00541F
00040109</t>
  </si>
  <si>
    <t>海淀区南辛庄路8号院24号楼-1层-126</t>
  </si>
  <si>
    <t>24-126</t>
  </si>
  <si>
    <t>110108102001GB00541F
00040110</t>
  </si>
  <si>
    <t>海淀区南辛庄路8号院24号楼-2层-201</t>
  </si>
  <si>
    <t>24-201</t>
  </si>
  <si>
    <t>110108102001GB00541F
00040069</t>
  </si>
  <si>
    <t>海淀区南辛庄路8号院24号楼-2层-202</t>
  </si>
  <si>
    <t>24-202</t>
  </si>
  <si>
    <t>110108102001GB00541F
00040070</t>
  </si>
  <si>
    <t>海淀区南辛庄路8号院24号楼-2层-203</t>
  </si>
  <si>
    <t>24-203</t>
  </si>
  <si>
    <t>110108102001GB00541F
00040071</t>
  </si>
  <si>
    <t>海淀区南辛庄路8号院24号楼-2层-208</t>
  </si>
  <si>
    <t>24-208</t>
  </si>
  <si>
    <t>110108102001GB00541F
00040076</t>
  </si>
  <si>
    <t>海淀区南辛庄路8号院24号楼-2层-209</t>
  </si>
  <si>
    <t>24-209</t>
  </si>
  <si>
    <t>110108102001GB00541F
00040077</t>
  </si>
  <si>
    <t>海淀区南辛庄路8号院24号楼-2层-213</t>
  </si>
  <si>
    <t>24-213</t>
  </si>
  <si>
    <t>110108102001GB00541F
00040081</t>
  </si>
  <si>
    <t>海淀区南辛庄路8号院24号楼-2层-216</t>
  </si>
  <si>
    <t>24-216</t>
  </si>
  <si>
    <t>110108102001GB00541F
00040084</t>
  </si>
  <si>
    <t>海淀区南辛庄路8号院23号楼1层一单元101</t>
  </si>
  <si>
    <t>23-1-101</t>
  </si>
  <si>
    <t>110108102001GB00541F
00330044</t>
  </si>
  <si>
    <t>海淀区南辛庄路8号院23号楼-1层-101</t>
  </si>
  <si>
    <t>23-101</t>
  </si>
  <si>
    <t>110108102001GB00541F
00330013</t>
  </si>
  <si>
    <t>海淀区南辛庄路8号院23号楼-1层-102</t>
  </si>
  <si>
    <t>23-102</t>
  </si>
  <si>
    <t>110108102001GB00541F
00330014</t>
  </si>
  <si>
    <t>海淀区南辛庄路8号院23号楼-1层-103</t>
  </si>
  <si>
    <t>23-103</t>
  </si>
  <si>
    <t>110108102001GB00541F
00330015</t>
  </si>
  <si>
    <t>海淀区南辛庄路8号院23号楼-1层-104</t>
  </si>
  <si>
    <t>23-104</t>
  </si>
  <si>
    <t>110108102001GB00541F
00330016</t>
  </si>
  <si>
    <t>海淀区南辛庄路8号院23号楼-1层-105</t>
  </si>
  <si>
    <t>23-105</t>
  </si>
  <si>
    <t>110108102001GB00541F
00330017</t>
  </si>
  <si>
    <t>海淀区南辛庄路8号院23号楼-1层-126</t>
  </si>
  <si>
    <t>23-126</t>
  </si>
  <si>
    <t>110108102001GB00541F
00330038</t>
  </si>
  <si>
    <t>海淀区南辛庄路8号院23号楼-2层-201</t>
  </si>
  <si>
    <t>23-201</t>
  </si>
  <si>
    <t>110108102001GB00541F
00330001</t>
  </si>
  <si>
    <t>海淀区南辛庄路8号院23号楼-2层-202</t>
  </si>
  <si>
    <t>23-202</t>
  </si>
  <si>
    <t>110108102001GB00541F
00330002</t>
  </si>
  <si>
    <t>海淀区南辛庄路8号院23号楼-2层-203</t>
  </si>
  <si>
    <t>23-203</t>
  </si>
  <si>
    <t>110108102001GB00541F
00330003</t>
  </si>
  <si>
    <t>权属证书编号：京（2025）海不动产权第0039010号</t>
  </si>
  <si>
    <t>住宅</t>
    <phoneticPr fontId="3" type="noConversion"/>
  </si>
  <si>
    <t>地下仓储</t>
  </si>
  <si>
    <t>地下仓储</t>
    <phoneticPr fontId="3" type="noConversion"/>
  </si>
  <si>
    <t>是</t>
  </si>
  <si>
    <t>地上</t>
  </si>
  <si>
    <t>地下</t>
  </si>
  <si>
    <t>北京市海淀区树村资金平衡用地统筹项目HD00-0705-0035-1地块R2二类居住用地</t>
  </si>
  <si>
    <t>北京市海淀区东升镇北部片区朱房四街棚户区改造项目二期(剩余用地)HD00-0803-0029地块R2二类居住用地</t>
  </si>
  <si>
    <t>北京市海淀区东升镇北部片区朱房四街棚户区改造项目二期(剩余用地)HD00-0803-0030地块R2二类居住用地</t>
  </si>
  <si>
    <t>正常</t>
  </si>
  <si>
    <t>无</t>
  </si>
  <si>
    <t>较好</t>
  </si>
  <si>
    <t>七通</t>
  </si>
  <si>
    <t>规则</t>
  </si>
  <si>
    <t>六通</t>
  </si>
  <si>
    <t>一般</t>
  </si>
  <si>
    <t>成新度</t>
  </si>
  <si>
    <t>收益法-住宅</t>
  </si>
  <si>
    <t>限价</t>
  </si>
  <si>
    <t>较不规则</t>
  </si>
  <si>
    <t>较规则</t>
  </si>
  <si>
    <t>不规则</t>
  </si>
  <si>
    <t>五通</t>
  </si>
  <si>
    <t>未包含在土地购买价格中</t>
  </si>
  <si>
    <t>已包含在土地取得成本中</t>
  </si>
  <si>
    <t>成本法-住宅</t>
  </si>
  <si>
    <t>成本法-地下仓储</t>
  </si>
  <si>
    <t>成本法-地下仓储</t>
    <phoneticPr fontId="16" type="noConversion"/>
  </si>
  <si>
    <t>比较法-住宅</t>
  </si>
  <si>
    <t>现房</t>
  </si>
  <si>
    <t>项目局部</t>
  </si>
  <si>
    <t>项目全部</t>
  </si>
  <si>
    <t>单套模式</t>
  </si>
  <si>
    <t>售价</t>
  </si>
  <si>
    <t>项目模式</t>
  </si>
  <si>
    <t>香山印</t>
  </si>
  <si>
    <t>和樾望云</t>
  </si>
  <si>
    <t>和樾玉鸣</t>
  </si>
  <si>
    <t>多层</t>
  </si>
  <si>
    <t>高档</t>
  </si>
  <si>
    <t>多层、小高层</t>
  </si>
  <si>
    <t>中高档</t>
  </si>
  <si>
    <t>住宅</t>
    <phoneticPr fontId="24" type="noConversion"/>
  </si>
  <si>
    <t>总价</t>
  </si>
  <si>
    <t>总价</t>
    <phoneticPr fontId="134" type="noConversion"/>
  </si>
  <si>
    <t>住宅合计</t>
    <phoneticPr fontId="134" type="noConversion"/>
  </si>
  <si>
    <t>总面积</t>
    <phoneticPr fontId="134" type="noConversion"/>
  </si>
  <si>
    <t>住宅面积</t>
    <phoneticPr fontId="134" type="noConversion"/>
  </si>
  <si>
    <t>仓储面积</t>
    <phoneticPr fontId="134" type="noConversion"/>
  </si>
  <si>
    <t>比较法-仓储</t>
  </si>
  <si>
    <t>地下仓储</t>
    <phoneticPr fontId="31" type="noConversion"/>
  </si>
  <si>
    <t>建筑形式</t>
  </si>
  <si>
    <t>下跃</t>
  </si>
  <si>
    <t>下跃</t>
    <phoneticPr fontId="31" type="noConversion"/>
  </si>
  <si>
    <t>精装修</t>
    <phoneticPr fontId="31" type="noConversion"/>
  </si>
  <si>
    <t>专业</t>
    <phoneticPr fontId="31" type="noConversion"/>
  </si>
  <si>
    <t>融创香山壹号院</t>
  </si>
  <si>
    <t>西山锦绣府</t>
    <phoneticPr fontId="3" type="noConversion"/>
  </si>
  <si>
    <t>普通仓储</t>
  </si>
  <si>
    <t>普通仓储</t>
    <phoneticPr fontId="31" type="noConversion"/>
  </si>
  <si>
    <t>加权平均</t>
  </si>
  <si>
    <t>住宅1</t>
    <phoneticPr fontId="134" type="noConversion"/>
  </si>
  <si>
    <t>住宅2</t>
    <phoneticPr fontId="134" type="noConversion"/>
  </si>
  <si>
    <t>地下仓储1</t>
    <phoneticPr fontId="134" type="noConversion"/>
  </si>
  <si>
    <t>地下仓储2</t>
    <phoneticPr fontId="134" type="noConversion"/>
  </si>
  <si>
    <t>成本比率</t>
  </si>
  <si>
    <t>权属证书编号</t>
  </si>
  <si>
    <t>海淀区南辛庄路8号院12号楼2层一单元201</t>
  </si>
  <si>
    <t>海淀区南辛庄路8号院12号楼2层一单元202</t>
  </si>
  <si>
    <t>海淀区南辛庄路8号院12号楼2层二单元201</t>
  </si>
  <si>
    <t>海淀区南辛庄路8号院11号楼3层302</t>
  </si>
  <si>
    <t>海淀区南辛庄路8号院14号楼1层102</t>
  </si>
  <si>
    <t>14-1-102</t>
  </si>
  <si>
    <t>海淀区南辛庄路8号院2号楼2层三单元201</t>
  </si>
  <si>
    <t>海淀区南辛庄路8号院2号楼2层三单元202</t>
  </si>
  <si>
    <t>海淀区南辛庄路8号院4号楼2层一单元201</t>
  </si>
  <si>
    <t>海淀区南辛庄路8号院3号楼1层101</t>
  </si>
  <si>
    <t>海淀区南辛庄路8号院3号楼1层102</t>
  </si>
  <si>
    <t>海淀区南辛庄路8号院3号楼2层201</t>
  </si>
  <si>
    <t>海淀区南辛庄路8号院8号楼2层一单元201</t>
  </si>
  <si>
    <t>海淀区南辛庄路8号院8号楼2层一单元202</t>
  </si>
  <si>
    <t>海淀区南辛庄路8号院13号楼2层一单元202</t>
  </si>
  <si>
    <t>海淀区南辛庄路8号院13号楼2层二单元201</t>
  </si>
  <si>
    <t>海淀区南辛庄路8号院13号楼2层二单元202</t>
  </si>
  <si>
    <t>海淀区南辛庄路8号院13号楼2层三单元201</t>
  </si>
  <si>
    <t>海淀区南辛庄路8号院13号楼2层三单元202</t>
  </si>
  <si>
    <t>海淀区南辛庄路8号院15号楼2层一单元201</t>
  </si>
  <si>
    <t>海淀区南辛庄路8号院15号楼2层一单元202</t>
  </si>
  <si>
    <t>海淀区南辛庄路8号院16号楼2层三单元202</t>
  </si>
  <si>
    <t>海淀区南辛庄路8号院17号楼2层一单元202</t>
  </si>
  <si>
    <t>海淀区南辛庄路8号院17号楼2层二单元201</t>
  </si>
  <si>
    <t>海淀区南辛庄路8号院18号楼2层二单元202</t>
  </si>
  <si>
    <t>海淀区南辛庄路8号院19号楼2层一单元201</t>
  </si>
  <si>
    <t>海淀区南辛庄路8号院19号楼2层一单元202</t>
  </si>
  <si>
    <t>海淀区南辛庄路8号院19号楼2层二单元201</t>
  </si>
  <si>
    <t>海淀区南辛庄路8号院21号楼2层二单元201</t>
  </si>
  <si>
    <t>海淀区南辛庄路8号院22号楼2层三单元202</t>
  </si>
  <si>
    <t>仓储</t>
    <phoneticPr fontId="134" type="noConversion"/>
  </si>
  <si>
    <t>总计</t>
    <phoneticPr fontId="134" type="noConversion"/>
  </si>
  <si>
    <t>（规划）建筑面积（m2）</t>
    <phoneticPr fontId="134" type="noConversion"/>
  </si>
  <si>
    <t>（分摊）土地面积（m2）</t>
    <phoneticPr fontId="134" type="noConversion"/>
  </si>
  <si>
    <t>住宅1</t>
  </si>
  <si>
    <t>住宅2</t>
  </si>
  <si>
    <t>地下仓储1</t>
  </si>
  <si>
    <t>地下仓储2</t>
  </si>
  <si>
    <t>海淀区南辛庄路8号院12号楼-1层-119</t>
  </si>
  <si>
    <t>12-119</t>
  </si>
  <si>
    <t>海淀区南辛庄路8号院20号楼-1层-106</t>
  </si>
  <si>
    <t>20-106</t>
  </si>
  <si>
    <t>海淀区南辛庄路8号院20号楼-1层-107</t>
  </si>
  <si>
    <t>20-107</t>
  </si>
  <si>
    <t>海淀区南辛庄路8号院20号楼-1层-108</t>
  </si>
  <si>
    <t>20-108</t>
  </si>
  <si>
    <t>海淀区南辛庄路8号院20号楼-2层-202</t>
  </si>
  <si>
    <t>20-202</t>
  </si>
  <si>
    <t>海淀区南辛庄路8号院4号楼-1层-106</t>
  </si>
  <si>
    <t>4-106</t>
  </si>
  <si>
    <t>海淀区南辛庄路8号院4号楼-1层-107</t>
  </si>
  <si>
    <t>4-107</t>
  </si>
  <si>
    <t>海淀区南辛庄路8号院4号楼-1层-108</t>
  </si>
  <si>
    <t>4-108</t>
  </si>
  <si>
    <t>海淀区南辛庄路8号院4号楼-2层-202</t>
  </si>
  <si>
    <t>4-202</t>
  </si>
  <si>
    <t>海淀区南辛庄路8号院21号楼-1层-112</t>
  </si>
  <si>
    <t>21-112</t>
  </si>
  <si>
    <t>海淀区南辛庄路8号院21号楼-1层-113</t>
  </si>
  <si>
    <t>21-113</t>
  </si>
  <si>
    <t>海淀区南辛庄路8号院21号楼-1层-114</t>
  </si>
  <si>
    <t>21-114</t>
  </si>
  <si>
    <t>海淀区南辛庄路8号院21号楼-1层-124</t>
  </si>
  <si>
    <t>21-124</t>
  </si>
  <si>
    <t>海淀区南辛庄路8号院21号楼-2层-212</t>
  </si>
  <si>
    <t>21-212</t>
  </si>
  <si>
    <t>海淀区南辛庄路8号院18号楼-1层-106</t>
  </si>
  <si>
    <t>18-106</t>
  </si>
  <si>
    <t>海淀区南辛庄路8号院18号楼-1层-107</t>
  </si>
  <si>
    <t>18-107</t>
  </si>
  <si>
    <t>海淀区南辛庄路8号院18号楼-1层-108</t>
  </si>
  <si>
    <t>18-108</t>
  </si>
  <si>
    <t>海淀区南辛庄路8号院18号楼-2层-202</t>
  </si>
  <si>
    <t>18-202</t>
  </si>
  <si>
    <t>海淀区南辛庄路8号院8号楼-1层-106</t>
  </si>
  <si>
    <t>8-106</t>
  </si>
  <si>
    <t>海淀区南辛庄路8号院18号楼-1层-112</t>
  </si>
  <si>
    <t>18-112</t>
  </si>
  <si>
    <t>海淀区南辛庄路8号院18号楼-1层-113</t>
  </si>
  <si>
    <t>18-113</t>
  </si>
  <si>
    <t>海淀区南辛庄路8号院18号楼-1层-114</t>
  </si>
  <si>
    <t>18-114</t>
  </si>
  <si>
    <t>海淀区南辛庄路8号院18号楼-1层-115</t>
  </si>
  <si>
    <t>18-115</t>
  </si>
  <si>
    <t>海淀区南辛庄路8号院18号楼-1层-116</t>
  </si>
  <si>
    <t>18-116</t>
  </si>
  <si>
    <t>海淀区南辛庄路8号院18号楼-2层-204</t>
  </si>
  <si>
    <t>18-204</t>
  </si>
  <si>
    <t>海淀区南辛庄路8号院19号楼-1层-110</t>
  </si>
  <si>
    <t>19-110</t>
  </si>
  <si>
    <t>海淀区南辛庄路8号院19号楼-1层-111</t>
  </si>
  <si>
    <t>19-111</t>
  </si>
  <si>
    <t>海淀区南辛庄路8号院19号楼-1层-112</t>
  </si>
  <si>
    <t>19-112</t>
  </si>
  <si>
    <t>海淀区南辛庄路8号院19号楼-1层-113</t>
  </si>
  <si>
    <t>19-113</t>
  </si>
  <si>
    <t>海淀区南辛庄路8号院19号楼-1层-119</t>
  </si>
  <si>
    <t>19-119</t>
  </si>
  <si>
    <t>海淀区南辛庄路8号院24号楼-2层-207</t>
  </si>
  <si>
    <t>24-207</t>
  </si>
  <si>
    <t>海淀区南辛庄路8号院19号楼-2层-203</t>
  </si>
  <si>
    <t>19-203</t>
  </si>
  <si>
    <t>海淀区南辛庄路8号院1号楼-1层-109</t>
  </si>
  <si>
    <t>1-109</t>
  </si>
  <si>
    <t>海淀区南辛庄路8号院7号楼-1层-118</t>
  </si>
  <si>
    <t>7-118</t>
  </si>
  <si>
    <t>海淀区南辛庄路8号院7号楼-1层-119</t>
  </si>
  <si>
    <t>7-119</t>
  </si>
  <si>
    <t>海淀区南辛庄路8号院7号楼-1层-120</t>
  </si>
  <si>
    <t>7-120</t>
  </si>
  <si>
    <t>海淀区南辛庄路8号院7号楼-1层-121</t>
  </si>
  <si>
    <t>7-121</t>
  </si>
  <si>
    <t>海淀区南辛庄路8号院7号楼-1层-122</t>
  </si>
  <si>
    <t>7-122</t>
  </si>
  <si>
    <t>海淀区南辛庄路8号院7号楼-2层-206</t>
  </si>
  <si>
    <t>7-206</t>
  </si>
  <si>
    <t>海淀区南辛庄路8号院21号楼2层二单元202</t>
  </si>
  <si>
    <t>21-2-202</t>
  </si>
  <si>
    <t>海淀区南辛庄路8号院20号楼1层一单元102</t>
  </si>
  <si>
    <t>20-1-102</t>
  </si>
  <si>
    <t>海淀区南辛庄路8号院4号楼1层一单元102</t>
  </si>
  <si>
    <t>4-1-102</t>
  </si>
  <si>
    <t>海淀区南辛庄路8号院21号楼1层二单元102</t>
  </si>
  <si>
    <t>21-2-102</t>
  </si>
  <si>
    <t>海淀区南辛庄路8号院19号楼4层一单元401</t>
  </si>
  <si>
    <t>19-1-401</t>
  </si>
  <si>
    <t>海淀区南辛庄路8号院18号楼1层一单元102</t>
  </si>
  <si>
    <t>18-1-102</t>
  </si>
  <si>
    <t>海淀区南辛庄路8号院10号楼1层三单元101</t>
  </si>
  <si>
    <t>10-3-101</t>
  </si>
  <si>
    <t>海淀区南辛庄路8号院1号楼4层二单元402</t>
  </si>
  <si>
    <t>1-2-402</t>
  </si>
  <si>
    <t>海淀区南辛庄路8号院4号楼4层一单元401</t>
  </si>
  <si>
    <t>4-1-401</t>
  </si>
  <si>
    <t>海淀区南辛庄路8号院22号楼2层一单元201</t>
  </si>
  <si>
    <t>22-1-201</t>
  </si>
  <si>
    <t>海淀区南辛庄路8号院2号楼4层二单元401</t>
  </si>
  <si>
    <t>2-2-401</t>
  </si>
  <si>
    <t>海淀区南辛庄路8号院10号楼3层三单元302</t>
  </si>
  <si>
    <t>10-3-302</t>
  </si>
  <si>
    <t>海淀区南辛庄路8号院1号楼2层二单元201</t>
  </si>
  <si>
    <t>1-2-201</t>
  </si>
  <si>
    <t>海淀区南辛庄路8号院19号楼4层一单元402</t>
  </si>
  <si>
    <t>19-1-402</t>
  </si>
  <si>
    <t>海淀区南辛庄路8号院13号楼3层三单元302</t>
  </si>
  <si>
    <t>13-3-302</t>
  </si>
  <si>
    <t>17-102</t>
  </si>
  <si>
    <t>海淀区南辛庄路8号院17号楼-1层-103</t>
  </si>
  <si>
    <t>17-103</t>
  </si>
  <si>
    <t>海淀区南辛庄路8号院17号楼-1层-104</t>
  </si>
  <si>
    <t>17-104</t>
  </si>
  <si>
    <t>海淀区南辛庄路8号院17号楼-1层-105</t>
  </si>
  <si>
    <t>17-105</t>
  </si>
  <si>
    <t>海淀区南辛庄路8号院17号楼-2层-201</t>
  </si>
  <si>
    <t>17-201</t>
  </si>
  <si>
    <t>海淀区南辛庄路8号院6号楼-2层-201</t>
  </si>
  <si>
    <t>6-201</t>
  </si>
  <si>
    <t>17-1-101</t>
  </si>
  <si>
    <t>海淀区南辛庄路8号院3号楼3层302</t>
  </si>
  <si>
    <t>3-1-302</t>
  </si>
  <si>
    <t>海淀区南辛庄路8号院10号楼4层二单元402</t>
  </si>
  <si>
    <t>10-2-402</t>
  </si>
  <si>
    <t>海淀区南辛庄路8号院19号楼1层二单元101</t>
  </si>
  <si>
    <t>19-2-101</t>
  </si>
  <si>
    <t>海淀区南辛庄路8号院13号楼3层一单元301</t>
  </si>
  <si>
    <t>13-1-301</t>
  </si>
  <si>
    <t>海淀区南辛庄路8号院10号楼3层二单元302</t>
  </si>
  <si>
    <t>10-2-302</t>
  </si>
  <si>
    <t>海淀区南辛庄路8号院15号楼4层一单元401</t>
  </si>
  <si>
    <t>15-1-401</t>
  </si>
  <si>
    <t>海淀区南辛庄路8号院22号楼3层二单元302</t>
  </si>
  <si>
    <t>22-2-302</t>
  </si>
  <si>
    <t>住宅套数</t>
    <phoneticPr fontId="134" type="noConversion"/>
  </si>
  <si>
    <r>
      <rPr>
        <sz val="10"/>
        <color rgb="FF000000"/>
        <rFont val="宋体"/>
        <family val="3"/>
        <charset val="134"/>
      </rPr>
      <t>仓储套数</t>
    </r>
    <phoneticPr fontId="134" type="noConversion"/>
  </si>
  <si>
    <r>
      <t>京（</t>
    </r>
    <r>
      <rPr>
        <sz val="9"/>
        <color theme="1"/>
        <rFont val="Arial"/>
        <family val="2"/>
      </rPr>
      <t>2025</t>
    </r>
    <r>
      <rPr>
        <sz val="9"/>
        <color theme="1"/>
        <rFont val="华文细黑"/>
        <family val="3"/>
        <charset val="134"/>
      </rPr>
      <t>）海不动产权第</t>
    </r>
    <r>
      <rPr>
        <sz val="9"/>
        <color theme="1"/>
        <rFont val="Arial"/>
        <family val="2"/>
      </rPr>
      <t>0039010</t>
    </r>
    <r>
      <rPr>
        <sz val="9"/>
        <color theme="1"/>
        <rFont val="华文细黑"/>
        <family val="3"/>
        <charset val="134"/>
      </rPr>
      <t>号</t>
    </r>
  </si>
  <si>
    <r>
      <t>京（</t>
    </r>
    <r>
      <rPr>
        <sz val="9"/>
        <color theme="1"/>
        <rFont val="Arial"/>
        <family val="2"/>
      </rPr>
      <t>2025</t>
    </r>
    <r>
      <rPr>
        <sz val="9"/>
        <color theme="1"/>
        <rFont val="华文细黑"/>
        <family val="3"/>
        <charset val="134"/>
      </rPr>
      <t>）海不动产权第</t>
    </r>
    <r>
      <rPr>
        <sz val="9"/>
        <color theme="1"/>
        <rFont val="Arial"/>
        <family val="2"/>
      </rPr>
      <t>0049813</t>
    </r>
    <r>
      <rPr>
        <sz val="9"/>
        <color theme="1"/>
        <rFont val="华文细黑"/>
        <family val="3"/>
        <charset val="134"/>
      </rPr>
      <t>号</t>
    </r>
  </si>
  <si>
    <t>面积</t>
    <phoneticPr fontId="134" type="noConversion"/>
  </si>
  <si>
    <t>海淀区南辛庄路8号院22号楼4层一单元401</t>
  </si>
  <si>
    <t>22-1-401</t>
  </si>
  <si>
    <t>海淀区南辛庄路8号院23号楼1层三单元101</t>
  </si>
  <si>
    <t>23-3-101</t>
  </si>
  <si>
    <t>海淀区南辛庄路8号院17号楼1层一单元101</t>
  </si>
  <si>
    <t>海淀区南辛庄路8号院23号楼-1层-115</t>
  </si>
  <si>
    <t>23-115</t>
  </si>
  <si>
    <t>海淀区南辛庄路8号院23号楼-1层-116</t>
  </si>
  <si>
    <t>23-116</t>
  </si>
  <si>
    <t>海淀区南辛庄路8号院23号楼-1层-117</t>
  </si>
  <si>
    <t>23-117</t>
  </si>
  <si>
    <t>海淀区南辛庄路8号院23号楼-1层-118</t>
  </si>
  <si>
    <t>23-118</t>
  </si>
  <si>
    <t>海淀区南辛庄路8号院23号楼-1层-119</t>
  </si>
  <si>
    <t>23-119</t>
  </si>
  <si>
    <t>海淀区南辛庄路8号院23号楼-1层-120</t>
  </si>
  <si>
    <t>23-120</t>
  </si>
  <si>
    <t>海淀区南辛庄路8号院23号楼-1层-121</t>
  </si>
  <si>
    <t>23-121</t>
  </si>
  <si>
    <t>海淀区南辛庄路8号院23号楼-1层-122</t>
  </si>
  <si>
    <t>23-122</t>
  </si>
  <si>
    <t>海淀区南辛庄路8号院23号楼-2层-208</t>
  </si>
  <si>
    <t>23-208</t>
  </si>
  <si>
    <t>海淀区南辛庄路8号院23号楼-2层-209</t>
  </si>
  <si>
    <t>23-209</t>
  </si>
  <si>
    <t>海淀区南辛庄路8号院17号楼-1层-102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</si>
</sst>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000000"/>
      <name val="Times New Roman"/>
      <family val="1"/>
    </font>
    <font>
      <sz val="10"/>
      <color rgb="FF000000"/>
      <name val="宋体"/>
      <family val="3"/>
      <charset val="134"/>
      <scheme val="minor"/>
    </font>
    <font>
      <sz val="10"/>
      <color rgb="FF000000"/>
      <name val="Times New Roman"/>
      <family val="1"/>
    </font>
    <font>
      <sz val="10"/>
      <color rgb="FF4D4D4D"/>
      <name val="Times New Roman"/>
      <family val="1"/>
    </font>
    <font>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style="medium">
        <color rgb="FF00000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81" xfId="0" applyFont="1" applyBorder="1" applyAlignment="1">
      <alignment horizontal="center" vertical="center" wrapText="1"/>
    </xf>
    <xf numFmtId="0" fontId="272" fillId="0" borderId="81" xfId="0" applyFont="1" applyBorder="1" applyAlignment="1">
      <alignment horizontal="center" vertical="center" wrapText="1"/>
    </xf>
    <xf numFmtId="0" fontId="273" fillId="0" borderId="81" xfId="0" applyFont="1" applyBorder="1" applyAlignment="1">
      <alignment horizontal="center" vertical="center"/>
    </xf>
    <xf numFmtId="0" fontId="274" fillId="0" borderId="42" xfId="0" applyFont="1" applyBorder="1" applyAlignment="1">
      <alignment horizontal="center" vertical="center" wrapText="1"/>
    </xf>
    <xf numFmtId="0" fontId="0" fillId="0" borderId="1" xfId="0" applyBorder="1" applyAlignment="1">
      <alignment horizontal="center" vertical="center"/>
    </xf>
    <xf numFmtId="0" fontId="272" fillId="5" borderId="81" xfId="0" applyFont="1" applyFill="1" applyBorder="1" applyAlignment="1">
      <alignment horizontal="center" vertical="center" wrapText="1"/>
    </xf>
    <xf numFmtId="0" fontId="77" fillId="0" borderId="1" xfId="0" applyFont="1" applyBorder="1" applyAlignment="1" applyProtection="1">
      <alignment horizontal="center" vertical="center" wrapText="1"/>
      <protection locked="0"/>
    </xf>
    <xf numFmtId="2" fontId="44" fillId="0" borderId="1" xfId="0"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2" fillId="0" borderId="1" xfId="0" applyFont="1" applyBorder="1" applyAlignment="1" applyProtection="1">
      <alignment horizontal="left" vertical="center" wrapText="1"/>
      <protection locked="0"/>
    </xf>
    <xf numFmtId="0" fontId="128" fillId="0" borderId="41"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60" fillId="6" borderId="13" xfId="12" applyFont="1" applyFill="1" applyBorder="1" applyAlignment="1" applyProtection="1">
      <alignment horizontal="left" vertical="center" wrapText="1"/>
      <protection locked="0"/>
    </xf>
    <xf numFmtId="0" fontId="160" fillId="6" borderId="1" xfId="12" applyFont="1" applyFill="1" applyBorder="1" applyAlignment="1" applyProtection="1">
      <alignment horizontal="left" vertical="center" wrapText="1"/>
      <protection locked="0"/>
    </xf>
    <xf numFmtId="191" fontId="160" fillId="6" borderId="13" xfId="12" applyNumberFormat="1" applyFont="1" applyFill="1" applyBorder="1" applyAlignment="1" applyProtection="1">
      <alignment horizontal="left" vertical="center" wrapText="1"/>
      <protection locked="0"/>
    </xf>
    <xf numFmtId="0" fontId="273" fillId="0" borderId="81" xfId="0" applyFont="1" applyBorder="1" applyAlignment="1">
      <alignment horizontal="center" vertical="center" wrapText="1"/>
    </xf>
    <xf numFmtId="0" fontId="273" fillId="0" borderId="1" xfId="0" applyFont="1" applyBorder="1" applyAlignment="1">
      <alignment horizontal="center" vertical="center" wrapText="1"/>
    </xf>
    <xf numFmtId="0" fontId="273" fillId="0" borderId="0" xfId="0" applyFont="1" applyAlignment="1">
      <alignment horizontal="center" vertical="center" wrapText="1"/>
    </xf>
    <xf numFmtId="0" fontId="275" fillId="0" borderId="0" xfId="0" applyFont="1">
      <alignment vertical="center"/>
    </xf>
    <xf numFmtId="0" fontId="265" fillId="0" borderId="176" xfId="0" applyFont="1" applyBorder="1" applyAlignment="1">
      <alignment horizontal="justify" vertical="center" wrapText="1"/>
    </xf>
    <xf numFmtId="0" fontId="272" fillId="0" borderId="0" xfId="0" applyFont="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72" fillId="0" borderId="82" xfId="0" applyFont="1" applyBorder="1" applyAlignment="1">
      <alignment horizontal="left" vertical="center" wrapText="1"/>
    </xf>
    <xf numFmtId="0" fontId="272" fillId="0" borderId="82" xfId="0" applyFont="1" applyBorder="1" applyAlignment="1">
      <alignment horizontal="left" vertical="center"/>
    </xf>
    <xf numFmtId="0" fontId="272" fillId="0" borderId="81" xfId="0" applyFont="1" applyBorder="1" applyAlignment="1">
      <alignment horizontal="left" vertical="center" wrapText="1"/>
    </xf>
    <xf numFmtId="0" fontId="272" fillId="0" borderId="81" xfId="0" applyFont="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44" fillId="6" borderId="1"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46"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99" fillId="6" borderId="1"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4" xfId="0" applyFont="1" applyFill="1" applyBorder="1" applyAlignment="1">
      <alignment horizontal="left" vertical="center"/>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4" fontId="208" fillId="0" borderId="3" xfId="0" applyNumberFormat="1"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4">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465209</xdr:colOff>
      <xdr:row>34</xdr:row>
      <xdr:rowOff>151652</xdr:rowOff>
    </xdr:to>
    <xdr:pic>
      <xdr:nvPicPr>
        <xdr:cNvPr id="2" name="图片 1">
          <a:extLst>
            <a:ext uri="{FF2B5EF4-FFF2-40B4-BE49-F238E27FC236}">
              <a16:creationId xmlns:a16="http://schemas.microsoft.com/office/drawing/2014/main" id="{C66FCC12-29DB-7D42-B46E-3E140B81274D}"/>
            </a:ext>
          </a:extLst>
        </xdr:cNvPr>
        <xdr:cNvPicPr>
          <a:picLocks noChangeAspect="1"/>
        </xdr:cNvPicPr>
      </xdr:nvPicPr>
      <xdr:blipFill>
        <a:blip xmlns:r="http://schemas.openxmlformats.org/officeDocument/2006/relationships" r:embed="rId1"/>
        <a:stretch>
          <a:fillRect/>
        </a:stretch>
      </xdr:blipFill>
      <xdr:spPr>
        <a:xfrm>
          <a:off x="0" y="0"/>
          <a:ext cx="12123809" cy="59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369971</xdr:colOff>
      <xdr:row>34</xdr:row>
      <xdr:rowOff>132605</xdr:rowOff>
    </xdr:to>
    <xdr:pic>
      <xdr:nvPicPr>
        <xdr:cNvPr id="2" name="图片 1">
          <a:extLst>
            <a:ext uri="{FF2B5EF4-FFF2-40B4-BE49-F238E27FC236}">
              <a16:creationId xmlns:a16="http://schemas.microsoft.com/office/drawing/2014/main" id="{F0458CB6-CAE2-5F6A-AF99-A328A32025BE}"/>
            </a:ext>
          </a:extLst>
        </xdr:cNvPr>
        <xdr:cNvPicPr>
          <a:picLocks noChangeAspect="1"/>
        </xdr:cNvPicPr>
      </xdr:nvPicPr>
      <xdr:blipFill>
        <a:blip xmlns:r="http://schemas.openxmlformats.org/officeDocument/2006/relationships" r:embed="rId1"/>
        <a:stretch>
          <a:fillRect/>
        </a:stretch>
      </xdr:blipFill>
      <xdr:spPr>
        <a:xfrm>
          <a:off x="0" y="0"/>
          <a:ext cx="12028571"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估价对象为北京市房地产，为所有。根据《国有土地使用证》[]，估价对象（分摊）出让国有建设用地使用权面积为0平方米，建筑面积为315.39平方米。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估价对象为北京市房地产,为开发建设的，该项目尚在开发建设中。根据《国有土地使用证》[]，估价对象（分摊）出让国有建设用地使用权面积为0平方米，规划建筑面积为315.39平方米。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2025年12月23日（评估专业人员实地查勘之日）</v>
      </c>
    </row>
    <row r="13" spans="1:2">
      <c r="A13" s="1119" t="s">
        <v>529</v>
      </c>
      <c r="B13" s="1120" t="str">
        <f>'预评函-1'!A18</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本次评估采用的主估价方法为比较法和成本法。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108</v>
      </c>
    </row>
    <row r="21" spans="1:2">
      <c r="A21" s="1119" t="s">
        <v>537</v>
      </c>
      <c r="B21" s="1120">
        <f ca="1">'预评函-2'!D7</f>
        <v>25472</v>
      </c>
    </row>
    <row r="22" spans="1:2">
      <c r="A22" s="1119" t="s">
        <v>538</v>
      </c>
      <c r="B22" s="1120" t="str">
        <f ca="1">'预评函-2'!D6</f>
        <v>壹佰零捌万元整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108</v>
      </c>
    </row>
    <row r="31" spans="1:2">
      <c r="A31" s="1119" t="s">
        <v>576</v>
      </c>
      <c r="B31" s="1120">
        <f ca="1">'预评函-2'!D15</f>
        <v>25472</v>
      </c>
    </row>
    <row r="32" spans="1:2">
      <c r="A32" s="1119" t="s">
        <v>543</v>
      </c>
      <c r="B32" s="1120" t="str">
        <f ca="1">'预评函-2'!D14</f>
        <v>壹佰零捌万元整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315.39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46</v>
      </c>
    </row>
    <row r="48" spans="1:2">
      <c r="A48" s="1119" t="s">
        <v>549</v>
      </c>
      <c r="B48" s="1120">
        <f ca="1">'预评函-3'!E4</f>
        <v>10849</v>
      </c>
    </row>
    <row r="49" spans="1:2">
      <c r="A49" s="1119" t="s">
        <v>550</v>
      </c>
      <c r="B49" s="1120" t="str">
        <f ca="1">'预评函-3'!D5</f>
        <v>肆拾陆万元整</v>
      </c>
    </row>
    <row r="50" spans="1:2">
      <c r="A50" s="1119" t="s">
        <v>574</v>
      </c>
      <c r="B50" s="1120" t="str">
        <f>'预评函-3'!F2</f>
        <v>在建建筑物价值</v>
      </c>
    </row>
    <row r="51" spans="1:2">
      <c r="A51" s="1119" t="s">
        <v>551</v>
      </c>
      <c r="B51" s="1120">
        <f ca="1">'预评函-3'!F4</f>
        <v>62</v>
      </c>
    </row>
    <row r="52" spans="1:2">
      <c r="A52" s="1119" t="s">
        <v>552</v>
      </c>
      <c r="B52" s="1120">
        <f ca="1">'预评函-3'!G4</f>
        <v>14623</v>
      </c>
    </row>
    <row r="53" spans="1:2">
      <c r="A53" s="1119" t="s">
        <v>580</v>
      </c>
      <c r="B53" s="1120" t="str">
        <f ca="1">'预评函-3'!F5</f>
        <v>陆拾贰万元整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7" sqref="B27"/>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973</v>
      </c>
      <c r="C1" s="1438" t="s">
        <v>314</v>
      </c>
      <c r="D1" s="1439" t="s">
        <v>3334</v>
      </c>
      <c r="E1" s="1438" t="s">
        <v>974</v>
      </c>
      <c r="F1" s="1438" t="s">
        <v>975</v>
      </c>
      <c r="G1" s="1438" t="s">
        <v>976</v>
      </c>
      <c r="H1" s="1438" t="s">
        <v>977</v>
      </c>
      <c r="I1" s="1438" t="s">
        <v>978</v>
      </c>
      <c r="J1" s="1438" t="s">
        <v>979</v>
      </c>
      <c r="K1" s="1438" t="s">
        <v>980</v>
      </c>
      <c r="L1" s="1438" t="s">
        <v>981</v>
      </c>
      <c r="M1" s="1438" t="s">
        <v>982</v>
      </c>
      <c r="N1" s="1438" t="s">
        <v>983</v>
      </c>
      <c r="O1" s="1438" t="s">
        <v>984</v>
      </c>
      <c r="P1" s="1439" t="s">
        <v>309</v>
      </c>
      <c r="Q1" s="1439" t="s">
        <v>447</v>
      </c>
      <c r="R1" s="1438" t="s">
        <v>441</v>
      </c>
      <c r="S1" s="1438" t="s">
        <v>985</v>
      </c>
      <c r="T1" s="1439" t="s">
        <v>986</v>
      </c>
      <c r="U1" s="1438" t="s">
        <v>987</v>
      </c>
      <c r="V1" s="1438" t="s">
        <v>988</v>
      </c>
      <c r="W1" s="1438" t="s">
        <v>311</v>
      </c>
      <c r="X1" s="1438" t="s">
        <v>669</v>
      </c>
      <c r="Y1" s="1438" t="s">
        <v>21</v>
      </c>
      <c r="Z1" s="1438" t="s">
        <v>3388</v>
      </c>
      <c r="AA1" s="1438" t="s">
        <v>3387</v>
      </c>
      <c r="AB1" s="1438" t="s">
        <v>3</v>
      </c>
    </row>
    <row r="2" spans="1:28">
      <c r="A2" s="1441" t="s">
        <v>19</v>
      </c>
      <c r="B2" s="1441" t="s">
        <v>989</v>
      </c>
      <c r="C2" s="1442" t="s">
        <v>315</v>
      </c>
      <c r="D2" s="1443" t="s">
        <v>990</v>
      </c>
      <c r="E2" s="1443" t="s">
        <v>991</v>
      </c>
      <c r="F2" s="1443" t="s">
        <v>992</v>
      </c>
      <c r="G2" s="1443">
        <v>20</v>
      </c>
      <c r="H2" s="1443" t="s">
        <v>992</v>
      </c>
      <c r="I2" s="1443" t="s">
        <v>3320</v>
      </c>
      <c r="J2" s="1443" t="s">
        <v>993</v>
      </c>
      <c r="K2" s="1443" t="s">
        <v>994</v>
      </c>
      <c r="L2" s="1443" t="s">
        <v>994</v>
      </c>
      <c r="M2" s="1443" t="s">
        <v>994</v>
      </c>
      <c r="N2" s="1443" t="s">
        <v>994</v>
      </c>
      <c r="O2" s="1443" t="s">
        <v>994</v>
      </c>
      <c r="P2" s="1443" t="s">
        <v>994</v>
      </c>
      <c r="Q2" s="1443" t="s">
        <v>994</v>
      </c>
      <c r="R2" s="1443" t="s">
        <v>443</v>
      </c>
      <c r="S2" s="1443" t="s">
        <v>994</v>
      </c>
      <c r="T2" s="1443" t="s">
        <v>995</v>
      </c>
      <c r="U2" s="1443" t="s">
        <v>994</v>
      </c>
      <c r="V2" s="1443" t="s">
        <v>996</v>
      </c>
      <c r="W2" s="1443" t="s">
        <v>994</v>
      </c>
      <c r="X2" s="1445" t="s">
        <v>2424</v>
      </c>
      <c r="Y2" s="1445" t="s">
        <v>3394</v>
      </c>
      <c r="Z2" s="1445" t="s">
        <v>2437</v>
      </c>
      <c r="AA2" s="1445" t="s">
        <v>3395</v>
      </c>
      <c r="AB2" s="1445" t="s">
        <v>2464</v>
      </c>
    </row>
    <row r="3" spans="1:28">
      <c r="A3" s="1441" t="s">
        <v>997</v>
      </c>
      <c r="B3" s="1444" t="s">
        <v>448</v>
      </c>
      <c r="C3" s="1442" t="s">
        <v>316</v>
      </c>
      <c r="D3" s="1443" t="s">
        <v>998</v>
      </c>
      <c r="E3" s="1443" t="s">
        <v>13</v>
      </c>
      <c r="F3" s="1443" t="s">
        <v>999</v>
      </c>
      <c r="G3" s="1443">
        <v>40</v>
      </c>
      <c r="H3" s="1443" t="s">
        <v>999</v>
      </c>
      <c r="I3" s="1443" t="s">
        <v>3321</v>
      </c>
      <c r="J3" s="1443" t="s">
        <v>1000</v>
      </c>
      <c r="K3" s="1443" t="s">
        <v>1001</v>
      </c>
      <c r="L3" s="1443" t="s">
        <v>1001</v>
      </c>
      <c r="M3" s="1443" t="s">
        <v>1001</v>
      </c>
      <c r="N3" s="1443" t="s">
        <v>1001</v>
      </c>
      <c r="O3" s="1443" t="s">
        <v>1001</v>
      </c>
      <c r="P3" s="1443" t="s">
        <v>1001</v>
      </c>
      <c r="Q3" s="1443" t="s">
        <v>1001</v>
      </c>
      <c r="R3" s="1443" t="s">
        <v>442</v>
      </c>
      <c r="S3" s="1443" t="s">
        <v>1001</v>
      </c>
      <c r="T3" s="1443" t="s">
        <v>1002</v>
      </c>
      <c r="U3" s="1443" t="s">
        <v>1001</v>
      </c>
      <c r="V3" s="1443" t="s">
        <v>1003</v>
      </c>
      <c r="W3" s="1443" t="s">
        <v>1001</v>
      </c>
      <c r="X3" s="1445" t="s">
        <v>2426</v>
      </c>
      <c r="Z3" s="1445" t="s">
        <v>2439</v>
      </c>
      <c r="AB3" s="1445" t="s">
        <v>2466</v>
      </c>
    </row>
    <row r="4" spans="1:28">
      <c r="A4" s="1441" t="s">
        <v>1004</v>
      </c>
      <c r="B4" s="1441" t="s">
        <v>1005</v>
      </c>
      <c r="C4" s="1442" t="s">
        <v>317</v>
      </c>
      <c r="D4" s="1443" t="s">
        <v>389</v>
      </c>
      <c r="E4" s="1443" t="s">
        <v>1006</v>
      </c>
      <c r="F4" s="1443" t="s">
        <v>1007</v>
      </c>
      <c r="G4" s="1443">
        <v>50</v>
      </c>
      <c r="H4" s="1443" t="s">
        <v>1007</v>
      </c>
      <c r="I4" s="1443" t="s">
        <v>3322</v>
      </c>
      <c r="K4" s="1443" t="s">
        <v>1008</v>
      </c>
      <c r="L4" s="1443" t="s">
        <v>1008</v>
      </c>
      <c r="M4" s="1443" t="s">
        <v>1008</v>
      </c>
      <c r="N4" s="1443" t="s">
        <v>1008</v>
      </c>
      <c r="O4" s="1443" t="s">
        <v>1008</v>
      </c>
      <c r="P4" s="1443" t="s">
        <v>1008</v>
      </c>
      <c r="Q4" s="1443" t="s">
        <v>1008</v>
      </c>
      <c r="R4" s="1443" t="s">
        <v>444</v>
      </c>
      <c r="S4" s="1443" t="s">
        <v>1008</v>
      </c>
      <c r="T4" s="1443" t="s">
        <v>1009</v>
      </c>
      <c r="U4" s="1443" t="s">
        <v>1008</v>
      </c>
      <c r="W4" s="1443" t="s">
        <v>1008</v>
      </c>
      <c r="X4" s="1445" t="s">
        <v>2428</v>
      </c>
      <c r="Z4" s="1445" t="s">
        <v>2441</v>
      </c>
      <c r="AB4" s="1445" t="s">
        <v>2468</v>
      </c>
    </row>
    <row r="5" spans="1:28">
      <c r="A5" s="1441" t="s">
        <v>1010</v>
      </c>
      <c r="B5" s="1441" t="s">
        <v>1011</v>
      </c>
      <c r="C5" s="1442" t="s">
        <v>318</v>
      </c>
      <c r="F5" s="1443" t="s">
        <v>1012</v>
      </c>
      <c r="G5" s="1443">
        <v>70</v>
      </c>
      <c r="H5" s="1443" t="s">
        <v>1013</v>
      </c>
      <c r="I5" s="1443" t="s">
        <v>3323</v>
      </c>
      <c r="K5" s="1443" t="s">
        <v>1014</v>
      </c>
      <c r="L5" s="1443" t="s">
        <v>1014</v>
      </c>
      <c r="M5" s="1443" t="s">
        <v>1014</v>
      </c>
      <c r="N5" s="1443" t="s">
        <v>1014</v>
      </c>
      <c r="O5" s="1443" t="s">
        <v>1014</v>
      </c>
      <c r="P5" s="1443" t="s">
        <v>1014</v>
      </c>
      <c r="Q5" s="1443" t="s">
        <v>1014</v>
      </c>
      <c r="R5" s="1443" t="s">
        <v>445</v>
      </c>
      <c r="S5" s="1443" t="s">
        <v>1014</v>
      </c>
      <c r="T5" s="1443" t="s">
        <v>1015</v>
      </c>
      <c r="U5" s="1443" t="s">
        <v>1014</v>
      </c>
      <c r="W5" s="1443" t="s">
        <v>1014</v>
      </c>
      <c r="X5" s="1445" t="s">
        <v>2430</v>
      </c>
      <c r="Z5" s="1445" t="s">
        <v>2443</v>
      </c>
      <c r="AB5" s="1445" t="s">
        <v>3396</v>
      </c>
    </row>
    <row r="6" spans="1:28">
      <c r="A6" s="1441" t="s">
        <v>1016</v>
      </c>
      <c r="B6" s="1444" t="s">
        <v>449</v>
      </c>
      <c r="C6" s="1446" t="s">
        <v>24</v>
      </c>
      <c r="F6" s="1443" t="s">
        <v>1013</v>
      </c>
      <c r="H6" s="1443" t="s">
        <v>1017</v>
      </c>
      <c r="I6" s="1443" t="s">
        <v>3324</v>
      </c>
      <c r="K6" s="1443" t="s">
        <v>1018</v>
      </c>
      <c r="L6" s="1443" t="s">
        <v>1018</v>
      </c>
      <c r="M6" s="1443" t="s">
        <v>1018</v>
      </c>
      <c r="N6" s="1443" t="s">
        <v>1018</v>
      </c>
      <c r="O6" s="1443" t="s">
        <v>1018</v>
      </c>
      <c r="P6" s="1443" t="s">
        <v>1018</v>
      </c>
      <c r="Q6" s="1443" t="s">
        <v>1018</v>
      </c>
      <c r="R6" s="1443" t="s">
        <v>446</v>
      </c>
      <c r="S6" s="1443" t="s">
        <v>1018</v>
      </c>
      <c r="T6" s="1443"/>
      <c r="U6" s="1443" t="s">
        <v>1018</v>
      </c>
      <c r="W6" s="1443" t="s">
        <v>1018</v>
      </c>
      <c r="X6" s="1445" t="s">
        <v>2432</v>
      </c>
      <c r="Z6" s="1445" t="s">
        <v>2445</v>
      </c>
      <c r="AB6" s="1445" t="s">
        <v>2471</v>
      </c>
    </row>
    <row r="7" spans="1:28">
      <c r="A7" s="1441" t="s">
        <v>1019</v>
      </c>
      <c r="B7" s="1444" t="s">
        <v>450</v>
      </c>
      <c r="C7" s="1442" t="s">
        <v>25</v>
      </c>
      <c r="F7" s="1443" t="s">
        <v>1020</v>
      </c>
      <c r="H7" s="1443" t="s">
        <v>1021</v>
      </c>
      <c r="I7" s="1443" t="s">
        <v>3325</v>
      </c>
      <c r="X7" s="1445" t="s">
        <v>2434</v>
      </c>
      <c r="Z7" s="1445" t="s">
        <v>2447</v>
      </c>
      <c r="AB7" s="1445" t="s">
        <v>2473</v>
      </c>
    </row>
    <row r="8" spans="1:28">
      <c r="A8" s="1441" t="s">
        <v>1022</v>
      </c>
      <c r="B8" s="1441" t="s">
        <v>1023</v>
      </c>
      <c r="C8" s="1442" t="s">
        <v>319</v>
      </c>
      <c r="F8" s="1443" t="s">
        <v>1024</v>
      </c>
      <c r="H8" s="1443" t="s">
        <v>2562</v>
      </c>
      <c r="I8" s="1443" t="s">
        <v>3326</v>
      </c>
      <c r="X8" s="1445" t="s">
        <v>3397</v>
      </c>
      <c r="Z8" s="1445" t="s">
        <v>2449</v>
      </c>
      <c r="AB8" s="1445" t="s">
        <v>2475</v>
      </c>
    </row>
    <row r="9" spans="1:28">
      <c r="A9" s="1441" t="s">
        <v>1025</v>
      </c>
      <c r="B9" s="1441" t="s">
        <v>1026</v>
      </c>
      <c r="C9" s="1442" t="s">
        <v>320</v>
      </c>
      <c r="F9" s="1443" t="s">
        <v>1027</v>
      </c>
      <c r="H9" s="1443"/>
      <c r="I9" s="1445" t="s">
        <v>3327</v>
      </c>
      <c r="X9" s="1445" t="s">
        <v>3398</v>
      </c>
      <c r="Z9" s="1445" t="s">
        <v>2451</v>
      </c>
      <c r="AB9" s="1445" t="s">
        <v>2477</v>
      </c>
    </row>
    <row r="10" spans="1:28">
      <c r="A10" s="1441" t="s">
        <v>1028</v>
      </c>
      <c r="B10" s="1441" t="s">
        <v>1029</v>
      </c>
      <c r="C10" s="1442" t="s">
        <v>321</v>
      </c>
      <c r="F10" s="1443" t="s">
        <v>2563</v>
      </c>
      <c r="I10" s="1445" t="s">
        <v>3328</v>
      </c>
      <c r="Z10" s="1445" t="s">
        <v>2453</v>
      </c>
      <c r="AB10" s="1445" t="s">
        <v>2479</v>
      </c>
    </row>
    <row r="11" spans="1:28">
      <c r="A11" s="1441" t="s">
        <v>1030</v>
      </c>
      <c r="B11" s="1441" t="s">
        <v>1031</v>
      </c>
      <c r="C11" s="1442" t="s">
        <v>322</v>
      </c>
      <c r="F11" s="1443" t="s">
        <v>13</v>
      </c>
      <c r="I11" s="1445" t="s">
        <v>3329</v>
      </c>
      <c r="Z11" s="1445" t="s">
        <v>2455</v>
      </c>
      <c r="AB11" s="1445" t="s">
        <v>2481</v>
      </c>
    </row>
    <row r="12" spans="1:28">
      <c r="A12" s="1441" t="s">
        <v>1032</v>
      </c>
      <c r="B12" s="1441" t="s">
        <v>1033</v>
      </c>
      <c r="C12" s="1442" t="s">
        <v>323</v>
      </c>
      <c r="I12" s="1445" t="s">
        <v>3330</v>
      </c>
      <c r="Z12" s="1445" t="s">
        <v>2457</v>
      </c>
      <c r="AB12" s="1445" t="s">
        <v>2483</v>
      </c>
    </row>
    <row r="13" spans="1:28">
      <c r="A13" s="1441" t="s">
        <v>1034</v>
      </c>
      <c r="B13" s="1441" t="s">
        <v>1035</v>
      </c>
      <c r="C13" s="1442" t="s">
        <v>324</v>
      </c>
      <c r="I13" s="1445" t="s">
        <v>3331</v>
      </c>
      <c r="Z13" s="1445" t="s">
        <v>2459</v>
      </c>
    </row>
    <row r="14" spans="1:28">
      <c r="A14" s="1441" t="s">
        <v>1036</v>
      </c>
      <c r="B14" s="1441" t="s">
        <v>1037</v>
      </c>
      <c r="C14" s="1443" t="s">
        <v>13</v>
      </c>
      <c r="I14" s="1445" t="s">
        <v>3332</v>
      </c>
      <c r="Z14" s="1445" t="s">
        <v>2461</v>
      </c>
    </row>
    <row r="15" spans="1:28">
      <c r="A15" s="1441" t="s">
        <v>1038</v>
      </c>
      <c r="B15" s="1441" t="s">
        <v>1039</v>
      </c>
      <c r="C15" s="1442"/>
      <c r="I15" s="1445" t="s">
        <v>3333</v>
      </c>
    </row>
    <row r="16" spans="1:28">
      <c r="A16" s="1441" t="s">
        <v>1040</v>
      </c>
      <c r="B16" s="1441" t="s">
        <v>312</v>
      </c>
      <c r="C16" s="1442"/>
    </row>
    <row r="17" spans="1:3">
      <c r="A17" s="1441" t="s">
        <v>1041</v>
      </c>
      <c r="B17" s="1441" t="s">
        <v>2278</v>
      </c>
      <c r="C17" s="1442"/>
    </row>
    <row r="18" spans="1:3">
      <c r="A18" s="1441" t="s">
        <v>1042</v>
      </c>
      <c r="B18" s="1441" t="s">
        <v>2418</v>
      </c>
      <c r="C18" s="1442"/>
    </row>
    <row r="19" spans="1:3">
      <c r="A19" s="1441" t="s">
        <v>1043</v>
      </c>
      <c r="B19" s="1441" t="s">
        <v>4811</v>
      </c>
      <c r="C19" s="1442"/>
    </row>
    <row r="20" spans="1:3">
      <c r="A20" s="1441" t="s">
        <v>1044</v>
      </c>
      <c r="B20" s="1441" t="s">
        <v>4813</v>
      </c>
      <c r="C20" s="1442"/>
    </row>
    <row r="21" spans="1:3">
      <c r="A21" s="1441" t="s">
        <v>1045</v>
      </c>
      <c r="B21" s="1441" t="s">
        <v>313</v>
      </c>
      <c r="C21" s="1442"/>
    </row>
    <row r="22" spans="1:3">
      <c r="A22" s="1441" t="s">
        <v>1046</v>
      </c>
      <c r="B22" s="1441" t="s">
        <v>313</v>
      </c>
      <c r="C22" s="1442"/>
    </row>
    <row r="23" spans="1:3">
      <c r="A23" s="1441" t="s">
        <v>1047</v>
      </c>
      <c r="B23" s="1441" t="s">
        <v>313</v>
      </c>
      <c r="C23" s="1442"/>
    </row>
    <row r="24" spans="1:3">
      <c r="A24" s="1441" t="s">
        <v>1048</v>
      </c>
      <c r="B24" s="1441" t="s">
        <v>313</v>
      </c>
      <c r="C24" s="1442"/>
    </row>
    <row r="25" spans="1:3">
      <c r="A25" s="1441" t="s">
        <v>1049</v>
      </c>
      <c r="B25" s="1441" t="s">
        <v>313</v>
      </c>
      <c r="C25" s="1442"/>
    </row>
    <row r="26" spans="1:3">
      <c r="A26" s="1441" t="s">
        <v>1050</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3"/>
      <c r="B54" s="1447" t="s">
        <v>385</v>
      </c>
      <c r="C54" s="1445" t="s">
        <v>583</v>
      </c>
    </row>
    <row r="55" spans="1:4">
      <c r="A55" s="3233"/>
      <c r="B55" s="1447" t="s">
        <v>386</v>
      </c>
      <c r="C55" s="1445" t="s">
        <v>584</v>
      </c>
    </row>
    <row r="56" spans="1:4">
      <c r="A56" s="3233"/>
      <c r="B56" s="1447" t="s">
        <v>387</v>
      </c>
      <c r="C56" s="1445" t="s">
        <v>588</v>
      </c>
    </row>
    <row r="57" spans="1:4">
      <c r="A57" s="323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2485</v>
      </c>
      <c r="B1" s="2757"/>
      <c r="C1" s="2757"/>
      <c r="D1" s="2757"/>
      <c r="E1" s="2757"/>
      <c r="F1" s="2758"/>
      <c r="I1" s="3135" t="s">
        <v>2578</v>
      </c>
      <c r="J1" s="2783"/>
      <c r="K1" s="2783"/>
      <c r="L1" s="2783"/>
      <c r="M1" s="2783"/>
      <c r="N1" s="2968"/>
      <c r="O1" s="2968"/>
      <c r="P1" s="2968"/>
      <c r="Q1" s="2968"/>
      <c r="R1" s="2968"/>
    </row>
    <row r="2" spans="1:18">
      <c r="A2" s="2760"/>
      <c r="B2" s="2761"/>
      <c r="C2" s="2761"/>
      <c r="D2" s="2761"/>
      <c r="E2" s="2761"/>
      <c r="F2" s="2762"/>
      <c r="I2" s="3234" t="s">
        <v>2565</v>
      </c>
      <c r="J2" s="3234"/>
      <c r="K2" s="3234"/>
      <c r="L2" s="3234"/>
      <c r="M2" s="3234"/>
      <c r="N2" s="3234"/>
      <c r="O2" s="3234"/>
      <c r="P2" s="3234"/>
      <c r="Q2" s="3234"/>
      <c r="R2" s="3234"/>
    </row>
    <row r="3" spans="1:18">
      <c r="A3" s="2763" t="s">
        <v>2486</v>
      </c>
      <c r="B3" s="2764">
        <f>项目基本情况!D3</f>
        <v>46014</v>
      </c>
      <c r="C3" s="2766"/>
      <c r="D3" s="2766"/>
      <c r="E3" s="2766"/>
      <c r="F3" s="2762"/>
      <c r="I3" s="2778"/>
      <c r="J3" s="2778" t="s">
        <v>2569</v>
      </c>
      <c r="K3" s="2778" t="s">
        <v>2570</v>
      </c>
      <c r="L3" s="2778" t="s">
        <v>2571</v>
      </c>
      <c r="M3" s="2778" t="s">
        <v>2572</v>
      </c>
      <c r="N3" s="3136" t="s">
        <v>2573</v>
      </c>
      <c r="O3" s="3136" t="s">
        <v>2574</v>
      </c>
      <c r="P3" s="3136" t="s">
        <v>2575</v>
      </c>
      <c r="Q3" s="3136" t="s">
        <v>2576</v>
      </c>
      <c r="R3" s="3136" t="s">
        <v>2577</v>
      </c>
    </row>
    <row r="4" spans="1:18">
      <c r="A4" s="2763" t="s">
        <v>2487</v>
      </c>
      <c r="B4" s="2766" t="s">
        <v>2488</v>
      </c>
      <c r="C4" s="2766" t="s">
        <v>2489</v>
      </c>
      <c r="D4" s="2766" t="s">
        <v>2490</v>
      </c>
      <c r="E4" s="2766" t="s">
        <v>2491</v>
      </c>
      <c r="F4" s="2762"/>
      <c r="I4" s="2778" t="s">
        <v>2566</v>
      </c>
      <c r="J4" s="2778">
        <v>80</v>
      </c>
      <c r="K4" s="2778">
        <v>70</v>
      </c>
      <c r="L4" s="2778">
        <v>20</v>
      </c>
      <c r="M4" s="2778">
        <v>30</v>
      </c>
      <c r="N4" s="2766">
        <v>45</v>
      </c>
      <c r="O4" s="2766">
        <v>60</v>
      </c>
      <c r="P4" s="2766">
        <v>50</v>
      </c>
      <c r="Q4" s="2766">
        <v>20</v>
      </c>
      <c r="R4" s="2766">
        <v>375</v>
      </c>
    </row>
    <row r="5" spans="1:18">
      <c r="A5" s="2767">
        <v>40</v>
      </c>
      <c r="B5" s="2764">
        <v>46375</v>
      </c>
      <c r="C5" s="2766">
        <f>ROUNDDOWN(MIN((B5-B3)/365,A5),2)</f>
        <v>0.98</v>
      </c>
      <c r="D5" s="2768">
        <f>IF(ISERROR(ROUND(POWER(1+E5,A5-C5)*(POWER(1+E5,C5)-1)/(POWER(1+E5,A5)-1),3)),0,ROUND(POWER(1+E5,A5-C5)*(POWER(1+E5,C5)-1)/(POWER(1+E5,A5)-1),4))</f>
        <v>4.7600000000000003E-2</v>
      </c>
      <c r="E5" s="2769">
        <v>0.04</v>
      </c>
      <c r="F5" s="2762"/>
      <c r="I5" s="2778" t="s">
        <v>2567</v>
      </c>
      <c r="J5" s="2778">
        <v>70</v>
      </c>
      <c r="K5" s="2778">
        <v>60</v>
      </c>
      <c r="L5" s="2778">
        <v>15</v>
      </c>
      <c r="M5" s="2778">
        <v>25</v>
      </c>
      <c r="N5" s="2766">
        <v>40</v>
      </c>
      <c r="O5" s="2766">
        <v>50</v>
      </c>
      <c r="P5" s="2766">
        <v>40</v>
      </c>
      <c r="Q5" s="2766">
        <v>15</v>
      </c>
      <c r="R5" s="2766">
        <v>315</v>
      </c>
    </row>
    <row r="6" spans="1:18">
      <c r="A6" s="2767">
        <v>50</v>
      </c>
      <c r="B6" s="2764">
        <v>50028</v>
      </c>
      <c r="C6" s="2766">
        <f>ROUNDDOWN(MIN((B6-B3)/365,A6),2)</f>
        <v>10.99</v>
      </c>
      <c r="D6" s="2768">
        <f>IF(ISERROR(ROUND(POWER(1+E6,A6-C6)*(POWER(1+E6,C6)-1)/(POWER(1+E6,A6)-1),3)),0,ROUND(POWER(1+E6,A6-C6)*(POWER(1+E6,C6)-1)/(POWER(1+E6,A6)-1),4))</f>
        <v>0.40749999999999997</v>
      </c>
      <c r="E6" s="2769">
        <v>0.04</v>
      </c>
      <c r="F6" s="2762"/>
      <c r="I6" s="2778" t="s">
        <v>2568</v>
      </c>
      <c r="J6" s="2778">
        <v>60</v>
      </c>
      <c r="K6" s="2778">
        <v>50</v>
      </c>
      <c r="L6" s="2778">
        <v>10</v>
      </c>
      <c r="M6" s="2778">
        <v>20</v>
      </c>
      <c r="N6" s="2766">
        <v>35</v>
      </c>
      <c r="O6" s="2766">
        <v>40</v>
      </c>
      <c r="P6" s="2766">
        <v>30</v>
      </c>
      <c r="Q6" s="2766">
        <v>10</v>
      </c>
      <c r="R6" s="2766">
        <v>255</v>
      </c>
    </row>
    <row r="7" spans="1:18">
      <c r="A7" s="2767">
        <v>70</v>
      </c>
      <c r="B7" s="2764">
        <v>57333</v>
      </c>
      <c r="C7" s="2766">
        <f>ROUNDDOWN(MIN((B7-B3)/365,A7),2)</f>
        <v>31.01</v>
      </c>
      <c r="D7" s="2768">
        <f>IF(ISERROR(ROUND(POWER(1+E7,A7-C7)*(POWER(1+E7,C7)-1)/(POWER(1+E7,A7)-1),3)),0,ROUND(POWER(1+E7,A7-C7)*(POWER(1+E7,C7)-1)/(POWER(1+E7,A7)-1),4))</f>
        <v>0.75190000000000001</v>
      </c>
      <c r="E7" s="2769">
        <v>0.04</v>
      </c>
      <c r="F7" s="2762"/>
    </row>
    <row r="8" spans="1:18">
      <c r="A8" s="2760"/>
      <c r="B8" s="2761"/>
      <c r="C8" s="2761"/>
      <c r="D8" s="2761"/>
      <c r="E8" s="2761"/>
      <c r="F8" s="2762"/>
    </row>
    <row r="9" spans="1:18">
      <c r="A9" s="2763" t="s">
        <v>2492</v>
      </c>
      <c r="B9" s="2766"/>
      <c r="C9" s="2766"/>
      <c r="D9" s="2766"/>
      <c r="E9" s="2766"/>
      <c r="F9" s="2770"/>
    </row>
    <row r="10" spans="1:18">
      <c r="A10" s="2763" t="s">
        <v>2493</v>
      </c>
      <c r="B10" s="2766"/>
      <c r="C10" s="2766"/>
      <c r="D10" s="2766" t="s">
        <v>2491</v>
      </c>
      <c r="E10" s="2766"/>
      <c r="F10" s="2770" t="s">
        <v>2490</v>
      </c>
    </row>
    <row r="11" spans="1:18">
      <c r="A11" s="2763" t="s">
        <v>2494</v>
      </c>
      <c r="B11" s="2771">
        <v>70</v>
      </c>
      <c r="C11" s="2766" t="s">
        <v>2495</v>
      </c>
      <c r="D11" s="2771">
        <v>4.4999999999999998E-2</v>
      </c>
      <c r="E11" s="2766" t="s">
        <v>2496</v>
      </c>
      <c r="F11" s="2772">
        <f>ROUND(1-(1/(POWER(1+D11,B11))),4)</f>
        <v>0.95409999999999995</v>
      </c>
    </row>
    <row r="12" spans="1:18">
      <c r="A12" s="2763" t="s">
        <v>2497</v>
      </c>
      <c r="B12" s="2771">
        <v>40</v>
      </c>
      <c r="C12" s="2766" t="s">
        <v>2498</v>
      </c>
      <c r="D12" s="2771">
        <v>4.4999999999999998E-2</v>
      </c>
      <c r="E12" s="2766" t="s">
        <v>2499</v>
      </c>
      <c r="F12" s="2772">
        <f>ROUND(1-(1/(POWER(1+D12,B12))),4)</f>
        <v>0.82809999999999995</v>
      </c>
    </row>
    <row r="13" spans="1:18">
      <c r="A13" s="2763" t="s">
        <v>2500</v>
      </c>
      <c r="B13" s="2766"/>
      <c r="C13" s="2766"/>
      <c r="D13" s="2761"/>
      <c r="E13" s="2761"/>
      <c r="F13" s="2762"/>
    </row>
    <row r="14" spans="1:18">
      <c r="A14" s="2763" t="s">
        <v>2501</v>
      </c>
      <c r="B14" s="2771">
        <v>5000</v>
      </c>
      <c r="C14" s="2765"/>
      <c r="D14" s="2761"/>
      <c r="E14" s="2761"/>
      <c r="F14" s="2762"/>
    </row>
    <row r="15" spans="1:18">
      <c r="A15" s="2763" t="s">
        <v>2502</v>
      </c>
      <c r="B15" s="2766">
        <f>ROUND(B14*F12/F11,2)</f>
        <v>4339.6899999999996</v>
      </c>
      <c r="C15" s="2766">
        <f>ROUND(F12/F11,4)</f>
        <v>0.8679</v>
      </c>
      <c r="D15" s="2761"/>
      <c r="E15" s="2761"/>
      <c r="F15" s="2762"/>
    </row>
    <row r="16" spans="1:18">
      <c r="A16" s="2763" t="s">
        <v>2503</v>
      </c>
      <c r="B16" s="2766"/>
      <c r="C16" s="2766"/>
      <c r="D16" s="2761"/>
      <c r="E16" s="2761"/>
      <c r="F16" s="2762"/>
    </row>
    <row r="17" spans="1:14">
      <c r="A17" s="2763" t="s">
        <v>2502</v>
      </c>
      <c r="B17" s="2771">
        <v>4810</v>
      </c>
      <c r="C17" s="2765"/>
      <c r="D17" s="2761"/>
      <c r="E17" s="2761"/>
      <c r="F17" s="2762"/>
    </row>
    <row r="18" spans="1:14" ht="14.25" thickBot="1">
      <c r="A18" s="2773" t="s">
        <v>2501</v>
      </c>
      <c r="B18" s="2774">
        <f>ROUND(B17*F11/F12,2)</f>
        <v>5541.87</v>
      </c>
      <c r="C18" s="2774">
        <f>ROUND(F11/F12,4)</f>
        <v>1.1521999999999999</v>
      </c>
      <c r="D18" s="2775"/>
      <c r="E18" s="2775"/>
      <c r="F18" s="2776"/>
    </row>
    <row r="19" spans="1:14" ht="14.25" thickBot="1"/>
    <row r="20" spans="1:14" s="2809" customFormat="1" ht="14.25" thickTop="1">
      <c r="A20" s="2806" t="s">
        <v>2504</v>
      </c>
      <c r="B20" s="2807"/>
      <c r="C20" s="2807"/>
      <c r="D20" s="2807"/>
      <c r="E20" s="2807"/>
      <c r="F20" s="2807"/>
      <c r="G20" s="2808"/>
      <c r="I20" s="2810" t="s">
        <v>2549</v>
      </c>
      <c r="J20" s="2810" t="s">
        <v>2554</v>
      </c>
      <c r="K20" s="2810"/>
      <c r="L20" s="2810"/>
      <c r="M20" s="2810"/>
    </row>
    <row r="21" spans="1:14">
      <c r="A21" s="2777"/>
      <c r="B21" s="2778" t="s">
        <v>2505</v>
      </c>
      <c r="C21" s="2778" t="s">
        <v>2506</v>
      </c>
      <c r="D21" s="2778" t="s">
        <v>2507</v>
      </c>
      <c r="E21" s="2778" t="s">
        <v>2508</v>
      </c>
      <c r="F21" s="2778" t="s">
        <v>2509</v>
      </c>
      <c r="G21" s="2779" t="s">
        <v>2510</v>
      </c>
      <c r="I21" s="2800">
        <v>5</v>
      </c>
      <c r="J21" s="2800">
        <v>54.2</v>
      </c>
    </row>
    <row r="22" spans="1:14">
      <c r="A22" s="2777" t="s">
        <v>2511</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2512</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2552</v>
      </c>
      <c r="N23" s="3152" t="s">
        <v>2553</v>
      </c>
    </row>
    <row r="24" spans="1:14">
      <c r="A24" s="2777" t="s">
        <v>2513</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2551</v>
      </c>
      <c r="N24" s="3152">
        <v>10</v>
      </c>
    </row>
    <row r="25" spans="1:14">
      <c r="A25" s="2777" t="s">
        <v>2514</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2555</v>
      </c>
      <c r="N25" s="3152">
        <v>8</v>
      </c>
    </row>
    <row r="26" spans="1:14">
      <c r="A26" s="2782"/>
      <c r="B26" s="2783"/>
      <c r="C26" s="2783"/>
      <c r="D26" s="2783"/>
      <c r="E26" s="2783"/>
      <c r="F26" s="2783"/>
      <c r="G26" s="2784"/>
      <c r="I26" s="2800">
        <v>30</v>
      </c>
      <c r="J26" s="2800">
        <v>90.5</v>
      </c>
      <c r="K26" s="2800">
        <f t="shared" si="2"/>
        <v>4.2000000000000028</v>
      </c>
      <c r="L26" s="2800" t="s">
        <v>2556</v>
      </c>
      <c r="N26" s="3152">
        <v>5</v>
      </c>
    </row>
    <row r="27" spans="1:14">
      <c r="A27" s="2782" t="s">
        <v>2515</v>
      </c>
      <c r="B27" s="2783"/>
      <c r="C27" s="2783"/>
      <c r="D27" s="2783"/>
      <c r="E27" s="2783"/>
      <c r="F27" s="2783"/>
      <c r="G27" s="2784"/>
      <c r="I27" s="2800">
        <v>35</v>
      </c>
      <c r="J27" s="2800">
        <v>93.8</v>
      </c>
      <c r="K27" s="2800">
        <f t="shared" si="2"/>
        <v>3.2999999999999972</v>
      </c>
      <c r="L27" s="2800" t="s">
        <v>2557</v>
      </c>
      <c r="N27" s="3152">
        <v>3</v>
      </c>
    </row>
    <row r="28" spans="1:14">
      <c r="A28" s="2782" t="s">
        <v>2516</v>
      </c>
      <c r="B28" s="2783"/>
      <c r="C28" s="2783"/>
      <c r="D28" s="2783"/>
      <c r="E28" s="2783"/>
      <c r="F28" s="2783"/>
      <c r="G28" s="2784"/>
      <c r="I28" s="2800">
        <v>40</v>
      </c>
      <c r="J28" s="2800">
        <v>96.4</v>
      </c>
      <c r="K28" s="2800">
        <f t="shared" si="2"/>
        <v>2.6000000000000085</v>
      </c>
      <c r="L28" s="2800" t="s">
        <v>2558</v>
      </c>
      <c r="N28" s="3152">
        <v>2</v>
      </c>
    </row>
    <row r="29" spans="1:14">
      <c r="A29" s="2782" t="s">
        <v>2517</v>
      </c>
      <c r="B29" s="2783"/>
      <c r="C29" s="2783"/>
      <c r="D29" s="2783"/>
      <c r="E29" s="2783"/>
      <c r="F29" s="2783"/>
      <c r="G29" s="2784"/>
      <c r="I29" s="2800">
        <v>45</v>
      </c>
      <c r="J29" s="2800">
        <v>98.4</v>
      </c>
      <c r="K29" s="2800">
        <f t="shared" si="2"/>
        <v>2</v>
      </c>
    </row>
    <row r="30" spans="1:14">
      <c r="A30" s="2782" t="s">
        <v>2518</v>
      </c>
      <c r="B30" s="2783"/>
      <c r="C30" s="2783"/>
      <c r="D30" s="2783"/>
      <c r="E30" s="2783"/>
      <c r="F30" s="2783"/>
      <c r="G30" s="2784"/>
      <c r="I30" s="2800">
        <v>50</v>
      </c>
      <c r="J30" s="2800">
        <v>100</v>
      </c>
      <c r="K30" s="2800">
        <f t="shared" si="2"/>
        <v>1.5999999999999943</v>
      </c>
    </row>
    <row r="31" spans="1:14">
      <c r="A31" s="2782" t="s">
        <v>2519</v>
      </c>
      <c r="B31" s="2783"/>
      <c r="C31" s="2783"/>
      <c r="D31" s="2783"/>
      <c r="E31" s="2783"/>
      <c r="F31" s="2783"/>
      <c r="G31" s="2784"/>
      <c r="I31" s="2800" t="s">
        <v>2550</v>
      </c>
    </row>
    <row r="32" spans="1:14">
      <c r="A32" s="2782" t="s">
        <v>2520</v>
      </c>
      <c r="B32" s="2783"/>
      <c r="C32" s="2783"/>
      <c r="D32" s="2783"/>
      <c r="E32" s="2783"/>
      <c r="F32" s="2783"/>
      <c r="G32" s="2784"/>
    </row>
    <row r="33" spans="1:14">
      <c r="A33" s="2782" t="s">
        <v>2521</v>
      </c>
      <c r="B33" s="2783"/>
      <c r="C33" s="2783"/>
      <c r="D33" s="2783"/>
      <c r="E33" s="2783"/>
      <c r="F33" s="2783"/>
      <c r="G33" s="2784"/>
      <c r="I33" s="2800" t="s">
        <v>2549</v>
      </c>
      <c r="J33" s="2800" t="s">
        <v>2559</v>
      </c>
    </row>
    <row r="34" spans="1:14">
      <c r="A34" s="2782" t="s">
        <v>2522</v>
      </c>
      <c r="B34" s="2783"/>
      <c r="C34" s="2783"/>
      <c r="D34" s="2783"/>
      <c r="E34" s="2783"/>
      <c r="F34" s="2783"/>
      <c r="G34" s="2784"/>
      <c r="I34" s="2800">
        <v>5</v>
      </c>
      <c r="J34" s="2800">
        <v>55.1</v>
      </c>
    </row>
    <row r="35" spans="1:14">
      <c r="A35" s="2782" t="s">
        <v>2523</v>
      </c>
      <c r="B35" s="2783"/>
      <c r="C35" s="2783"/>
      <c r="D35" s="2783"/>
      <c r="E35" s="2783"/>
      <c r="F35" s="2783"/>
      <c r="G35" s="2784"/>
      <c r="I35" s="2800">
        <v>10</v>
      </c>
      <c r="J35" s="2800">
        <v>67</v>
      </c>
      <c r="K35" s="2800">
        <f>J35-J34</f>
        <v>11.899999999999999</v>
      </c>
    </row>
    <row r="36" spans="1:14">
      <c r="A36" s="2782" t="s">
        <v>2524</v>
      </c>
      <c r="B36" s="2783"/>
      <c r="C36" s="2783"/>
      <c r="D36" s="2783"/>
      <c r="E36" s="2783"/>
      <c r="F36" s="2783"/>
      <c r="G36" s="2784"/>
      <c r="I36" s="2800">
        <v>15</v>
      </c>
      <c r="J36" s="2800">
        <v>76.3</v>
      </c>
      <c r="K36" s="2800">
        <f t="shared" ref="K36:K41" si="3">J36-J35</f>
        <v>9.2999999999999972</v>
      </c>
      <c r="L36" s="2800" t="s">
        <v>2552</v>
      </c>
      <c r="N36" s="3152" t="s">
        <v>2553</v>
      </c>
    </row>
    <row r="37" spans="1:14">
      <c r="A37" s="2782" t="s">
        <v>2525</v>
      </c>
      <c r="B37" s="2783"/>
      <c r="C37" s="2783"/>
      <c r="D37" s="2783"/>
      <c r="E37" s="2783"/>
      <c r="F37" s="2783"/>
      <c r="G37" s="2784"/>
      <c r="I37" s="2800">
        <v>20</v>
      </c>
      <c r="J37" s="2800">
        <v>83.6</v>
      </c>
      <c r="K37" s="2800">
        <f t="shared" si="3"/>
        <v>7.2999999999999972</v>
      </c>
      <c r="L37" s="2800" t="s">
        <v>2551</v>
      </c>
      <c r="N37" s="3152">
        <v>10</v>
      </c>
    </row>
    <row r="38" spans="1:14">
      <c r="A38" s="2782" t="s">
        <v>2526</v>
      </c>
      <c r="B38" s="2783"/>
      <c r="C38" s="2783"/>
      <c r="D38" s="2783"/>
      <c r="E38" s="2783"/>
      <c r="F38" s="2783"/>
      <c r="G38" s="2784"/>
      <c r="I38" s="2800">
        <v>25</v>
      </c>
      <c r="J38" s="2800">
        <v>89.3</v>
      </c>
      <c r="K38" s="2800">
        <f t="shared" si="3"/>
        <v>5.7000000000000028</v>
      </c>
      <c r="L38" s="2800" t="s">
        <v>2555</v>
      </c>
      <c r="N38" s="3152">
        <v>8</v>
      </c>
    </row>
    <row r="39" spans="1:14">
      <c r="A39" s="2782"/>
      <c r="B39" s="2783"/>
      <c r="C39" s="2783"/>
      <c r="D39" s="2783"/>
      <c r="E39" s="2783"/>
      <c r="F39" s="2783"/>
      <c r="G39" s="2784"/>
      <c r="I39" s="2800">
        <v>30</v>
      </c>
      <c r="J39" s="2800">
        <v>93.8</v>
      </c>
      <c r="K39" s="2800">
        <f t="shared" si="3"/>
        <v>4.5</v>
      </c>
      <c r="L39" s="2800" t="s">
        <v>2556</v>
      </c>
      <c r="N39" s="3152">
        <v>6</v>
      </c>
    </row>
    <row r="40" spans="1:14">
      <c r="A40" s="2785" t="s">
        <v>2527</v>
      </c>
      <c r="B40" s="2786"/>
      <c r="C40" s="2786"/>
      <c r="D40" s="2786"/>
      <c r="E40" s="2786"/>
      <c r="F40" s="2786"/>
      <c r="G40" s="2787"/>
      <c r="I40" s="2800">
        <v>35</v>
      </c>
      <c r="J40" s="2800">
        <v>97.2</v>
      </c>
      <c r="K40" s="2800">
        <f t="shared" si="3"/>
        <v>3.4000000000000057</v>
      </c>
      <c r="L40" s="2800" t="s">
        <v>2557</v>
      </c>
      <c r="N40" s="3152">
        <v>3</v>
      </c>
    </row>
    <row r="41" spans="1:14">
      <c r="A41" s="2788" t="s">
        <v>2528</v>
      </c>
      <c r="B41" s="2789" t="s">
        <v>2529</v>
      </c>
      <c r="C41" s="2790" t="s">
        <v>2530</v>
      </c>
      <c r="D41" s="2790" t="s">
        <v>2531</v>
      </c>
      <c r="E41" s="2791"/>
      <c r="F41" s="2792"/>
      <c r="G41" s="2793"/>
      <c r="I41" s="2800">
        <v>40</v>
      </c>
      <c r="J41" s="2800">
        <v>100</v>
      </c>
      <c r="K41" s="2800">
        <f t="shared" si="3"/>
        <v>2.7999999999999972</v>
      </c>
    </row>
    <row r="42" spans="1:14">
      <c r="A42" s="2788" t="s">
        <v>2532</v>
      </c>
      <c r="B42" s="2789" t="s">
        <v>2533</v>
      </c>
      <c r="C42" s="2790" t="s">
        <v>2534</v>
      </c>
      <c r="D42" s="2794" t="s">
        <v>2535</v>
      </c>
      <c r="E42" s="2786" t="s">
        <v>2536</v>
      </c>
      <c r="F42" s="2786"/>
      <c r="G42" s="2787"/>
    </row>
    <row r="43" spans="1:14">
      <c r="A43" s="2788" t="s">
        <v>2537</v>
      </c>
      <c r="B43" s="2789" t="s">
        <v>2538</v>
      </c>
      <c r="C43" s="2790" t="s">
        <v>2539</v>
      </c>
      <c r="D43" s="2790" t="s">
        <v>2540</v>
      </c>
      <c r="E43" s="2791" t="s">
        <v>2541</v>
      </c>
      <c r="F43" s="2792"/>
      <c r="G43" s="2793"/>
      <c r="I43" s="2800" t="s">
        <v>2549</v>
      </c>
      <c r="J43" s="2800" t="s">
        <v>2560</v>
      </c>
    </row>
    <row r="44" spans="1:14">
      <c r="A44" s="2788" t="s">
        <v>2542</v>
      </c>
      <c r="B44" s="2789" t="s">
        <v>2543</v>
      </c>
      <c r="C44" s="2790" t="s">
        <v>2544</v>
      </c>
      <c r="D44" s="2794">
        <v>0.5</v>
      </c>
      <c r="E44" s="2791" t="s">
        <v>2545</v>
      </c>
      <c r="F44" s="2792"/>
      <c r="G44" s="2793"/>
      <c r="I44" s="2800">
        <v>30</v>
      </c>
      <c r="J44" s="2800">
        <v>81.7</v>
      </c>
    </row>
    <row r="45" spans="1:14" ht="14.25" thickBot="1">
      <c r="A45" s="2795" t="s">
        <v>2546</v>
      </c>
      <c r="B45" s="2796" t="s">
        <v>2533</v>
      </c>
      <c r="C45" s="2797" t="s">
        <v>2533</v>
      </c>
      <c r="D45" s="2797" t="s">
        <v>2547</v>
      </c>
      <c r="E45" s="2798" t="s">
        <v>2548</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3370</v>
      </c>
    </row>
    <row r="50" spans="1:4">
      <c r="A50" s="3144" t="s">
        <v>3371</v>
      </c>
      <c r="B50" s="3144" t="s">
        <v>3372</v>
      </c>
      <c r="C50" s="3144" t="s">
        <v>3373</v>
      </c>
      <c r="D50" s="3144" t="s">
        <v>3374</v>
      </c>
    </row>
    <row r="51" spans="1:4">
      <c r="A51" s="3144" t="s">
        <v>3375</v>
      </c>
      <c r="B51" s="2765">
        <f>B52+B53</f>
        <v>15000</v>
      </c>
      <c r="C51" s="3145">
        <f>D51/B51</f>
        <v>2666.6666666666665</v>
      </c>
      <c r="D51" s="2765">
        <f>D52+D53</f>
        <v>40000000</v>
      </c>
    </row>
    <row r="52" spans="1:4">
      <c r="A52" s="3146" t="s">
        <v>3376</v>
      </c>
      <c r="B52" s="3147">
        <v>10000</v>
      </c>
      <c r="C52" s="3147">
        <v>1500</v>
      </c>
      <c r="D52" s="3148">
        <f>C52*B52</f>
        <v>15000000</v>
      </c>
    </row>
    <row r="53" spans="1:4">
      <c r="A53" s="3146" t="s">
        <v>3377</v>
      </c>
      <c r="B53" s="3147">
        <v>5000</v>
      </c>
      <c r="C53" s="3147">
        <v>5000</v>
      </c>
      <c r="D53" s="3148">
        <f>C53*B53</f>
        <v>25000000</v>
      </c>
    </row>
    <row r="54" spans="1:4">
      <c r="A54" s="3144" t="s">
        <v>3378</v>
      </c>
      <c r="B54" s="2765">
        <f>B51</f>
        <v>15000</v>
      </c>
      <c r="C54" s="2771">
        <v>700</v>
      </c>
      <c r="D54" s="2765">
        <f t="shared" ref="D54:D55" si="5">C54*B54</f>
        <v>10500000</v>
      </c>
    </row>
    <row r="55" spans="1:4">
      <c r="A55" s="3144" t="s">
        <v>3379</v>
      </c>
      <c r="B55" s="2765">
        <f>B51</f>
        <v>15000</v>
      </c>
      <c r="C55" s="2771">
        <v>1500</v>
      </c>
      <c r="D55" s="2765">
        <f t="shared" si="5"/>
        <v>22500000</v>
      </c>
    </row>
    <row r="56" spans="1:4">
      <c r="A56" s="3144" t="s">
        <v>3380</v>
      </c>
      <c r="B56" s="2765">
        <f>B51</f>
        <v>15000</v>
      </c>
      <c r="C56" s="3149">
        <f>C51+C54+C55</f>
        <v>4866.6666666666661</v>
      </c>
      <c r="D56" s="2765">
        <f>D51+D54+D55</f>
        <v>73000000</v>
      </c>
    </row>
    <row r="58" spans="1:4">
      <c r="A58" s="3144" t="s">
        <v>3381</v>
      </c>
      <c r="B58" s="3150">
        <v>0.05</v>
      </c>
      <c r="C58" s="2765">
        <f>C56*(1+B58)</f>
        <v>5110</v>
      </c>
      <c r="D58" s="2765">
        <f>D56*B58</f>
        <v>3650000</v>
      </c>
    </row>
    <row r="60" spans="1:4">
      <c r="A60" s="3144" t="s">
        <v>3382</v>
      </c>
      <c r="B60" s="2771">
        <v>3500</v>
      </c>
      <c r="C60" s="2771">
        <f>C53</f>
        <v>5000</v>
      </c>
      <c r="D60" s="2765">
        <f>C60*B60</f>
        <v>17500000</v>
      </c>
    </row>
    <row r="62" spans="1:4">
      <c r="A62" s="3144" t="s">
        <v>3383</v>
      </c>
      <c r="B62" s="2771">
        <f>B51</f>
        <v>15000</v>
      </c>
      <c r="C62" s="3151">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23" sqref="M2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2162</v>
      </c>
      <c r="B1" s="3235" t="str">
        <f>IF(B10="北京市","北京市",C10)&amp;F10&amp;IF('结果表-地下仓储'!G1="在建","出让国有建设用地使用权及在建建筑物",IF('结果表-地下仓储'!G1="土地","出让国有建设用地使用权",))&amp;B9&amp;"预评估"</f>
        <v>北京市房地产抵押价值预评估</v>
      </c>
      <c r="C1" s="3236"/>
      <c r="D1" s="3236"/>
      <c r="E1" s="3236"/>
      <c r="F1" s="3236"/>
      <c r="G1" s="3236"/>
      <c r="H1" s="3236"/>
      <c r="I1" s="3237"/>
      <c r="J1" s="2245"/>
      <c r="K1" s="2183"/>
      <c r="L1" s="2184"/>
      <c r="M1" s="2184"/>
      <c r="N1" s="2182"/>
      <c r="O1" s="1466"/>
      <c r="P1" s="2182"/>
      <c r="Q1" s="2182"/>
      <c r="R1" s="2182"/>
      <c r="S1" s="1561" t="str">
        <f>IF(B10="北京市","北京市",C10)&amp;F10&amp;IF('结果表-地下仓储'!G1="在建","出让国有建设用地使用权及在建建筑物房地产抵押价值",IF('结果表-地下仓储'!G1="土地","出让国有建设用地使用权抵押价值",B9))</f>
        <v>北京市房地产抵押价值</v>
      </c>
      <c r="T1" s="1618"/>
      <c r="U1" s="1618"/>
      <c r="V1" s="1618"/>
      <c r="W1" s="1618"/>
      <c r="X1" s="1618"/>
      <c r="Y1" s="1618"/>
      <c r="Z1" s="1618"/>
      <c r="AA1" s="1618"/>
      <c r="AB1" s="1618"/>
    </row>
    <row r="2" spans="1:30">
      <c r="A2" s="2182" t="s">
        <v>2163</v>
      </c>
      <c r="B2" s="122"/>
      <c r="D2" s="2448"/>
      <c r="E2" s="2441"/>
      <c r="F2" s="2441"/>
      <c r="G2" s="2442"/>
      <c r="H2" s="2442"/>
      <c r="I2" s="2442"/>
      <c r="J2" s="2245"/>
      <c r="K2" s="2183"/>
      <c r="L2" s="2184"/>
      <c r="M2" s="2184"/>
      <c r="N2" s="2182"/>
      <c r="O2" s="1466"/>
      <c r="P2" s="2182"/>
      <c r="Q2" s="2182"/>
      <c r="R2" s="2182"/>
      <c r="S2" s="1561" t="str">
        <f>IF(B10="北京市","北京市",C10)&amp;F10&amp;IF('结果表-地下仓储'!G1="在建","出让国有建设用地使用权及在建建筑物房地产",IF('结果表-地下仓储'!G1="土地","出让国有建设用地使用权","房地产"))</f>
        <v>北京市房地产</v>
      </c>
      <c r="T2" s="1618"/>
      <c r="U2" s="1618"/>
      <c r="V2" s="1618"/>
      <c r="W2" s="1618"/>
      <c r="X2" s="1618"/>
      <c r="Y2" s="1618"/>
      <c r="Z2" s="1618"/>
      <c r="AA2" s="1618"/>
      <c r="AB2" s="1618"/>
    </row>
    <row r="3" spans="1:30">
      <c r="A3" s="294" t="s">
        <v>2164</v>
      </c>
      <c r="B3" s="2185">
        <v>46014</v>
      </c>
      <c r="C3" s="2186" t="s">
        <v>2165</v>
      </c>
      <c r="D3" s="2185">
        <v>46014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2166</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2167</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2168</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2169</v>
      </c>
      <c r="B7" s="2198"/>
      <c r="C7" s="2196"/>
      <c r="D7" s="2197"/>
      <c r="E7" s="2441"/>
      <c r="F7" s="2442"/>
      <c r="G7" s="2442"/>
      <c r="H7" s="2442"/>
      <c r="I7" s="2442"/>
      <c r="J7" s="2245"/>
      <c r="K7" s="2402"/>
      <c r="L7" s="2399"/>
      <c r="M7" s="2399"/>
      <c r="N7" s="2245"/>
      <c r="O7" s="1670"/>
      <c r="P7" s="2245"/>
      <c r="Q7" s="2245"/>
      <c r="R7" s="2245"/>
    </row>
    <row r="8" spans="1:30">
      <c r="A8" s="2199" t="s">
        <v>2170</v>
      </c>
      <c r="B8" s="2200" t="s">
        <v>3402</v>
      </c>
      <c r="C8" s="2201"/>
      <c r="D8" s="3238" t="s">
        <v>2171</v>
      </c>
      <c r="E8" s="2202" t="s">
        <v>3403</v>
      </c>
      <c r="F8" s="2203"/>
      <c r="G8" s="2442"/>
      <c r="H8" s="2442"/>
      <c r="I8" s="2442"/>
      <c r="J8" s="2245"/>
      <c r="K8" s="2400"/>
      <c r="L8" s="2399"/>
      <c r="M8" s="2399"/>
      <c r="N8" s="2245"/>
      <c r="O8" s="1670"/>
      <c r="P8" s="2245"/>
      <c r="Q8" s="2245"/>
      <c r="R8" s="2245"/>
    </row>
    <row r="9" spans="1:30" ht="13.5" thickBot="1">
      <c r="A9" s="2204" t="s">
        <v>2172</v>
      </c>
      <c r="B9" s="2205" t="s">
        <v>3403</v>
      </c>
      <c r="C9" s="2206"/>
      <c r="D9" s="3239"/>
      <c r="E9" s="2205" t="s">
        <v>43</v>
      </c>
      <c r="F9" s="2207"/>
      <c r="G9" s="2443"/>
      <c r="H9" s="2443"/>
      <c r="I9" s="2443"/>
      <c r="J9" s="2245"/>
      <c r="K9" s="2402"/>
      <c r="L9" s="2399"/>
      <c r="M9" s="2399"/>
      <c r="N9" s="2245"/>
      <c r="O9" s="1670"/>
      <c r="P9" s="2245"/>
      <c r="Q9" s="2245"/>
      <c r="R9" s="2245"/>
    </row>
    <row r="10" spans="1:30" ht="13.5" thickTop="1">
      <c r="A10" s="2208" t="s">
        <v>2173</v>
      </c>
      <c r="B10" s="2209" t="s">
        <v>3404</v>
      </c>
      <c r="C10" s="2210"/>
      <c r="D10" s="2193"/>
      <c r="E10" s="2211" t="s">
        <v>2174</v>
      </c>
      <c r="F10" s="2444"/>
      <c r="G10" s="2445"/>
      <c r="H10" s="2446"/>
      <c r="I10" s="2447"/>
      <c r="J10" s="2245"/>
      <c r="K10" s="2402"/>
      <c r="L10" s="2399"/>
      <c r="M10" s="2399"/>
      <c r="N10" s="2245"/>
      <c r="O10" s="1670"/>
      <c r="P10" s="2245"/>
      <c r="Q10" s="2245"/>
      <c r="R10" s="2245"/>
    </row>
    <row r="11" spans="1:30">
      <c r="A11" s="2212" t="s">
        <v>2175</v>
      </c>
      <c r="B11" s="2213" t="s">
        <v>3405</v>
      </c>
      <c r="C11" s="2214"/>
      <c r="D11" s="2215"/>
      <c r="E11" s="2182"/>
      <c r="F11" s="2182"/>
      <c r="G11" s="2182"/>
      <c r="H11" s="2182"/>
      <c r="I11" s="2182"/>
      <c r="J11" s="2802"/>
      <c r="K11" s="2399"/>
      <c r="L11" s="2399"/>
      <c r="M11" s="2399"/>
      <c r="N11" s="2245"/>
      <c r="O11" s="1670"/>
      <c r="P11" s="2245"/>
      <c r="Q11" s="2245"/>
      <c r="R11" s="2245"/>
    </row>
    <row r="12" spans="1:30">
      <c r="A12" s="2216" t="s">
        <v>2176</v>
      </c>
      <c r="B12" s="315" t="s">
        <v>2177</v>
      </c>
      <c r="C12" s="2217" t="s">
        <v>2178</v>
      </c>
      <c r="D12" s="2217" t="s">
        <v>2179</v>
      </c>
      <c r="E12" s="2217" t="s">
        <v>2180</v>
      </c>
      <c r="F12" s="2217" t="s">
        <v>2181</v>
      </c>
      <c r="G12" s="2217" t="s">
        <v>2182</v>
      </c>
      <c r="H12" s="2217" t="s">
        <v>2183</v>
      </c>
      <c r="I12" s="2801" t="s">
        <v>2561</v>
      </c>
      <c r="J12" s="2803"/>
      <c r="K12" s="2399"/>
      <c r="L12" s="2399"/>
      <c r="M12" s="2245"/>
      <c r="N12" s="1670"/>
      <c r="O12" s="2245"/>
      <c r="P12" s="2245"/>
      <c r="Q12" s="2245"/>
      <c r="AD12" s="1618"/>
    </row>
    <row r="13" spans="1:30">
      <c r="A13" s="3122" t="s">
        <v>3315</v>
      </c>
      <c r="B13" s="2218" t="s">
        <v>2184</v>
      </c>
      <c r="C13" s="803">
        <v>70658</v>
      </c>
      <c r="D13" s="803">
        <v>59700</v>
      </c>
      <c r="E13" s="803">
        <v>63353</v>
      </c>
      <c r="F13" s="803">
        <v>63353</v>
      </c>
      <c r="G13" s="803">
        <v>63353</v>
      </c>
      <c r="H13" s="803"/>
      <c r="I13" s="803">
        <v>63353</v>
      </c>
      <c r="J13" s="2803"/>
      <c r="K13" s="2399"/>
      <c r="L13" s="2399"/>
      <c r="M13" s="2245"/>
      <c r="N13" s="1670"/>
      <c r="O13" s="2245"/>
      <c r="P13" s="2245"/>
      <c r="Q13" s="2245"/>
      <c r="AD13" s="1618"/>
    </row>
    <row r="14" spans="1:30">
      <c r="A14" s="1018"/>
      <c r="B14" s="2218" t="s">
        <v>2185</v>
      </c>
      <c r="C14" s="2219">
        <v>70</v>
      </c>
      <c r="D14" s="2219">
        <v>40</v>
      </c>
      <c r="E14" s="2219">
        <v>50</v>
      </c>
      <c r="F14" s="2219">
        <v>50</v>
      </c>
      <c r="G14" s="2219">
        <v>50</v>
      </c>
      <c r="H14" s="2219"/>
      <c r="I14" s="2219">
        <v>50</v>
      </c>
      <c r="J14" s="2804"/>
      <c r="K14" s="2399"/>
      <c r="L14" s="2399"/>
      <c r="M14" s="2245"/>
      <c r="N14" s="1670"/>
      <c r="O14" s="2245"/>
      <c r="P14" s="2245"/>
      <c r="Q14" s="2245"/>
      <c r="AD14" s="1618"/>
    </row>
    <row r="15" spans="1:30">
      <c r="A15" s="312"/>
      <c r="B15" s="2220" t="s">
        <v>2186</v>
      </c>
      <c r="C15" s="2221">
        <f>IF(A13="出让",IF(C13="","",ROUNDDOWN(MIN((C13-$D$3)/365,C14),2)),C14)</f>
        <v>67.510000000000005</v>
      </c>
      <c r="D15" s="2221">
        <f>IF(A13="出让",IF(D13="","",ROUNDDOWN(MIN((D13-$D$3)/365,D14),2)),D14)</f>
        <v>37.49</v>
      </c>
      <c r="E15" s="2221">
        <f>IF(A13="出让",IF(E13="","",ROUNDDOWN(MIN((E13-$D$3)/365,E14),2)),E14)</f>
        <v>47.5</v>
      </c>
      <c r="F15" s="2221">
        <f>IF(A13="出让",IF(F13="","",ROUNDDOWN(MIN((F13-$D$3)/365,F14),2)),F14)</f>
        <v>47.5</v>
      </c>
      <c r="G15" s="2221">
        <f>IF(A13="出让",IF(G13="","",ROUNDDOWN(MIN((G13-$D$3)/365,G14),2)),G14)</f>
        <v>47.5</v>
      </c>
      <c r="H15" s="2221" t="str">
        <f>IF(A13="出让",IF(H13="","",ROUNDDOWN(MIN((H13-$D$3)/365,H14),2)),H14)</f>
        <v/>
      </c>
      <c r="I15" s="2221">
        <f>IF(A13="出让",IF(I13="","",ROUNDDOWN(MIN((I13-$D$3)/365,I14),2)),I14)</f>
        <v>47.5</v>
      </c>
      <c r="J15" s="2805"/>
      <c r="K15" s="1670"/>
      <c r="L15" s="1670"/>
      <c r="M15" s="2245"/>
      <c r="N15" s="1670"/>
      <c r="O15" s="2245"/>
      <c r="P15" s="2245"/>
      <c r="Q15" s="2245"/>
      <c r="AD15" s="1618"/>
    </row>
    <row r="16" spans="1:30">
      <c r="A16" s="2211" t="s">
        <v>2187</v>
      </c>
      <c r="B16" s="3245"/>
      <c r="C16" s="3246"/>
      <c r="D16" s="3247"/>
      <c r="E16" s="2222" t="s">
        <v>2188</v>
      </c>
      <c r="F16" s="3248"/>
      <c r="G16" s="3249"/>
      <c r="H16" s="3249"/>
      <c r="I16" s="3250"/>
      <c r="J16" s="2245"/>
      <c r="K16" s="2403"/>
      <c r="L16" s="1670"/>
      <c r="M16" s="1670"/>
      <c r="N16" s="2245"/>
      <c r="O16" s="1670"/>
      <c r="P16" s="2245"/>
      <c r="Q16" s="2245"/>
      <c r="R16" s="2245"/>
    </row>
    <row r="17" spans="1:28">
      <c r="A17" s="305" t="s">
        <v>2189</v>
      </c>
      <c r="B17" s="294" t="s">
        <v>2190</v>
      </c>
      <c r="C17" s="8">
        <f>'数据-汇总表'!E3</f>
        <v>315.39</v>
      </c>
      <c r="D17" s="1256" t="s">
        <v>2191</v>
      </c>
      <c r="E17" s="3251" t="s">
        <v>2192</v>
      </c>
      <c r="F17" s="3252"/>
      <c r="G17" s="3252"/>
      <c r="H17" s="3252"/>
      <c r="I17" s="3253"/>
      <c r="J17" s="2245"/>
      <c r="K17" s="2404"/>
      <c r="L17" s="1670"/>
      <c r="M17" s="1670"/>
      <c r="N17" s="2245"/>
      <c r="O17" s="1670"/>
      <c r="P17" s="2245"/>
      <c r="Q17" s="2245"/>
      <c r="R17" s="2245"/>
      <c r="S17" s="2245"/>
      <c r="T17" s="2245"/>
      <c r="U17" s="2245"/>
      <c r="V17" s="2245"/>
    </row>
    <row r="18" spans="1:28" ht="24.75" thickBot="1">
      <c r="A18" s="2223" t="s">
        <v>2193</v>
      </c>
      <c r="B18" s="1027" t="s">
        <v>2194</v>
      </c>
      <c r="C18" s="2224">
        <f>'数据-汇总表'!D3</f>
        <v>0</v>
      </c>
      <c r="D18" s="1029" t="s">
        <v>2195</v>
      </c>
      <c r="E18" s="3254" t="s">
        <v>2196</v>
      </c>
      <c r="F18" s="3255"/>
      <c r="G18" s="3255"/>
      <c r="H18" s="3255"/>
      <c r="I18" s="3256"/>
      <c r="J18" s="2245"/>
      <c r="K18" s="2404"/>
      <c r="L18" s="1670"/>
      <c r="M18" s="1670"/>
      <c r="N18" s="2245"/>
      <c r="O18" s="1670"/>
      <c r="P18" s="2245"/>
      <c r="Q18" s="2245"/>
      <c r="R18" s="2245"/>
      <c r="S18" s="2245"/>
      <c r="T18" s="2245"/>
      <c r="U18" s="2245"/>
      <c r="V18" s="2245"/>
    </row>
    <row r="19" spans="1:28" ht="37.5" thickTop="1" thickBot="1">
      <c r="A19" s="319" t="s">
        <v>1051</v>
      </c>
      <c r="B19" s="299" t="s">
        <v>2197</v>
      </c>
      <c r="C19" s="1455"/>
      <c r="D19" s="1456" t="s">
        <v>2198</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2199</v>
      </c>
      <c r="B20" s="3241" t="s">
        <v>2200</v>
      </c>
      <c r="C20" s="3242"/>
      <c r="D20" s="3243" t="s">
        <v>2201</v>
      </c>
      <c r="E20" s="3244"/>
      <c r="F20" s="2430" t="s">
        <v>1052</v>
      </c>
      <c r="G20" s="2442"/>
      <c r="H20" s="2442"/>
      <c r="I20" s="2442"/>
      <c r="J20" s="2245"/>
      <c r="K20" s="3240" t="s">
        <v>2202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2203</v>
      </c>
      <c r="C21" s="2296" t="s">
        <v>1053</v>
      </c>
      <c r="D21" s="1460" t="s">
        <v>2204</v>
      </c>
      <c r="E21" s="2419" t="s">
        <v>1053</v>
      </c>
      <c r="F21" s="2431"/>
      <c r="G21" s="2442"/>
      <c r="H21" s="2442"/>
      <c r="I21" s="2442"/>
      <c r="J21" s="2245"/>
      <c r="K21" s="324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2205</v>
      </c>
      <c r="C22" s="2296" t="s">
        <v>1054</v>
      </c>
      <c r="D22" s="2442"/>
      <c r="E22" s="2442"/>
      <c r="F22" s="2442"/>
      <c r="G22" s="2442"/>
      <c r="H22" s="2442"/>
      <c r="I22" s="2442"/>
      <c r="J22" s="2245"/>
      <c r="K22" s="3240"/>
      <c r="L22" s="646" t="str">
        <f>IF(E19="否","",IF('结果表-地下仓储'!D36="同一抵押权人同一抵押物续贷","由于本次评估为同一抵押权人的续贷房地产抵押估价，故未将已抵押担保的债权数额（"&amp;C26&amp;"）作为法定优先受偿款予以扣减。",IF('结果表-地下仓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2206</v>
      </c>
      <c r="B23" s="2293" t="s">
        <v>2207</v>
      </c>
      <c r="C23" s="2422"/>
      <c r="D23" s="2423" t="s">
        <v>2207</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1055</v>
      </c>
      <c r="C24" s="2271"/>
      <c r="D24" s="2421" t="s">
        <v>1055</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1056</v>
      </c>
      <c r="C25" s="2271"/>
      <c r="D25" s="2421" t="s">
        <v>1056</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1057</v>
      </c>
      <c r="C26" s="2428"/>
      <c r="D26" s="2426" t="s">
        <v>1057</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58" t="s">
        <v>2208</v>
      </c>
      <c r="B27" s="312" t="s">
        <v>2209</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58"/>
      <c r="B28" s="294" t="s">
        <v>2210</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58"/>
      <c r="B29" s="294" t="s">
        <v>2211</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59"/>
      <c r="B30" s="294" t="s">
        <v>2212</v>
      </c>
      <c r="C30" s="3260"/>
      <c r="D30" s="3261"/>
      <c r="E30" s="2442"/>
      <c r="F30" s="2442"/>
      <c r="G30" s="2442"/>
      <c r="H30" s="2442"/>
      <c r="I30" s="2442"/>
      <c r="J30" s="2245"/>
      <c r="K30" s="2402"/>
      <c r="L30" s="2399"/>
      <c r="M30" s="2399"/>
      <c r="N30" s="2245"/>
      <c r="O30" s="1670"/>
      <c r="P30" s="2245"/>
      <c r="Q30" s="2245"/>
      <c r="R30" s="2245"/>
      <c r="S30" s="2245"/>
      <c r="T30" s="2245"/>
      <c r="U30" s="2245"/>
      <c r="V30" s="2245"/>
    </row>
    <row r="31" spans="1:28">
      <c r="A31" s="3262" t="s">
        <v>2213</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6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6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2214</v>
      </c>
      <c r="B34" s="1870"/>
      <c r="C34" s="1870"/>
      <c r="D34" s="1870"/>
      <c r="E34" s="1870"/>
      <c r="F34" s="1870"/>
      <c r="G34" s="1870"/>
      <c r="H34" s="1870"/>
      <c r="I34" s="2442"/>
      <c r="J34" s="2245"/>
      <c r="K34" s="8">
        <f>COUNTIF(B34:H34,"——")</f>
        <v>0</v>
      </c>
      <c r="L34" s="315" t="s">
        <v>2215</v>
      </c>
      <c r="M34" s="315" t="s">
        <v>2216</v>
      </c>
      <c r="N34" s="315" t="s">
        <v>2217</v>
      </c>
      <c r="O34" s="315" t="s">
        <v>2218</v>
      </c>
      <c r="P34" s="315" t="s">
        <v>2219</v>
      </c>
      <c r="Q34" s="315" t="s">
        <v>2220</v>
      </c>
      <c r="R34" s="315" t="s">
        <v>2221</v>
      </c>
      <c r="S34" s="3257" t="s">
        <v>2222</v>
      </c>
      <c r="T34" s="315" t="str">
        <f>NUMBERSTRING(7-K34,1)&amp;"通"</f>
        <v>七通</v>
      </c>
      <c r="U34" s="2245"/>
      <c r="V34" s="2245"/>
    </row>
    <row r="35" spans="1:30">
      <c r="A35" s="2236"/>
      <c r="B35" s="3257" t="s">
        <v>2223</v>
      </c>
      <c r="C35" s="3257"/>
      <c r="D35" s="3257"/>
      <c r="E35" s="325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7"/>
      <c r="T35" s="138" t="str">
        <f>IF(T34="一通",L35,IF(T34="二通",M35,IF(T34="三通",N35,IF(T34="四通",O35,IF(T34="五通",P35,IF(T34="六通",Q35,R35))))))</f>
        <v>、、、、、、</v>
      </c>
      <c r="U35" s="2245"/>
      <c r="V35" s="2245"/>
    </row>
    <row r="36" spans="1:30">
      <c r="A36" s="2183"/>
      <c r="B36" s="8" t="s">
        <v>2179</v>
      </c>
      <c r="C36" s="8" t="s">
        <v>2180</v>
      </c>
      <c r="D36" s="8" t="s">
        <v>2178</v>
      </c>
      <c r="E36" s="8" t="s">
        <v>2183</v>
      </c>
      <c r="F36" s="2801" t="s">
        <v>2564</v>
      </c>
      <c r="G36" s="2442"/>
      <c r="H36" s="2442"/>
      <c r="I36" s="2442"/>
      <c r="J36" s="2245"/>
      <c r="K36" s="2402"/>
      <c r="L36" s="2399"/>
      <c r="M36" s="2399"/>
      <c r="N36" s="2245"/>
      <c r="O36" s="1670"/>
      <c r="P36" s="2245"/>
      <c r="Q36" s="2245"/>
      <c r="R36" s="2245"/>
      <c r="S36" s="2245"/>
      <c r="T36" s="2245"/>
      <c r="U36" s="2245"/>
      <c r="V36" s="2245"/>
    </row>
    <row r="37" spans="1:30">
      <c r="A37" s="2415" t="s">
        <v>2224</v>
      </c>
      <c r="B37" s="2237"/>
      <c r="C37" s="2237"/>
      <c r="D37" s="2237" t="s">
        <v>29</v>
      </c>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2225</v>
      </c>
      <c r="B38" s="2238"/>
      <c r="C38" s="2238"/>
      <c r="D38" s="2238" t="s">
        <v>166</v>
      </c>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2226</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2227</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2228</v>
      </c>
      <c r="B42" s="8" t="s">
        <v>2229</v>
      </c>
      <c r="C42" s="8" t="s">
        <v>2230</v>
      </c>
      <c r="D42" s="8" t="s">
        <v>2231</v>
      </c>
      <c r="E42" s="8" t="s">
        <v>2232</v>
      </c>
      <c r="F42" s="8" t="s">
        <v>2233</v>
      </c>
      <c r="G42" s="8" t="s">
        <v>2234</v>
      </c>
      <c r="H42" s="8" t="s">
        <v>2235</v>
      </c>
      <c r="I42" s="8" t="s">
        <v>2236</v>
      </c>
      <c r="J42" s="2411" t="s">
        <v>2237</v>
      </c>
      <c r="K42" s="2412" t="s">
        <v>2238</v>
      </c>
      <c r="L42" s="2412" t="s">
        <v>2239</v>
      </c>
      <c r="M42" s="2412" t="s">
        <v>2240</v>
      </c>
      <c r="N42" s="2405" t="s">
        <v>2241</v>
      </c>
      <c r="O42" s="2405" t="s">
        <v>2242</v>
      </c>
      <c r="P42" s="2405" t="s">
        <v>2243</v>
      </c>
      <c r="Q42" s="2406" t="s">
        <v>2244</v>
      </c>
      <c r="R42" s="2406" t="s">
        <v>2245</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6" sqref="N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1058</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1059</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1060</v>
      </c>
      <c r="B2" s="8" t="s">
        <v>1061</v>
      </c>
      <c r="C2" s="8" t="s">
        <v>1062</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1063</v>
      </c>
      <c r="AZ2" s="987" t="s">
        <v>1064</v>
      </c>
      <c r="BA2" s="8" t="s">
        <v>1065</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315.39</v>
      </c>
      <c r="C3" s="1469" t="s">
        <v>1066</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1067</v>
      </c>
      <c r="B5" s="1259"/>
      <c r="C5" s="1259"/>
      <c r="D5" s="1260"/>
      <c r="E5" s="13" t="s">
        <v>0</v>
      </c>
      <c r="F5" s="13">
        <f>SUM(F13:F587)</f>
        <v>0</v>
      </c>
      <c r="G5" s="13">
        <f>SUM(G13:G587)</f>
        <v>315.39</v>
      </c>
      <c r="H5" s="13">
        <f t="shared" ref="H5:AT5" si="0">SUM(H13:H656)</f>
        <v>315.39</v>
      </c>
      <c r="I5" s="13">
        <f t="shared" si="0"/>
        <v>272.99</v>
      </c>
      <c r="J5" s="13">
        <f t="shared" si="0"/>
        <v>0</v>
      </c>
      <c r="K5" s="13">
        <f t="shared" si="0"/>
        <v>42.4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1067</v>
      </c>
      <c r="AW5" s="1259"/>
      <c r="AX5" s="1259"/>
      <c r="AY5" s="14" t="s">
        <v>2</v>
      </c>
      <c r="AZ5" s="15">
        <f t="shared" ref="AZ5:BT5" si="1">SUM(AZ13:AZ656)</f>
        <v>315.39</v>
      </c>
      <c r="BA5" s="15">
        <f t="shared" si="1"/>
        <v>315.39</v>
      </c>
      <c r="BB5" s="15">
        <f t="shared" si="1"/>
        <v>272.99</v>
      </c>
      <c r="BC5" s="15">
        <f t="shared" si="1"/>
        <v>42.4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1068</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1068</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1069</v>
      </c>
      <c r="B7" s="1461" t="s">
        <v>1070</v>
      </c>
      <c r="C7" s="1461" t="s">
        <v>1071</v>
      </c>
      <c r="D7" s="1461" t="s">
        <v>1072</v>
      </c>
      <c r="E7" s="1461" t="s">
        <v>1073</v>
      </c>
      <c r="F7" s="1461" t="s">
        <v>1074</v>
      </c>
      <c r="G7" s="1478" t="s">
        <v>1075</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1076</v>
      </c>
      <c r="AV7" s="20" t="s">
        <v>1077</v>
      </c>
      <c r="AW7" s="1466" t="s">
        <v>1078</v>
      </c>
      <c r="AX7" s="20" t="s">
        <v>1071</v>
      </c>
      <c r="AY7" s="1259" t="s">
        <v>1079</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1080</v>
      </c>
      <c r="H8" s="1484" t="s">
        <v>1081</v>
      </c>
      <c r="I8" s="1485"/>
      <c r="J8" s="1269"/>
      <c r="K8" s="1269"/>
      <c r="L8" s="1269"/>
      <c r="M8" s="1269"/>
      <c r="N8" s="1269"/>
      <c r="O8" s="1269"/>
      <c r="P8" s="1269"/>
      <c r="Q8" s="1269"/>
      <c r="R8" s="1269"/>
      <c r="S8" s="1269"/>
      <c r="T8" s="1269"/>
      <c r="U8" s="1269"/>
      <c r="V8" s="1486"/>
      <c r="W8" s="1269"/>
      <c r="X8" s="1269"/>
      <c r="Y8" s="1269"/>
      <c r="Z8" s="1269"/>
      <c r="AA8" s="1486"/>
      <c r="AB8" s="1487"/>
      <c r="AC8" s="761" t="s">
        <v>1082</v>
      </c>
      <c r="AD8" s="1488"/>
      <c r="AE8" s="1480"/>
      <c r="AF8" s="1269"/>
      <c r="AG8" s="1269"/>
      <c r="AH8" s="1269"/>
      <c r="AI8" s="1269"/>
      <c r="AJ8" s="1269"/>
      <c r="AK8" s="1269"/>
      <c r="AL8" s="1269"/>
      <c r="AM8" s="1269"/>
      <c r="AN8" s="1269"/>
      <c r="AO8" s="1269"/>
      <c r="AP8" s="1269"/>
      <c r="AQ8" s="1269"/>
      <c r="AR8" s="1269"/>
      <c r="AS8" s="1269"/>
      <c r="AT8" s="1007" t="s">
        <v>1083</v>
      </c>
      <c r="AU8" s="1482" t="s">
        <v>1084</v>
      </c>
      <c r="AV8" s="1007"/>
      <c r="AW8" s="1467"/>
      <c r="AX8" s="1007"/>
      <c r="AY8" s="1466" t="s">
        <v>1085</v>
      </c>
      <c r="AZ8" s="1268" t="s">
        <v>1086</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1087</v>
      </c>
      <c r="I9" s="1491" t="s">
        <v>4790</v>
      </c>
      <c r="J9" s="761"/>
      <c r="K9" s="1491" t="s">
        <v>4791</v>
      </c>
      <c r="L9" s="761"/>
      <c r="M9" s="1491"/>
      <c r="N9" s="761"/>
      <c r="O9" s="1491"/>
      <c r="P9" s="761"/>
      <c r="Q9" s="1491"/>
      <c r="R9" s="761"/>
      <c r="S9" s="1491"/>
      <c r="T9" s="761"/>
      <c r="U9" s="1491"/>
      <c r="V9" s="761"/>
      <c r="W9" s="1491"/>
      <c r="X9" s="1492"/>
      <c r="Y9" s="1491"/>
      <c r="Z9" s="761"/>
      <c r="AA9" s="1491"/>
      <c r="AB9" s="761"/>
      <c r="AC9" s="1483" t="s">
        <v>1087</v>
      </c>
      <c r="AD9" s="12" t="s">
        <v>1088</v>
      </c>
      <c r="AE9" s="1013"/>
      <c r="AF9" s="12" t="s">
        <v>1089</v>
      </c>
      <c r="AG9" s="1013"/>
      <c r="AH9" s="12" t="s">
        <v>1088</v>
      </c>
      <c r="AI9" s="1013"/>
      <c r="AJ9" s="12" t="s">
        <v>1089</v>
      </c>
      <c r="AK9" s="1013"/>
      <c r="AL9" s="12" t="s">
        <v>1088</v>
      </c>
      <c r="AM9" s="1013"/>
      <c r="AN9" s="12" t="s">
        <v>1089</v>
      </c>
      <c r="AO9" s="1013"/>
      <c r="AP9" s="12" t="s">
        <v>1088</v>
      </c>
      <c r="AQ9" s="1013"/>
      <c r="AR9" s="12" t="s">
        <v>1089</v>
      </c>
      <c r="AS9" s="1493"/>
      <c r="AT9" s="1482"/>
      <c r="AU9" s="1482" t="s">
        <v>1090</v>
      </c>
      <c r="AV9" s="1007"/>
      <c r="AW9" s="1467"/>
      <c r="AX9" s="1007"/>
      <c r="AY9" s="25"/>
      <c r="AZ9" s="25" t="s">
        <v>1080</v>
      </c>
      <c r="BA9" s="1494" t="s">
        <v>1091</v>
      </c>
      <c r="BB9" s="1495"/>
      <c r="BC9" s="1025"/>
      <c r="BD9" s="1025"/>
      <c r="BE9" s="1025"/>
      <c r="BF9" s="1025"/>
      <c r="BG9" s="1025"/>
      <c r="BH9" s="1025"/>
      <c r="BI9" s="1025"/>
      <c r="BJ9" s="1025"/>
      <c r="BK9" s="1496"/>
      <c r="BL9" s="12" t="s">
        <v>1092</v>
      </c>
      <c r="BM9" s="1269"/>
      <c r="BN9" s="1485"/>
      <c r="BO9" s="1269"/>
      <c r="BP9" s="1269"/>
      <c r="BQ9" s="1269"/>
      <c r="BR9" s="1269"/>
      <c r="BS9" s="1269"/>
      <c r="BT9" s="23"/>
    </row>
    <row r="10" spans="1:72" s="1489" customFormat="1" ht="12.75">
      <c r="A10" s="1482"/>
      <c r="B10" s="1482"/>
      <c r="C10" s="1482"/>
      <c r="D10" s="1482"/>
      <c r="E10" s="1482"/>
      <c r="F10" s="1482"/>
      <c r="G10" s="1007"/>
      <c r="H10" s="25"/>
      <c r="I10" s="1491" t="s">
        <v>3387</v>
      </c>
      <c r="J10" s="761"/>
      <c r="K10" s="1497" t="s">
        <v>3317</v>
      </c>
      <c r="L10" s="761"/>
      <c r="M10" s="1497"/>
      <c r="N10" s="761"/>
      <c r="O10" s="1497"/>
      <c r="P10" s="761"/>
      <c r="Q10" s="1497"/>
      <c r="R10" s="761"/>
      <c r="S10" s="1497"/>
      <c r="T10" s="761"/>
      <c r="U10" s="1497"/>
      <c r="V10" s="761"/>
      <c r="W10" s="1497"/>
      <c r="X10" s="761"/>
      <c r="Y10" s="1497"/>
      <c r="Z10" s="761"/>
      <c r="AA10" s="1497"/>
      <c r="AB10" s="761"/>
      <c r="AC10" s="1007"/>
      <c r="AD10" s="12" t="s">
        <v>1093</v>
      </c>
      <c r="AE10" s="1498"/>
      <c r="AF10" s="12" t="s">
        <v>1093</v>
      </c>
      <c r="AG10" s="1498"/>
      <c r="AH10" s="12" t="s">
        <v>1094</v>
      </c>
      <c r="AI10" s="1498"/>
      <c r="AJ10" s="12" t="s">
        <v>1094</v>
      </c>
      <c r="AK10" s="1498"/>
      <c r="AL10" s="12" t="s">
        <v>1095</v>
      </c>
      <c r="AM10" s="1013"/>
      <c r="AN10" s="12" t="s">
        <v>1095</v>
      </c>
      <c r="AO10" s="1013"/>
      <c r="AP10" s="12" t="s">
        <v>1096</v>
      </c>
      <c r="AQ10" s="1013"/>
      <c r="AR10" s="12" t="s">
        <v>1096</v>
      </c>
      <c r="AS10" s="1013"/>
      <c r="AT10" s="1482"/>
      <c r="AU10" s="1482"/>
      <c r="AV10" s="1007"/>
      <c r="AW10" s="1467"/>
      <c r="AX10" s="1007"/>
      <c r="AY10" s="25"/>
      <c r="AZ10" s="25"/>
      <c r="BA10" s="1499" t="s">
        <v>1087</v>
      </c>
      <c r="BB10" s="1500" t="str">
        <f>I9</f>
        <v>地上</v>
      </c>
      <c r="BC10" s="26" t="str">
        <f>K9</f>
        <v>地下</v>
      </c>
      <c r="BD10" s="26">
        <f>M9</f>
        <v>0</v>
      </c>
      <c r="BE10" s="26">
        <f>O9</f>
        <v>0</v>
      </c>
      <c r="BF10" s="26">
        <f>Q9</f>
        <v>0</v>
      </c>
      <c r="BG10" s="26">
        <f>S9</f>
        <v>0</v>
      </c>
      <c r="BH10" s="26">
        <f>U9</f>
        <v>0</v>
      </c>
      <c r="BI10" s="26">
        <f>W9</f>
        <v>0</v>
      </c>
      <c r="BJ10" s="26">
        <f>Y9</f>
        <v>0</v>
      </c>
      <c r="BK10" s="26">
        <f>AA9</f>
        <v>0</v>
      </c>
      <c r="BL10" s="22" t="s">
        <v>1087</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1097</v>
      </c>
      <c r="AE11" s="1270"/>
      <c r="AF11" s="1504" t="s">
        <v>1097</v>
      </c>
      <c r="AG11" s="1270"/>
      <c r="AH11" s="1504" t="s">
        <v>1098</v>
      </c>
      <c r="AI11" s="1505"/>
      <c r="AJ11" s="1504" t="s">
        <v>1098</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仓储</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58" t="s">
        <v>1100</v>
      </c>
      <c r="W12" s="8" t="s">
        <v>1099</v>
      </c>
      <c r="X12" s="8" t="s">
        <v>1100</v>
      </c>
      <c r="Y12" s="8" t="s">
        <v>1099</v>
      </c>
      <c r="Z12" s="8" t="s">
        <v>1100</v>
      </c>
      <c r="AA12" s="8" t="s">
        <v>1099</v>
      </c>
      <c r="AB12" s="8" t="s">
        <v>1100</v>
      </c>
      <c r="AC12" s="1509"/>
      <c r="AD12" s="1260"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507" t="s">
        <v>1100</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5" t="s">
        <v>4786</v>
      </c>
      <c r="D13" s="1513" t="s">
        <v>4789</v>
      </c>
      <c r="E13" s="13">
        <f>IF($C$3="是",ROUND($A$3*G13/$B$3,2),ROUND($A$3*(G13-AT13)/$B$3,2))</f>
        <v>0</v>
      </c>
      <c r="F13" s="29"/>
      <c r="G13" s="30">
        <f>H13+AC13+AT13</f>
        <v>272.99</v>
      </c>
      <c r="H13" s="17">
        <f>SUMIF(I$12:AB$12,"总值",I13:AB13)</f>
        <v>272.99</v>
      </c>
      <c r="I13" s="1514">
        <f>'12.23面积'!E2</f>
        <v>272.99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住宅</v>
      </c>
      <c r="AY13" s="1260">
        <f>ROUND($AY$6*AZ13/$AZ$5,2)</f>
        <v>0</v>
      </c>
      <c r="AZ13" s="13">
        <f>BA13+BL13</f>
        <v>272.99</v>
      </c>
      <c r="BA13" s="13">
        <f>SUM(BB13:BK13)</f>
        <v>272.99</v>
      </c>
      <c r="BB13" s="13">
        <f>IF($D13="是",I13-J13,0)</f>
        <v>272.99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75" t="s">
        <v>4788</v>
      </c>
      <c r="D14" s="1513" t="s">
        <v>4789</v>
      </c>
      <c r="E14" s="13">
        <f>IF($C$3="是",ROUND($A$3*G14/$B$3,2),ROUND($A$3*(G14-AT14)/$B$3,2))</f>
        <v>0</v>
      </c>
      <c r="F14" s="29"/>
      <c r="G14" s="30">
        <f>H14+AC14+AT14</f>
        <v>42.4</v>
      </c>
      <c r="H14" s="17">
        <f>SUMIF(I$12:AB$12,"总值",I14:AB14)</f>
        <v>42.4</v>
      </c>
      <c r="I14" s="1514"/>
      <c r="J14" s="1514"/>
      <c r="K14" s="1514">
        <f>'12.23面积'!N3</f>
        <v>42.4</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地下仓储</v>
      </c>
      <c r="AY14" s="1260">
        <f>ROUND($AY$6*AZ14/$AZ$5,2)</f>
        <v>0</v>
      </c>
      <c r="AZ14" s="13">
        <f>BA14+BL14</f>
        <v>42.4</v>
      </c>
      <c r="BA14" s="13">
        <f>SUM(BB14:BK14)</f>
        <v>42.4</v>
      </c>
      <c r="BB14" s="13">
        <f>IF($D14="是",I14-J14,0)</f>
        <v>0</v>
      </c>
      <c r="BC14" s="13">
        <f>IF($D14="是",K14-L14,0)</f>
        <v>42.4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2D86-4DC2-4094-8E07-504862584295}">
  <dimension ref="A1:N354"/>
  <sheetViews>
    <sheetView zoomScale="90" zoomScaleNormal="90" workbookViewId="0">
      <selection activeCell="D22" sqref="D22"/>
    </sheetView>
  </sheetViews>
  <sheetFormatPr defaultRowHeight="13.5"/>
  <cols>
    <col min="2" max="2" width="35.25" customWidth="1"/>
    <col min="3" max="3" width="8.5" bestFit="1" customWidth="1"/>
    <col min="4" max="4" width="24.5" bestFit="1" customWidth="1"/>
    <col min="5" max="5" width="9.5" bestFit="1" customWidth="1"/>
    <col min="6" max="6" width="5.25" bestFit="1" customWidth="1"/>
    <col min="9" max="9" width="30.875" bestFit="1" customWidth="1"/>
    <col min="11" max="11" width="24.5" bestFit="1" customWidth="1"/>
  </cols>
  <sheetData>
    <row r="1" spans="1:13" ht="15.75" thickBot="1">
      <c r="A1" s="3264" t="s">
        <v>4785</v>
      </c>
      <c r="B1" s="3264"/>
      <c r="C1" s="3264"/>
      <c r="D1" s="3265"/>
      <c r="E1" s="3264"/>
      <c r="H1" s="3169" t="s">
        <v>3406</v>
      </c>
      <c r="I1" s="3170" t="s">
        <v>3407</v>
      </c>
      <c r="J1" s="3170" t="s">
        <v>3408</v>
      </c>
      <c r="K1" s="3171" t="s">
        <v>3409</v>
      </c>
      <c r="L1" s="3172" t="s">
        <v>3410</v>
      </c>
      <c r="M1" s="3173" t="s">
        <v>668</v>
      </c>
    </row>
    <row r="2" spans="1:13" ht="15.75" thickBot="1">
      <c r="H2" s="3169">
        <v>13</v>
      </c>
      <c r="I2" s="3170" t="s">
        <v>3441</v>
      </c>
      <c r="J2" s="3170" t="s">
        <v>3442</v>
      </c>
      <c r="K2" s="3171" t="s">
        <v>3443</v>
      </c>
      <c r="L2" s="3172">
        <v>42.4</v>
      </c>
      <c r="M2" s="3173" t="s">
        <v>3317</v>
      </c>
    </row>
    <row r="3" spans="1:13" ht="15.75" thickBot="1">
      <c r="A3" s="3169" t="s">
        <v>3406</v>
      </c>
      <c r="B3" s="3170" t="s">
        <v>3407</v>
      </c>
      <c r="C3" s="3170" t="s">
        <v>3408</v>
      </c>
      <c r="D3" s="3171" t="s">
        <v>3409</v>
      </c>
      <c r="E3" s="3172" t="s">
        <v>3410</v>
      </c>
      <c r="F3" s="3173" t="s">
        <v>668</v>
      </c>
      <c r="H3" s="3169">
        <v>14</v>
      </c>
      <c r="I3" s="3170" t="s">
        <v>3444</v>
      </c>
      <c r="J3" s="3170" t="s">
        <v>3445</v>
      </c>
      <c r="K3" s="3171" t="s">
        <v>3446</v>
      </c>
      <c r="L3" s="3172">
        <v>47.18</v>
      </c>
      <c r="M3" s="3173" t="s">
        <v>3317</v>
      </c>
    </row>
    <row r="4" spans="1:13" ht="15.75" thickBot="1">
      <c r="A4" s="3169">
        <v>1</v>
      </c>
      <c r="B4" s="3170" t="s">
        <v>3411</v>
      </c>
      <c r="C4" s="3170" t="s">
        <v>3412</v>
      </c>
      <c r="D4" s="3171" t="s">
        <v>3413</v>
      </c>
      <c r="E4" s="3172">
        <v>272.99</v>
      </c>
      <c r="F4" s="3173" t="s">
        <v>3387</v>
      </c>
      <c r="H4" s="3169">
        <v>15</v>
      </c>
      <c r="I4" s="3170" t="s">
        <v>3447</v>
      </c>
      <c r="J4" s="3170" t="s">
        <v>3448</v>
      </c>
      <c r="K4" s="3171" t="s">
        <v>3449</v>
      </c>
      <c r="L4" s="3172">
        <v>62.35</v>
      </c>
      <c r="M4" s="3173" t="s">
        <v>3317</v>
      </c>
    </row>
    <row r="5" spans="1:13" ht="15.75" thickBot="1">
      <c r="A5" s="3169">
        <v>2</v>
      </c>
      <c r="B5" s="3170" t="s">
        <v>3414</v>
      </c>
      <c r="C5" s="3170" t="s">
        <v>3415</v>
      </c>
      <c r="D5" s="3171" t="s">
        <v>3416</v>
      </c>
      <c r="E5" s="3172">
        <v>271.81</v>
      </c>
      <c r="F5" s="3173" t="s">
        <v>3387</v>
      </c>
      <c r="H5" s="3169">
        <v>16</v>
      </c>
      <c r="I5" s="3170" t="s">
        <v>3450</v>
      </c>
      <c r="J5" s="3170" t="s">
        <v>3451</v>
      </c>
      <c r="K5" s="3171" t="s">
        <v>3452</v>
      </c>
      <c r="L5" s="3172">
        <v>61.39</v>
      </c>
      <c r="M5" s="3173" t="s">
        <v>3317</v>
      </c>
    </row>
    <row r="6" spans="1:13" ht="15.75" thickBot="1">
      <c r="A6" s="3169">
        <v>3</v>
      </c>
      <c r="B6" s="3174" t="e">
        <v>#NAME?</v>
      </c>
      <c r="C6" s="3170" t="s">
        <v>3417</v>
      </c>
      <c r="D6" s="3171" t="s">
        <v>3418</v>
      </c>
      <c r="E6" s="3172">
        <v>273.05</v>
      </c>
      <c r="F6" s="3173" t="s">
        <v>3387</v>
      </c>
      <c r="H6" s="3169">
        <v>17</v>
      </c>
      <c r="I6" s="3170" t="s">
        <v>3453</v>
      </c>
      <c r="J6" s="3170" t="s">
        <v>3454</v>
      </c>
      <c r="K6" s="3171" t="s">
        <v>3455</v>
      </c>
      <c r="L6" s="3172">
        <v>61.39</v>
      </c>
      <c r="M6" s="3173" t="s">
        <v>3317</v>
      </c>
    </row>
    <row r="7" spans="1:13" ht="15.75" thickBot="1">
      <c r="A7" s="3169">
        <v>4</v>
      </c>
      <c r="B7" s="3174" t="e">
        <v>#NAME?</v>
      </c>
      <c r="C7" s="3170" t="s">
        <v>3419</v>
      </c>
      <c r="D7" s="3171" t="s">
        <v>3420</v>
      </c>
      <c r="E7" s="3172">
        <v>271.88</v>
      </c>
      <c r="F7" s="3173" t="s">
        <v>3387</v>
      </c>
      <c r="H7" s="3169">
        <v>18</v>
      </c>
      <c r="I7" s="3170" t="s">
        <v>3456</v>
      </c>
      <c r="J7" s="3170" t="s">
        <v>3457</v>
      </c>
      <c r="K7" s="3171" t="s">
        <v>3458</v>
      </c>
      <c r="L7" s="3172">
        <v>62.35</v>
      </c>
      <c r="M7" s="3173" t="s">
        <v>3317</v>
      </c>
    </row>
    <row r="8" spans="1:13" ht="15.75" thickBot="1">
      <c r="A8" s="3169">
        <v>6</v>
      </c>
      <c r="B8" s="3170" t="s">
        <v>3421</v>
      </c>
      <c r="C8" s="3170" t="s">
        <v>3422</v>
      </c>
      <c r="D8" s="3171" t="s">
        <v>3423</v>
      </c>
      <c r="E8" s="3172">
        <v>271.88</v>
      </c>
      <c r="F8" s="3173" t="s">
        <v>3387</v>
      </c>
      <c r="H8" s="3169">
        <v>19</v>
      </c>
      <c r="I8" s="3170" t="s">
        <v>3459</v>
      </c>
      <c r="J8" s="3170" t="s">
        <v>3460</v>
      </c>
      <c r="K8" s="3171" t="s">
        <v>3461</v>
      </c>
      <c r="L8" s="3172">
        <v>47.18</v>
      </c>
      <c r="M8" s="3173" t="s">
        <v>3317</v>
      </c>
    </row>
    <row r="9" spans="1:13" ht="15.75" thickBot="1">
      <c r="A9" s="3169">
        <v>7</v>
      </c>
      <c r="B9" s="3170" t="s">
        <v>3424</v>
      </c>
      <c r="C9" s="3170" t="s">
        <v>3425</v>
      </c>
      <c r="D9" s="3171" t="s">
        <v>3426</v>
      </c>
      <c r="E9" s="3172">
        <v>271.88</v>
      </c>
      <c r="F9" s="3173" t="s">
        <v>3387</v>
      </c>
      <c r="H9" s="3169">
        <v>20</v>
      </c>
      <c r="I9" s="3170" t="s">
        <v>3462</v>
      </c>
      <c r="J9" s="3170" t="s">
        <v>3463</v>
      </c>
      <c r="K9" s="3171" t="s">
        <v>3464</v>
      </c>
      <c r="L9" s="3172">
        <v>42.77</v>
      </c>
      <c r="M9" s="3173" t="s">
        <v>3317</v>
      </c>
    </row>
    <row r="10" spans="1:13" ht="15.75" thickBot="1">
      <c r="A10" s="3169">
        <v>8</v>
      </c>
      <c r="B10" s="3170" t="s">
        <v>3427</v>
      </c>
      <c r="C10" s="3170" t="s">
        <v>3428</v>
      </c>
      <c r="D10" s="3171" t="s">
        <v>3429</v>
      </c>
      <c r="E10" s="3172">
        <v>271.81</v>
      </c>
      <c r="F10" s="3173" t="s">
        <v>3387</v>
      </c>
      <c r="H10" s="3169">
        <v>21</v>
      </c>
      <c r="I10" s="3170" t="s">
        <v>3465</v>
      </c>
      <c r="J10" s="3170" t="s">
        <v>3466</v>
      </c>
      <c r="K10" s="3171" t="s">
        <v>3467</v>
      </c>
      <c r="L10" s="3172">
        <v>42.77</v>
      </c>
      <c r="M10" s="3173" t="s">
        <v>3317</v>
      </c>
    </row>
    <row r="11" spans="1:13" ht="15.75" thickBot="1">
      <c r="A11" s="3169">
        <v>9</v>
      </c>
      <c r="B11" s="3170" t="s">
        <v>3430</v>
      </c>
      <c r="C11" s="3170" t="s">
        <v>3431</v>
      </c>
      <c r="D11" s="3171" t="s">
        <v>3432</v>
      </c>
      <c r="E11" s="3172">
        <v>272.99</v>
      </c>
      <c r="F11" s="3173" t="s">
        <v>3387</v>
      </c>
      <c r="H11" s="3169">
        <v>22</v>
      </c>
      <c r="I11" s="3170" t="s">
        <v>3468</v>
      </c>
      <c r="J11" s="3170" t="s">
        <v>3469</v>
      </c>
      <c r="K11" s="3171" t="s">
        <v>3470</v>
      </c>
      <c r="L11" s="3172">
        <v>47.18</v>
      </c>
      <c r="M11" s="3173" t="s">
        <v>3317</v>
      </c>
    </row>
    <row r="12" spans="1:13" ht="15.75" thickBot="1">
      <c r="A12" s="3169">
        <v>10</v>
      </c>
      <c r="B12" s="3174" t="e">
        <v>#NAME?</v>
      </c>
      <c r="C12" s="3170" t="s">
        <v>3433</v>
      </c>
      <c r="D12" s="3171" t="s">
        <v>3434</v>
      </c>
      <c r="E12" s="3172">
        <v>271.88</v>
      </c>
      <c r="F12" s="3173" t="s">
        <v>3387</v>
      </c>
      <c r="H12" s="3169">
        <v>23</v>
      </c>
      <c r="I12" s="3170" t="s">
        <v>3471</v>
      </c>
      <c r="J12" s="3170" t="s">
        <v>3472</v>
      </c>
      <c r="K12" s="3171" t="s">
        <v>3473</v>
      </c>
      <c r="L12" s="3172">
        <v>62.35</v>
      </c>
      <c r="M12" s="3173" t="s">
        <v>3317</v>
      </c>
    </row>
    <row r="13" spans="1:13" ht="15.75" thickBot="1">
      <c r="A13" s="3169">
        <v>11</v>
      </c>
      <c r="B13" s="3170" t="s">
        <v>3435</v>
      </c>
      <c r="C13" s="3170" t="s">
        <v>3436</v>
      </c>
      <c r="D13" s="3171" t="s">
        <v>3437</v>
      </c>
      <c r="E13" s="3172">
        <v>271.88</v>
      </c>
      <c r="F13" s="3173" t="s">
        <v>3387</v>
      </c>
      <c r="H13" s="3169">
        <v>24</v>
      </c>
      <c r="I13" s="3170" t="s">
        <v>3474</v>
      </c>
      <c r="J13" s="3170" t="s">
        <v>3475</v>
      </c>
      <c r="K13" s="3171" t="s">
        <v>3476</v>
      </c>
      <c r="L13" s="3172">
        <v>61.39</v>
      </c>
      <c r="M13" s="3173" t="s">
        <v>3317</v>
      </c>
    </row>
    <row r="14" spans="1:13" ht="15.75" thickBot="1">
      <c r="A14" s="3169">
        <v>12</v>
      </c>
      <c r="B14" s="3170" t="s">
        <v>3438</v>
      </c>
      <c r="C14" s="3170" t="s">
        <v>3439</v>
      </c>
      <c r="D14" s="3171" t="s">
        <v>3440</v>
      </c>
      <c r="E14" s="3172">
        <v>271.88</v>
      </c>
      <c r="F14" s="3173" t="s">
        <v>3387</v>
      </c>
      <c r="H14" s="3169">
        <v>25</v>
      </c>
      <c r="I14" s="3170" t="s">
        <v>3477</v>
      </c>
      <c r="J14" s="3170" t="s">
        <v>3478</v>
      </c>
      <c r="K14" s="3171" t="s">
        <v>3479</v>
      </c>
      <c r="L14" s="3172">
        <v>61.39</v>
      </c>
      <c r="M14" s="3173" t="s">
        <v>3317</v>
      </c>
    </row>
    <row r="15" spans="1:13" ht="15.75" thickBot="1">
      <c r="A15" s="3169">
        <v>35</v>
      </c>
      <c r="B15" s="3174" t="e">
        <v>#NAME?</v>
      </c>
      <c r="C15" s="3174" t="s">
        <v>3504</v>
      </c>
      <c r="D15" s="3171" t="s">
        <v>3505</v>
      </c>
      <c r="E15" s="3172">
        <v>230.81</v>
      </c>
      <c r="F15" s="3173" t="s">
        <v>3387</v>
      </c>
      <c r="H15" s="3169">
        <v>26</v>
      </c>
      <c r="I15" s="3170" t="s">
        <v>3480</v>
      </c>
      <c r="J15" s="3170" t="s">
        <v>3481</v>
      </c>
      <c r="K15" s="3171" t="s">
        <v>3482</v>
      </c>
      <c r="L15" s="3172">
        <v>62.35</v>
      </c>
      <c r="M15" s="3173" t="s">
        <v>3317</v>
      </c>
    </row>
    <row r="16" spans="1:13" ht="15.75" thickBot="1">
      <c r="E16">
        <f>SUM(E4:E15)</f>
        <v>3224.7400000000002</v>
      </c>
      <c r="H16" s="3169">
        <v>27</v>
      </c>
      <c r="I16" s="3170" t="s">
        <v>3483</v>
      </c>
      <c r="J16" s="3170" t="s">
        <v>3484</v>
      </c>
      <c r="K16" s="3171" t="s">
        <v>3485</v>
      </c>
      <c r="L16" s="3172">
        <v>47.18</v>
      </c>
      <c r="M16" s="3173" t="s">
        <v>3317</v>
      </c>
    </row>
    <row r="17" spans="1:14" ht="15.75" thickBot="1">
      <c r="H17" s="3169">
        <v>28</v>
      </c>
      <c r="I17" s="3170" t="s">
        <v>3486</v>
      </c>
      <c r="J17" s="3170" t="s">
        <v>3487</v>
      </c>
      <c r="K17" s="3171" t="s">
        <v>3488</v>
      </c>
      <c r="L17" s="3172">
        <v>54.43</v>
      </c>
      <c r="M17" s="3173" t="s">
        <v>3317</v>
      </c>
    </row>
    <row r="18" spans="1:14" ht="15.75" thickBot="1">
      <c r="H18" s="3169">
        <v>29</v>
      </c>
      <c r="I18" s="3170" t="s">
        <v>3489</v>
      </c>
      <c r="J18" s="3170" t="s">
        <v>3490</v>
      </c>
      <c r="K18" s="3171" t="s">
        <v>3491</v>
      </c>
      <c r="L18" s="3172">
        <v>15.15</v>
      </c>
      <c r="M18" s="3173" t="s">
        <v>3317</v>
      </c>
    </row>
    <row r="19" spans="1:14" ht="15.75" thickBot="1">
      <c r="H19" s="3169">
        <v>31</v>
      </c>
      <c r="I19" s="3170" t="s">
        <v>3492</v>
      </c>
      <c r="J19" s="3170" t="s">
        <v>3493</v>
      </c>
      <c r="K19" s="3171" t="s">
        <v>3494</v>
      </c>
      <c r="L19" s="3172">
        <v>22.9</v>
      </c>
      <c r="M19" s="3173" t="s">
        <v>3317</v>
      </c>
    </row>
    <row r="20" spans="1:14" ht="15.75" thickBot="1">
      <c r="H20" s="3169">
        <v>32</v>
      </c>
      <c r="I20" s="3170" t="s">
        <v>3495</v>
      </c>
      <c r="J20" s="3170" t="s">
        <v>3496</v>
      </c>
      <c r="K20" s="3171" t="s">
        <v>3497</v>
      </c>
      <c r="L20" s="3172">
        <v>22.9</v>
      </c>
      <c r="M20" s="3173" t="s">
        <v>3317</v>
      </c>
    </row>
    <row r="21" spans="1:14" ht="15.75" thickBot="1">
      <c r="E21" s="1405" t="s">
        <v>4832</v>
      </c>
      <c r="H21" s="3169">
        <v>33</v>
      </c>
      <c r="I21" s="3170" t="s">
        <v>3498</v>
      </c>
      <c r="J21" s="3170" t="s">
        <v>3499</v>
      </c>
      <c r="K21" s="3171" t="s">
        <v>3500</v>
      </c>
      <c r="L21" s="3172">
        <v>22.9</v>
      </c>
      <c r="M21" s="3173" t="s">
        <v>3317</v>
      </c>
    </row>
    <row r="22" spans="1:14" ht="15.75" thickBot="1">
      <c r="E22">
        <f>E16+L29+E138+L354</f>
        <v>37768.590000000011</v>
      </c>
      <c r="H22" s="3169">
        <v>34</v>
      </c>
      <c r="I22" s="3170" t="s">
        <v>3501</v>
      </c>
      <c r="J22" s="3170" t="s">
        <v>3502</v>
      </c>
      <c r="K22" s="3171" t="s">
        <v>3503</v>
      </c>
      <c r="L22" s="3172">
        <v>21.51</v>
      </c>
      <c r="M22" s="3173" t="s">
        <v>3317</v>
      </c>
    </row>
    <row r="23" spans="1:14" ht="15.75" thickBot="1">
      <c r="E23" s="1405" t="s">
        <v>4833</v>
      </c>
      <c r="H23" s="3169">
        <v>36</v>
      </c>
      <c r="I23" s="3170" t="s">
        <v>3506</v>
      </c>
      <c r="J23" s="3170" t="s">
        <v>3507</v>
      </c>
      <c r="K23" s="3171" t="s">
        <v>3508</v>
      </c>
      <c r="L23" s="3172">
        <v>30.17</v>
      </c>
      <c r="M23" s="3173" t="s">
        <v>3317</v>
      </c>
    </row>
    <row r="24" spans="1:14" ht="15.75" thickBot="1">
      <c r="E24">
        <f>E138+E16</f>
        <v>25452.380000000016</v>
      </c>
      <c r="H24" s="3169">
        <v>38</v>
      </c>
      <c r="I24" s="3170" t="s">
        <v>3509</v>
      </c>
      <c r="J24" s="3170" t="s">
        <v>3510</v>
      </c>
      <c r="K24" s="3171" t="s">
        <v>3511</v>
      </c>
      <c r="L24" s="3172">
        <v>61.69</v>
      </c>
      <c r="M24" s="3173" t="s">
        <v>3317</v>
      </c>
    </row>
    <row r="25" spans="1:14" ht="15.75" thickBot="1">
      <c r="E25" s="1405" t="s">
        <v>4834</v>
      </c>
      <c r="H25" s="3169">
        <v>39</v>
      </c>
      <c r="I25" s="3170" t="s">
        <v>3512</v>
      </c>
      <c r="J25" s="3170" t="s">
        <v>3513</v>
      </c>
      <c r="K25" s="3171" t="s">
        <v>3514</v>
      </c>
      <c r="L25" s="3172">
        <v>62.66</v>
      </c>
      <c r="M25" s="3173" t="s">
        <v>3317</v>
      </c>
    </row>
    <row r="26" spans="1:14" ht="15.75" thickBot="1">
      <c r="E26">
        <f>L29+L354</f>
        <v>12316.21</v>
      </c>
      <c r="H26" s="3169">
        <v>40</v>
      </c>
      <c r="I26" s="3170" t="s">
        <v>3515</v>
      </c>
      <c r="J26" s="3170" t="s">
        <v>3516</v>
      </c>
      <c r="K26" s="3171" t="s">
        <v>3517</v>
      </c>
      <c r="L26" s="3172">
        <v>47.41</v>
      </c>
      <c r="M26" s="3173" t="s">
        <v>3317</v>
      </c>
    </row>
    <row r="27" spans="1:14" ht="15.75" thickBot="1">
      <c r="H27" s="3169">
        <v>41</v>
      </c>
      <c r="I27" s="3170" t="s">
        <v>3518</v>
      </c>
      <c r="J27" s="3170" t="s">
        <v>3519</v>
      </c>
      <c r="K27" s="3171" t="s">
        <v>3520</v>
      </c>
      <c r="L27" s="3172">
        <v>42.6</v>
      </c>
      <c r="M27" s="3173" t="s">
        <v>3317</v>
      </c>
    </row>
    <row r="28" spans="1:14" ht="15.75" thickBot="1">
      <c r="H28" s="3169">
        <v>42</v>
      </c>
      <c r="I28" s="3170" t="s">
        <v>3521</v>
      </c>
      <c r="J28" s="3170" t="s">
        <v>3522</v>
      </c>
      <c r="K28" s="3171" t="s">
        <v>3523</v>
      </c>
      <c r="L28" s="3172">
        <v>23.01</v>
      </c>
      <c r="M28" s="3173" t="s">
        <v>3317</v>
      </c>
    </row>
    <row r="29" spans="1:14" ht="14.25" thickBot="1">
      <c r="A29" s="3266" t="s">
        <v>3524</v>
      </c>
      <c r="B29" s="3266"/>
      <c r="C29" s="3266"/>
      <c r="D29" s="3267"/>
      <c r="E29" s="3266"/>
      <c r="L29">
        <f>SUM(L2:L28)</f>
        <v>1238.9499999999998</v>
      </c>
      <c r="N29">
        <f>E16+L29</f>
        <v>4463.6900000000005</v>
      </c>
    </row>
    <row r="31" spans="1:14" ht="15.75" thickBot="1">
      <c r="A31" s="3169" t="s">
        <v>3406</v>
      </c>
      <c r="B31" s="3170" t="s">
        <v>3407</v>
      </c>
      <c r="C31" s="3170" t="s">
        <v>3408</v>
      </c>
      <c r="D31" s="3171" t="s">
        <v>3409</v>
      </c>
      <c r="E31" s="3172" t="s">
        <v>3410</v>
      </c>
      <c r="F31" s="3173" t="s">
        <v>668</v>
      </c>
      <c r="H31" s="3169" t="s">
        <v>3406</v>
      </c>
      <c r="I31" s="3170" t="s">
        <v>3407</v>
      </c>
      <c r="J31" s="3170" t="s">
        <v>3408</v>
      </c>
      <c r="K31" s="3171" t="s">
        <v>3409</v>
      </c>
      <c r="L31" s="3172" t="s">
        <v>3410</v>
      </c>
      <c r="M31" s="3173" t="s">
        <v>668</v>
      </c>
    </row>
    <row r="32" spans="1:14" ht="15.75" thickBot="1">
      <c r="A32" s="3169">
        <v>43</v>
      </c>
      <c r="B32" s="3170" t="s">
        <v>3525</v>
      </c>
      <c r="C32" s="3170" t="s">
        <v>3526</v>
      </c>
      <c r="D32" s="3171" t="s">
        <v>3527</v>
      </c>
      <c r="E32" s="3172">
        <v>192.35</v>
      </c>
      <c r="F32" s="3173" t="s">
        <v>3387</v>
      </c>
      <c r="H32" s="3169">
        <v>55</v>
      </c>
      <c r="I32" s="3170" t="s">
        <v>3549</v>
      </c>
      <c r="J32" s="3170" t="s">
        <v>3550</v>
      </c>
      <c r="K32" s="3171" t="s">
        <v>3551</v>
      </c>
      <c r="L32" s="3172">
        <v>30.97</v>
      </c>
      <c r="M32" s="3173" t="s">
        <v>3317</v>
      </c>
    </row>
    <row r="33" spans="1:13" ht="15.75" thickBot="1">
      <c r="A33" s="3169">
        <v>44</v>
      </c>
      <c r="B33" s="3170" t="s">
        <v>3528</v>
      </c>
      <c r="C33" s="3170" t="s">
        <v>3529</v>
      </c>
      <c r="D33" s="3171" t="s">
        <v>3530</v>
      </c>
      <c r="E33" s="3172">
        <v>161.68</v>
      </c>
      <c r="F33" s="3173" t="s">
        <v>3387</v>
      </c>
      <c r="H33" s="3169">
        <v>56</v>
      </c>
      <c r="I33" s="3170" t="s">
        <v>3552</v>
      </c>
      <c r="J33" s="3170" t="s">
        <v>3553</v>
      </c>
      <c r="K33" s="3171" t="s">
        <v>3554</v>
      </c>
      <c r="L33" s="3172">
        <v>16.05</v>
      </c>
      <c r="M33" s="3173" t="s">
        <v>3317</v>
      </c>
    </row>
    <row r="34" spans="1:13" ht="15.75" thickBot="1">
      <c r="A34" s="3169">
        <v>46</v>
      </c>
      <c r="B34" s="3170" t="s">
        <v>3531</v>
      </c>
      <c r="C34" s="3170" t="s">
        <v>3532</v>
      </c>
      <c r="D34" s="3171" t="s">
        <v>3533</v>
      </c>
      <c r="E34" s="3172">
        <v>192.37</v>
      </c>
      <c r="F34" s="3173" t="s">
        <v>3387</v>
      </c>
      <c r="H34" s="3169">
        <v>57</v>
      </c>
      <c r="I34" s="3170" t="s">
        <v>3555</v>
      </c>
      <c r="J34" s="3170" t="s">
        <v>3556</v>
      </c>
      <c r="K34" s="3171" t="s">
        <v>3557</v>
      </c>
      <c r="L34" s="3172">
        <v>46.63</v>
      </c>
      <c r="M34" s="3173" t="s">
        <v>3317</v>
      </c>
    </row>
    <row r="35" spans="1:13" ht="15.75" thickBot="1">
      <c r="A35" s="3169">
        <v>47</v>
      </c>
      <c r="B35" s="3170" t="s">
        <v>3534</v>
      </c>
      <c r="C35" s="3170" t="s">
        <v>3535</v>
      </c>
      <c r="D35" s="3171" t="s">
        <v>3536</v>
      </c>
      <c r="E35" s="3172">
        <v>184.32</v>
      </c>
      <c r="F35" s="3173" t="s">
        <v>3387</v>
      </c>
      <c r="H35" s="3169">
        <v>58</v>
      </c>
      <c r="I35" s="3170" t="s">
        <v>3558</v>
      </c>
      <c r="J35" s="3170" t="s">
        <v>3559</v>
      </c>
      <c r="K35" s="3171" t="s">
        <v>3560</v>
      </c>
      <c r="L35" s="3172">
        <v>53.66</v>
      </c>
      <c r="M35" s="3173" t="s">
        <v>3317</v>
      </c>
    </row>
    <row r="36" spans="1:13" ht="15.75" thickBot="1">
      <c r="A36" s="3169">
        <v>48</v>
      </c>
      <c r="B36" s="3170" t="s">
        <v>3537</v>
      </c>
      <c r="C36" s="3170" t="s">
        <v>3538</v>
      </c>
      <c r="D36" s="3171" t="s">
        <v>3539</v>
      </c>
      <c r="E36" s="3172">
        <v>161.68</v>
      </c>
      <c r="F36" s="3173" t="s">
        <v>3387</v>
      </c>
      <c r="H36" s="3169">
        <v>59</v>
      </c>
      <c r="I36" s="3170" t="s">
        <v>3561</v>
      </c>
      <c r="J36" s="3170" t="s">
        <v>3562</v>
      </c>
      <c r="K36" s="3171" t="s">
        <v>3563</v>
      </c>
      <c r="L36" s="3172">
        <v>23.61</v>
      </c>
      <c r="M36" s="3173" t="s">
        <v>3317</v>
      </c>
    </row>
    <row r="37" spans="1:13" ht="15.75" thickBot="1">
      <c r="A37" s="3169">
        <v>49</v>
      </c>
      <c r="B37" s="3170" t="s">
        <v>3540</v>
      </c>
      <c r="C37" s="3170" t="s">
        <v>3541</v>
      </c>
      <c r="D37" s="3171" t="s">
        <v>3542</v>
      </c>
      <c r="E37" s="3172">
        <v>184.78</v>
      </c>
      <c r="F37" s="3173" t="s">
        <v>3387</v>
      </c>
      <c r="H37" s="3169">
        <v>60</v>
      </c>
      <c r="I37" s="3170" t="s">
        <v>3564</v>
      </c>
      <c r="J37" s="3170" t="s">
        <v>3565</v>
      </c>
      <c r="K37" s="3171" t="s">
        <v>3566</v>
      </c>
      <c r="L37" s="3172">
        <v>23.65</v>
      </c>
      <c r="M37" s="3173" t="s">
        <v>3317</v>
      </c>
    </row>
    <row r="38" spans="1:13" ht="15.75" thickBot="1">
      <c r="A38" s="3169">
        <v>50</v>
      </c>
      <c r="B38" s="3170" t="s">
        <v>3543</v>
      </c>
      <c r="C38" s="3170" t="s">
        <v>3544</v>
      </c>
      <c r="D38" s="3171" t="s">
        <v>3545</v>
      </c>
      <c r="E38" s="3172">
        <v>184.32</v>
      </c>
      <c r="F38" s="3173" t="s">
        <v>3387</v>
      </c>
      <c r="H38" s="3169">
        <v>61</v>
      </c>
      <c r="I38" s="3170" t="s">
        <v>3567</v>
      </c>
      <c r="J38" s="3170" t="s">
        <v>3568</v>
      </c>
      <c r="K38" s="3171" t="s">
        <v>3569</v>
      </c>
      <c r="L38" s="3172">
        <v>56.63</v>
      </c>
      <c r="M38" s="3173" t="s">
        <v>3317</v>
      </c>
    </row>
    <row r="39" spans="1:13" ht="15.75" thickBot="1">
      <c r="A39" s="3169">
        <v>51</v>
      </c>
      <c r="B39" s="3170" t="s">
        <v>3546</v>
      </c>
      <c r="C39" s="3170" t="s">
        <v>3547</v>
      </c>
      <c r="D39" s="3171" t="s">
        <v>3548</v>
      </c>
      <c r="E39" s="3172">
        <v>184.82</v>
      </c>
      <c r="F39" s="3173" t="s">
        <v>3387</v>
      </c>
      <c r="H39" s="3169">
        <v>62</v>
      </c>
      <c r="I39" s="3170" t="s">
        <v>3570</v>
      </c>
      <c r="J39" s="3170" t="s">
        <v>3571</v>
      </c>
      <c r="K39" s="3171" t="s">
        <v>3572</v>
      </c>
      <c r="L39" s="3172">
        <v>41.07</v>
      </c>
      <c r="M39" s="3173" t="s">
        <v>3317</v>
      </c>
    </row>
    <row r="40" spans="1:13" ht="15.75" thickBot="1">
      <c r="A40" s="3169">
        <v>79</v>
      </c>
      <c r="B40" s="3170" t="s">
        <v>3618</v>
      </c>
      <c r="C40" s="3170" t="s">
        <v>3619</v>
      </c>
      <c r="D40" s="3171" t="s">
        <v>3620</v>
      </c>
      <c r="E40" s="3172">
        <v>161.83000000000001</v>
      </c>
      <c r="F40" s="3173" t="s">
        <v>3387</v>
      </c>
      <c r="H40" s="3169">
        <v>64</v>
      </c>
      <c r="I40" s="3170" t="s">
        <v>3573</v>
      </c>
      <c r="J40" s="3170" t="s">
        <v>3574</v>
      </c>
      <c r="K40" s="3171" t="s">
        <v>3575</v>
      </c>
      <c r="L40" s="3172">
        <v>23.65</v>
      </c>
      <c r="M40" s="3173" t="s">
        <v>3317</v>
      </c>
    </row>
    <row r="41" spans="1:13" ht="15.75" thickBot="1">
      <c r="A41" s="3169">
        <v>80</v>
      </c>
      <c r="B41" s="3170" t="s">
        <v>3621</v>
      </c>
      <c r="C41" s="3170" t="s">
        <v>3622</v>
      </c>
      <c r="D41" s="3171" t="s">
        <v>3623</v>
      </c>
      <c r="E41" s="3172">
        <v>192.55</v>
      </c>
      <c r="F41" s="3173" t="s">
        <v>3387</v>
      </c>
      <c r="H41" s="3169">
        <v>65</v>
      </c>
      <c r="I41" s="3170" t="s">
        <v>3576</v>
      </c>
      <c r="J41" s="3170" t="s">
        <v>3577</v>
      </c>
      <c r="K41" s="3171" t="s">
        <v>3578</v>
      </c>
      <c r="L41" s="3172">
        <v>23.61</v>
      </c>
      <c r="M41" s="3173" t="s">
        <v>3317</v>
      </c>
    </row>
    <row r="42" spans="1:13" ht="15.75" thickBot="1">
      <c r="A42" s="3169">
        <v>81</v>
      </c>
      <c r="B42" s="3170" t="s">
        <v>3624</v>
      </c>
      <c r="C42" s="3170" t="s">
        <v>3625</v>
      </c>
      <c r="D42" s="3171" t="s">
        <v>3626</v>
      </c>
      <c r="E42" s="3172">
        <v>161.83000000000001</v>
      </c>
      <c r="F42" s="3173" t="s">
        <v>3387</v>
      </c>
      <c r="H42" s="3169">
        <v>66</v>
      </c>
      <c r="I42" s="3170" t="s">
        <v>3579</v>
      </c>
      <c r="J42" s="3170" t="s">
        <v>3580</v>
      </c>
      <c r="K42" s="3171" t="s">
        <v>3581</v>
      </c>
      <c r="L42" s="3172">
        <v>49.57</v>
      </c>
      <c r="M42" s="3173" t="s">
        <v>3317</v>
      </c>
    </row>
    <row r="43" spans="1:13" ht="15.75" thickBot="1">
      <c r="A43" s="3169">
        <v>82</v>
      </c>
      <c r="B43" s="3170" t="s">
        <v>3627</v>
      </c>
      <c r="C43" s="3170" t="s">
        <v>3628</v>
      </c>
      <c r="D43" s="3171" t="s">
        <v>3629</v>
      </c>
      <c r="E43" s="3172">
        <v>184.45</v>
      </c>
      <c r="F43" s="3173" t="s">
        <v>3387</v>
      </c>
      <c r="H43" s="3169">
        <v>67</v>
      </c>
      <c r="I43" s="3170" t="s">
        <v>3582</v>
      </c>
      <c r="J43" s="3170" t="s">
        <v>3583</v>
      </c>
      <c r="K43" s="3171" t="s">
        <v>3584</v>
      </c>
      <c r="L43" s="3172">
        <v>47.94</v>
      </c>
      <c r="M43" s="3173" t="s">
        <v>3317</v>
      </c>
    </row>
    <row r="44" spans="1:13" ht="15.75" thickBot="1">
      <c r="A44" s="3169">
        <v>83</v>
      </c>
      <c r="B44" s="3170" t="s">
        <v>3630</v>
      </c>
      <c r="C44" s="3170" t="s">
        <v>3631</v>
      </c>
      <c r="D44" s="3171" t="s">
        <v>3632</v>
      </c>
      <c r="E44" s="3172">
        <v>184.49</v>
      </c>
      <c r="F44" s="3173" t="s">
        <v>3387</v>
      </c>
      <c r="H44" s="3169">
        <v>68</v>
      </c>
      <c r="I44" s="3170" t="s">
        <v>3585</v>
      </c>
      <c r="J44" s="3170" t="s">
        <v>3586</v>
      </c>
      <c r="K44" s="3171" t="s">
        <v>3587</v>
      </c>
      <c r="L44" s="3172">
        <v>22.6</v>
      </c>
      <c r="M44" s="3173" t="s">
        <v>3317</v>
      </c>
    </row>
    <row r="45" spans="1:13" ht="15.75" thickBot="1">
      <c r="A45" s="3169">
        <v>85</v>
      </c>
      <c r="B45" s="3170" t="s">
        <v>3633</v>
      </c>
      <c r="C45" s="3170" t="s">
        <v>3634</v>
      </c>
      <c r="D45" s="3171" t="s">
        <v>3635</v>
      </c>
      <c r="E45" s="3172">
        <v>161.83000000000001</v>
      </c>
      <c r="F45" s="3173" t="s">
        <v>3387</v>
      </c>
      <c r="H45" s="3169">
        <v>69</v>
      </c>
      <c r="I45" s="3170" t="s">
        <v>3588</v>
      </c>
      <c r="J45" s="3170" t="s">
        <v>3589</v>
      </c>
      <c r="K45" s="3171" t="s">
        <v>3590</v>
      </c>
      <c r="L45" s="3172">
        <v>27.96</v>
      </c>
      <c r="M45" s="3173" t="s">
        <v>3317</v>
      </c>
    </row>
    <row r="46" spans="1:13" ht="15.75" thickBot="1">
      <c r="A46" s="3169">
        <v>86</v>
      </c>
      <c r="B46" s="3170" t="s">
        <v>3636</v>
      </c>
      <c r="C46" s="3170" t="s">
        <v>3637</v>
      </c>
      <c r="D46" s="3171" t="s">
        <v>3638</v>
      </c>
      <c r="E46" s="3172">
        <v>184.95</v>
      </c>
      <c r="F46" s="3173" t="s">
        <v>3387</v>
      </c>
      <c r="H46" s="3169">
        <v>70</v>
      </c>
      <c r="I46" s="3170" t="s">
        <v>3591</v>
      </c>
      <c r="J46" s="3170" t="s">
        <v>3592</v>
      </c>
      <c r="K46" s="3171" t="s">
        <v>3593</v>
      </c>
      <c r="L46" s="3172">
        <v>27.55</v>
      </c>
      <c r="M46" s="3173" t="s">
        <v>3317</v>
      </c>
    </row>
    <row r="47" spans="1:13" ht="15.75" thickBot="1">
      <c r="A47" s="3169">
        <v>87</v>
      </c>
      <c r="B47" s="3174" t="e">
        <v>#NAME?</v>
      </c>
      <c r="C47" s="3170" t="s">
        <v>3639</v>
      </c>
      <c r="D47" s="3171" t="s">
        <v>3640</v>
      </c>
      <c r="E47" s="3172">
        <v>184.49</v>
      </c>
      <c r="F47" s="3173" t="s">
        <v>3387</v>
      </c>
      <c r="H47" s="3169">
        <v>71</v>
      </c>
      <c r="I47" s="3170" t="s">
        <v>3594</v>
      </c>
      <c r="J47" s="3170" t="s">
        <v>3595</v>
      </c>
      <c r="K47" s="3171" t="s">
        <v>3596</v>
      </c>
      <c r="L47" s="3172">
        <v>19.11</v>
      </c>
      <c r="M47" s="3173" t="s">
        <v>3317</v>
      </c>
    </row>
    <row r="48" spans="1:13" ht="15.75" thickBot="1">
      <c r="A48" s="3169">
        <v>88</v>
      </c>
      <c r="B48" s="3174" t="e">
        <v>#NAME?</v>
      </c>
      <c r="C48" s="3170" t="s">
        <v>3641</v>
      </c>
      <c r="D48" s="3171" t="s">
        <v>3642</v>
      </c>
      <c r="E48" s="3172">
        <v>184.99</v>
      </c>
      <c r="F48" s="3173" t="s">
        <v>3387</v>
      </c>
      <c r="H48" s="3169">
        <v>72</v>
      </c>
      <c r="I48" s="3170" t="s">
        <v>3597</v>
      </c>
      <c r="J48" s="3170" t="s">
        <v>3598</v>
      </c>
      <c r="K48" s="3171" t="s">
        <v>3599</v>
      </c>
      <c r="L48" s="3172">
        <v>19.11</v>
      </c>
      <c r="M48" s="3173" t="s">
        <v>3317</v>
      </c>
    </row>
    <row r="49" spans="1:13" ht="15.75" thickBot="1">
      <c r="A49" s="3169">
        <v>89</v>
      </c>
      <c r="B49" s="3170" t="s">
        <v>3643</v>
      </c>
      <c r="C49" s="3170" t="s">
        <v>3644</v>
      </c>
      <c r="D49" s="3171" t="s">
        <v>3645</v>
      </c>
      <c r="E49" s="3172">
        <v>184.49</v>
      </c>
      <c r="F49" s="3173" t="s">
        <v>3387</v>
      </c>
      <c r="H49" s="3169">
        <v>73</v>
      </c>
      <c r="I49" s="3170" t="s">
        <v>3600</v>
      </c>
      <c r="J49" s="3170" t="s">
        <v>3601</v>
      </c>
      <c r="K49" s="3171" t="s">
        <v>3602</v>
      </c>
      <c r="L49" s="3172">
        <v>27.55</v>
      </c>
      <c r="M49" s="3173" t="s">
        <v>3317</v>
      </c>
    </row>
    <row r="50" spans="1:13" ht="15.75" thickBot="1">
      <c r="A50" s="3169">
        <v>90</v>
      </c>
      <c r="B50" s="3170" t="s">
        <v>3646</v>
      </c>
      <c r="C50" s="3170" t="s">
        <v>3647</v>
      </c>
      <c r="D50" s="3171" t="s">
        <v>3648</v>
      </c>
      <c r="E50" s="3172">
        <v>184.49</v>
      </c>
      <c r="F50" s="3173" t="s">
        <v>3387</v>
      </c>
      <c r="H50" s="3169">
        <v>74</v>
      </c>
      <c r="I50" s="3170" t="s">
        <v>3603</v>
      </c>
      <c r="J50" s="3170" t="s">
        <v>3604</v>
      </c>
      <c r="K50" s="3171" t="s">
        <v>3605</v>
      </c>
      <c r="L50" s="3172">
        <v>15.83</v>
      </c>
      <c r="M50" s="3173" t="s">
        <v>3317</v>
      </c>
    </row>
    <row r="51" spans="1:13" ht="15.75" thickBot="1">
      <c r="A51" s="3169">
        <v>119</v>
      </c>
      <c r="B51" s="3170" t="s">
        <v>3730</v>
      </c>
      <c r="C51" s="3170" t="s">
        <v>3731</v>
      </c>
      <c r="D51" s="3171" t="s">
        <v>3732</v>
      </c>
      <c r="E51" s="3172">
        <v>168.11</v>
      </c>
      <c r="F51" s="3173" t="s">
        <v>3387</v>
      </c>
      <c r="H51" s="3169">
        <v>75</v>
      </c>
      <c r="I51" s="3170" t="s">
        <v>3606</v>
      </c>
      <c r="J51" s="3170" t="s">
        <v>3607</v>
      </c>
      <c r="K51" s="3171" t="s">
        <v>3608</v>
      </c>
      <c r="L51" s="3172">
        <v>18.32</v>
      </c>
      <c r="M51" s="3173" t="s">
        <v>3317</v>
      </c>
    </row>
    <row r="52" spans="1:13" ht="15.75" thickBot="1">
      <c r="A52" s="3169">
        <v>140</v>
      </c>
      <c r="B52" s="3170" t="s">
        <v>3766</v>
      </c>
      <c r="C52" s="3170" t="s">
        <v>3767</v>
      </c>
      <c r="D52" s="3171" t="s">
        <v>3768</v>
      </c>
      <c r="E52" s="3172">
        <v>192.38</v>
      </c>
      <c r="F52" s="3173" t="s">
        <v>3387</v>
      </c>
      <c r="H52" s="3169">
        <v>76</v>
      </c>
      <c r="I52" s="3170" t="s">
        <v>3609</v>
      </c>
      <c r="J52" s="3170" t="s">
        <v>3610</v>
      </c>
      <c r="K52" s="3171" t="s">
        <v>3611</v>
      </c>
      <c r="L52" s="3172">
        <v>16.329999999999998</v>
      </c>
      <c r="M52" s="3173" t="s">
        <v>3317</v>
      </c>
    </row>
    <row r="53" spans="1:13" ht="15.75" thickBot="1">
      <c r="A53" s="3169">
        <v>142</v>
      </c>
      <c r="B53" s="3174" t="e">
        <v>#NAME?</v>
      </c>
      <c r="C53" s="3170" t="s">
        <v>3769</v>
      </c>
      <c r="D53" s="3171" t="s">
        <v>3770</v>
      </c>
      <c r="E53" s="3172">
        <v>192.4</v>
      </c>
      <c r="F53" s="3173" t="s">
        <v>3387</v>
      </c>
      <c r="H53" s="3169">
        <v>77</v>
      </c>
      <c r="I53" s="3170" t="s">
        <v>3612</v>
      </c>
      <c r="J53" s="3170" t="s">
        <v>3613</v>
      </c>
      <c r="K53" s="3171" t="s">
        <v>3614</v>
      </c>
      <c r="L53" s="3172">
        <v>12.38</v>
      </c>
      <c r="M53" s="3173" t="s">
        <v>3317</v>
      </c>
    </row>
    <row r="54" spans="1:13" ht="15.75" thickBot="1">
      <c r="A54" s="3169">
        <v>143</v>
      </c>
      <c r="B54" s="3170" t="s">
        <v>3771</v>
      </c>
      <c r="C54" s="3170" t="s">
        <v>3772</v>
      </c>
      <c r="D54" s="3171" t="s">
        <v>3773</v>
      </c>
      <c r="E54" s="3172">
        <v>192.4</v>
      </c>
      <c r="F54" s="3173" t="s">
        <v>3387</v>
      </c>
      <c r="H54" s="3169">
        <v>78</v>
      </c>
      <c r="I54" s="3170" t="s">
        <v>3615</v>
      </c>
      <c r="J54" s="3170" t="s">
        <v>3616</v>
      </c>
      <c r="K54" s="3171" t="s">
        <v>3617</v>
      </c>
      <c r="L54" s="3172">
        <v>17.010000000000002</v>
      </c>
      <c r="M54" s="3173" t="s">
        <v>3317</v>
      </c>
    </row>
    <row r="55" spans="1:13" ht="15.75" thickBot="1">
      <c r="A55" s="3169">
        <v>144</v>
      </c>
      <c r="B55" s="3170" t="s">
        <v>3774</v>
      </c>
      <c r="C55" s="3170" t="s">
        <v>3775</v>
      </c>
      <c r="D55" s="3171" t="s">
        <v>3776</v>
      </c>
      <c r="E55" s="3172">
        <v>184.35</v>
      </c>
      <c r="F55" s="3173" t="s">
        <v>3387</v>
      </c>
      <c r="H55" s="3169">
        <v>91</v>
      </c>
      <c r="I55" s="3170" t="s">
        <v>3649</v>
      </c>
      <c r="J55" s="3170" t="s">
        <v>3650</v>
      </c>
      <c r="K55" s="3171" t="s">
        <v>3651</v>
      </c>
      <c r="L55" s="3172">
        <v>56.8</v>
      </c>
      <c r="M55" s="3173" t="s">
        <v>3317</v>
      </c>
    </row>
    <row r="56" spans="1:13" ht="15.75" thickBot="1">
      <c r="A56" s="3169">
        <v>146</v>
      </c>
      <c r="B56" s="3170" t="s">
        <v>3777</v>
      </c>
      <c r="C56" s="3170" t="s">
        <v>3778</v>
      </c>
      <c r="D56" s="3171" t="s">
        <v>3779</v>
      </c>
      <c r="E56" s="3172">
        <v>167.95</v>
      </c>
      <c r="F56" s="3173" t="s">
        <v>3387</v>
      </c>
      <c r="H56" s="3169">
        <v>92</v>
      </c>
      <c r="I56" s="3170" t="s">
        <v>3652</v>
      </c>
      <c r="J56" s="3170" t="s">
        <v>3653</v>
      </c>
      <c r="K56" s="3171" t="s">
        <v>3654</v>
      </c>
      <c r="L56" s="3172">
        <v>41.51</v>
      </c>
      <c r="M56" s="3173" t="s">
        <v>3317</v>
      </c>
    </row>
    <row r="57" spans="1:13" ht="15.75" thickBot="1">
      <c r="A57" s="3169">
        <v>166</v>
      </c>
      <c r="B57" s="3174" t="e">
        <v>#NAME?</v>
      </c>
      <c r="C57" s="3170" t="s">
        <v>3822</v>
      </c>
      <c r="D57" s="3171" t="s">
        <v>3823</v>
      </c>
      <c r="E57" s="3172">
        <v>184.92</v>
      </c>
      <c r="F57" s="3173" t="s">
        <v>3387</v>
      </c>
      <c r="H57" s="3169">
        <v>93</v>
      </c>
      <c r="I57" s="3170" t="s">
        <v>3655</v>
      </c>
      <c r="J57" s="3170" t="s">
        <v>3656</v>
      </c>
      <c r="K57" s="3171" t="s">
        <v>3657</v>
      </c>
      <c r="L57" s="3172">
        <v>41.51</v>
      </c>
      <c r="M57" s="3173" t="s">
        <v>3317</v>
      </c>
    </row>
    <row r="58" spans="1:13" ht="15.75" thickBot="1">
      <c r="A58" s="3169">
        <v>167</v>
      </c>
      <c r="B58" s="3174" t="e">
        <v>#NAME?</v>
      </c>
      <c r="C58" s="3170" t="s">
        <v>3824</v>
      </c>
      <c r="D58" s="3171" t="s">
        <v>3825</v>
      </c>
      <c r="E58" s="3172">
        <v>168.05</v>
      </c>
      <c r="F58" s="3173" t="s">
        <v>3387</v>
      </c>
      <c r="H58" s="3169">
        <v>94</v>
      </c>
      <c r="I58" s="3170" t="s">
        <v>3658</v>
      </c>
      <c r="J58" s="3170" t="s">
        <v>3659</v>
      </c>
      <c r="K58" s="3171" t="s">
        <v>3660</v>
      </c>
      <c r="L58" s="3172">
        <v>56.8</v>
      </c>
      <c r="M58" s="3173" t="s">
        <v>3317</v>
      </c>
    </row>
    <row r="59" spans="1:13" ht="15.75" thickBot="1">
      <c r="A59" s="3169">
        <v>168</v>
      </c>
      <c r="B59" s="3174" t="e">
        <v>#NAME?</v>
      </c>
      <c r="C59" s="3170" t="s">
        <v>3826</v>
      </c>
      <c r="D59" s="3171" t="s">
        <v>3827</v>
      </c>
      <c r="E59" s="3172">
        <v>184.96</v>
      </c>
      <c r="F59" s="3173" t="s">
        <v>3387</v>
      </c>
      <c r="H59" s="3169">
        <v>95</v>
      </c>
      <c r="I59" s="3170" t="s">
        <v>3661</v>
      </c>
      <c r="J59" s="3170" t="s">
        <v>3662</v>
      </c>
      <c r="K59" s="3171" t="s">
        <v>3663</v>
      </c>
      <c r="L59" s="3172">
        <v>23.72</v>
      </c>
      <c r="M59" s="3173" t="s">
        <v>3317</v>
      </c>
    </row>
    <row r="60" spans="1:13" ht="15.75" thickBot="1">
      <c r="A60" s="3169">
        <v>185</v>
      </c>
      <c r="B60" s="3170" t="s">
        <v>3870</v>
      </c>
      <c r="C60" s="3170" t="s">
        <v>3871</v>
      </c>
      <c r="D60" s="3171" t="s">
        <v>3872</v>
      </c>
      <c r="E60" s="3172">
        <v>168.04</v>
      </c>
      <c r="F60" s="3173" t="s">
        <v>3387</v>
      </c>
      <c r="H60" s="3169">
        <v>96</v>
      </c>
      <c r="I60" s="3170" t="s">
        <v>3664</v>
      </c>
      <c r="J60" s="3170" t="s">
        <v>3665</v>
      </c>
      <c r="K60" s="3171" t="s">
        <v>3666</v>
      </c>
      <c r="L60" s="3172">
        <v>23.69</v>
      </c>
      <c r="M60" s="3173" t="s">
        <v>3317</v>
      </c>
    </row>
    <row r="61" spans="1:13" ht="15.75" thickBot="1">
      <c r="A61" s="3169">
        <v>186</v>
      </c>
      <c r="B61" s="3170" t="s">
        <v>3873</v>
      </c>
      <c r="C61" s="3170" t="s">
        <v>3874</v>
      </c>
      <c r="D61" s="3171" t="s">
        <v>3875</v>
      </c>
      <c r="E61" s="3172">
        <v>168.04</v>
      </c>
      <c r="F61" s="3173" t="s">
        <v>3387</v>
      </c>
      <c r="H61" s="3169">
        <v>97</v>
      </c>
      <c r="I61" s="3170" t="s">
        <v>3667</v>
      </c>
      <c r="J61" s="3170" t="s">
        <v>3668</v>
      </c>
      <c r="K61" s="3171" t="s">
        <v>3669</v>
      </c>
      <c r="L61" s="3172">
        <v>56.76</v>
      </c>
      <c r="M61" s="3173" t="s">
        <v>3317</v>
      </c>
    </row>
    <row r="62" spans="1:13" ht="15.75" thickBot="1">
      <c r="A62" s="3169">
        <v>188</v>
      </c>
      <c r="B62" s="3170" t="s">
        <v>3876</v>
      </c>
      <c r="C62" s="3170" t="s">
        <v>3877</v>
      </c>
      <c r="D62" s="3171" t="s">
        <v>3878</v>
      </c>
      <c r="E62" s="3172">
        <v>168.04</v>
      </c>
      <c r="F62" s="3173" t="s">
        <v>3387</v>
      </c>
      <c r="H62" s="3169">
        <v>98</v>
      </c>
      <c r="I62" s="3170" t="s">
        <v>3670</v>
      </c>
      <c r="J62" s="3170" t="s">
        <v>3671</v>
      </c>
      <c r="K62" s="3171" t="s">
        <v>3672</v>
      </c>
      <c r="L62" s="3172">
        <v>41.2</v>
      </c>
      <c r="M62" s="3173" t="s">
        <v>3317</v>
      </c>
    </row>
    <row r="63" spans="1:13" ht="15.75" thickBot="1">
      <c r="A63" s="3169">
        <v>212</v>
      </c>
      <c r="B63" s="3170" t="s">
        <v>3930</v>
      </c>
      <c r="C63" s="3170" t="s">
        <v>3931</v>
      </c>
      <c r="D63" s="3171" t="s">
        <v>3932</v>
      </c>
      <c r="E63" s="3172">
        <v>192.5</v>
      </c>
      <c r="F63" s="3173" t="s">
        <v>3387</v>
      </c>
      <c r="H63" s="3169">
        <v>99</v>
      </c>
      <c r="I63" s="3170" t="s">
        <v>3673</v>
      </c>
      <c r="J63" s="3170" t="s">
        <v>3674</v>
      </c>
      <c r="K63" s="3171" t="s">
        <v>3675</v>
      </c>
      <c r="L63" s="3172">
        <v>41.2</v>
      </c>
      <c r="M63" s="3173" t="s">
        <v>3317</v>
      </c>
    </row>
    <row r="64" spans="1:13" ht="15.75" thickBot="1">
      <c r="A64" s="3169">
        <v>213</v>
      </c>
      <c r="B64" s="3170" t="s">
        <v>3933</v>
      </c>
      <c r="C64" s="3170" t="s">
        <v>3934</v>
      </c>
      <c r="D64" s="3171" t="s">
        <v>3935</v>
      </c>
      <c r="E64" s="3172">
        <v>161.81</v>
      </c>
      <c r="F64" s="3173" t="s">
        <v>3387</v>
      </c>
      <c r="H64" s="3169">
        <v>100</v>
      </c>
      <c r="I64" s="3170" t="s">
        <v>3676</v>
      </c>
      <c r="J64" s="3170" t="s">
        <v>3677</v>
      </c>
      <c r="K64" s="3171" t="s">
        <v>3678</v>
      </c>
      <c r="L64" s="3172">
        <v>23.72</v>
      </c>
      <c r="M64" s="3173" t="s">
        <v>3317</v>
      </c>
    </row>
    <row r="65" spans="1:13" ht="15.75" thickBot="1">
      <c r="A65" s="3169">
        <v>214</v>
      </c>
      <c r="B65" s="3174" t="e">
        <v>#NAME?</v>
      </c>
      <c r="C65" s="3170" t="s">
        <v>3936</v>
      </c>
      <c r="D65" s="3171" t="s">
        <v>3937</v>
      </c>
      <c r="E65" s="3172">
        <v>192.52</v>
      </c>
      <c r="F65" s="3173" t="s">
        <v>3387</v>
      </c>
      <c r="H65" s="3169">
        <v>101</v>
      </c>
      <c r="I65" s="3170" t="s">
        <v>3679</v>
      </c>
      <c r="J65" s="3170" t="s">
        <v>3680</v>
      </c>
      <c r="K65" s="3171" t="s">
        <v>3681</v>
      </c>
      <c r="L65" s="3172">
        <v>23.69</v>
      </c>
      <c r="M65" s="3173" t="s">
        <v>3317</v>
      </c>
    </row>
    <row r="66" spans="1:13" ht="15.75" thickBot="1">
      <c r="A66" s="3169">
        <v>215</v>
      </c>
      <c r="B66" s="3174" t="e">
        <v>#NAME?</v>
      </c>
      <c r="C66" s="3170" t="s">
        <v>3938</v>
      </c>
      <c r="D66" s="3171" t="s">
        <v>3939</v>
      </c>
      <c r="E66" s="3172">
        <v>184.46</v>
      </c>
      <c r="F66" s="3173" t="s">
        <v>3387</v>
      </c>
      <c r="H66" s="3169">
        <v>102</v>
      </c>
      <c r="I66" s="3170" t="s">
        <v>3682</v>
      </c>
      <c r="J66" s="3170" t="s">
        <v>3683</v>
      </c>
      <c r="K66" s="3171" t="s">
        <v>3684</v>
      </c>
      <c r="L66" s="3172">
        <v>49.72</v>
      </c>
      <c r="M66" s="3173" t="s">
        <v>3317</v>
      </c>
    </row>
    <row r="67" spans="1:13" ht="15.75" thickBot="1">
      <c r="A67" s="3169">
        <v>216</v>
      </c>
      <c r="B67" s="3170" t="s">
        <v>3940</v>
      </c>
      <c r="C67" s="3170" t="s">
        <v>3941</v>
      </c>
      <c r="D67" s="3171" t="s">
        <v>3942</v>
      </c>
      <c r="E67" s="3172">
        <v>192.52</v>
      </c>
      <c r="F67" s="3173" t="s">
        <v>3387</v>
      </c>
      <c r="H67" s="3169">
        <v>103</v>
      </c>
      <c r="I67" s="3170" t="s">
        <v>3685</v>
      </c>
      <c r="J67" s="3170" t="s">
        <v>3686</v>
      </c>
      <c r="K67" s="3171" t="s">
        <v>3687</v>
      </c>
      <c r="L67" s="3172">
        <v>48.09</v>
      </c>
      <c r="M67" s="3173" t="s">
        <v>3317</v>
      </c>
    </row>
    <row r="68" spans="1:13" ht="15.75" thickBot="1">
      <c r="A68" s="3169">
        <v>217</v>
      </c>
      <c r="B68" s="3170" t="s">
        <v>3943</v>
      </c>
      <c r="C68" s="3170" t="s">
        <v>3944</v>
      </c>
      <c r="D68" s="3171" t="s">
        <v>3945</v>
      </c>
      <c r="E68" s="3172">
        <v>192.52</v>
      </c>
      <c r="F68" s="3173" t="s">
        <v>3387</v>
      </c>
      <c r="H68" s="3169">
        <v>104</v>
      </c>
      <c r="I68" s="3170" t="s">
        <v>3688</v>
      </c>
      <c r="J68" s="3170" t="s">
        <v>3689</v>
      </c>
      <c r="K68" s="3171" t="s">
        <v>3690</v>
      </c>
      <c r="L68" s="3172">
        <v>22.84</v>
      </c>
      <c r="M68" s="3173" t="s">
        <v>3317</v>
      </c>
    </row>
    <row r="69" spans="1:13" ht="15.75" thickBot="1">
      <c r="A69" s="3169">
        <v>218</v>
      </c>
      <c r="B69" s="3170" t="s">
        <v>3946</v>
      </c>
      <c r="C69" s="3170" t="s">
        <v>3947</v>
      </c>
      <c r="D69" s="3171" t="s">
        <v>3948</v>
      </c>
      <c r="E69" s="3172">
        <v>184.46</v>
      </c>
      <c r="F69" s="3173" t="s">
        <v>3387</v>
      </c>
      <c r="H69" s="3169">
        <v>105</v>
      </c>
      <c r="I69" s="3170" t="s">
        <v>3691</v>
      </c>
      <c r="J69" s="3170" t="s">
        <v>3692</v>
      </c>
      <c r="K69" s="3171" t="s">
        <v>3693</v>
      </c>
      <c r="L69" s="3172">
        <v>28.04</v>
      </c>
      <c r="M69" s="3173" t="s">
        <v>3317</v>
      </c>
    </row>
    <row r="70" spans="1:13" ht="15.75" thickBot="1">
      <c r="A70" s="3169">
        <v>219</v>
      </c>
      <c r="B70" s="3170" t="s">
        <v>3949</v>
      </c>
      <c r="C70" s="3170" t="s">
        <v>3950</v>
      </c>
      <c r="D70" s="3171" t="s">
        <v>3951</v>
      </c>
      <c r="E70" s="3172">
        <v>161.81</v>
      </c>
      <c r="F70" s="3173" t="s">
        <v>3387</v>
      </c>
      <c r="H70" s="3169">
        <v>106</v>
      </c>
      <c r="I70" s="3170" t="s">
        <v>3694</v>
      </c>
      <c r="J70" s="3170" t="s">
        <v>3695</v>
      </c>
      <c r="K70" s="3171" t="s">
        <v>3696</v>
      </c>
      <c r="L70" s="3172">
        <v>27.64</v>
      </c>
      <c r="M70" s="3173" t="s">
        <v>3317</v>
      </c>
    </row>
    <row r="71" spans="1:13" ht="15.75" thickBot="1">
      <c r="A71" s="3169">
        <v>220</v>
      </c>
      <c r="B71" s="3170" t="s">
        <v>3952</v>
      </c>
      <c r="C71" s="3170" t="s">
        <v>3953</v>
      </c>
      <c r="D71" s="3171" t="s">
        <v>3954</v>
      </c>
      <c r="E71" s="3172">
        <v>184.92</v>
      </c>
      <c r="F71" s="3173" t="s">
        <v>3387</v>
      </c>
      <c r="H71" s="3169">
        <v>107</v>
      </c>
      <c r="I71" s="3170" t="s">
        <v>3697</v>
      </c>
      <c r="J71" s="3170" t="s">
        <v>3698</v>
      </c>
      <c r="K71" s="3171" t="s">
        <v>3699</v>
      </c>
      <c r="L71" s="3172">
        <v>19.170000000000002</v>
      </c>
      <c r="M71" s="3173" t="s">
        <v>3317</v>
      </c>
    </row>
    <row r="72" spans="1:13" ht="15.75" thickBot="1">
      <c r="A72" s="3169">
        <v>221</v>
      </c>
      <c r="B72" s="3170" t="s">
        <v>3955</v>
      </c>
      <c r="C72" s="3170" t="s">
        <v>3956</v>
      </c>
      <c r="D72" s="3171" t="s">
        <v>3957</v>
      </c>
      <c r="E72" s="3172">
        <v>184.46</v>
      </c>
      <c r="F72" s="3173" t="s">
        <v>3387</v>
      </c>
      <c r="H72" s="3169">
        <v>108</v>
      </c>
      <c r="I72" s="3170" t="s">
        <v>3700</v>
      </c>
      <c r="J72" s="3170" t="s">
        <v>3701</v>
      </c>
      <c r="K72" s="3171" t="s">
        <v>3702</v>
      </c>
      <c r="L72" s="3172">
        <v>19.170000000000002</v>
      </c>
      <c r="M72" s="3173" t="s">
        <v>3317</v>
      </c>
    </row>
    <row r="73" spans="1:13" ht="15.75" thickBot="1">
      <c r="A73" s="3169">
        <v>245</v>
      </c>
      <c r="B73" s="3170" t="s">
        <v>4021</v>
      </c>
      <c r="C73" s="3170" t="s">
        <v>4022</v>
      </c>
      <c r="D73" s="3171" t="s">
        <v>4023</v>
      </c>
      <c r="E73" s="3172">
        <v>184.9</v>
      </c>
      <c r="F73" s="3173" t="s">
        <v>3387</v>
      </c>
      <c r="H73" s="3169">
        <v>109</v>
      </c>
      <c r="I73" s="3170" t="s">
        <v>3703</v>
      </c>
      <c r="J73" s="3170" t="s">
        <v>3704</v>
      </c>
      <c r="K73" s="3171" t="s">
        <v>3705</v>
      </c>
      <c r="L73" s="3172">
        <v>27.82</v>
      </c>
      <c r="M73" s="3173" t="s">
        <v>3317</v>
      </c>
    </row>
    <row r="74" spans="1:13" ht="15.75" thickBot="1">
      <c r="A74" s="3169">
        <v>246</v>
      </c>
      <c r="B74" s="3170" t="s">
        <v>4024</v>
      </c>
      <c r="C74" s="3170" t="s">
        <v>4025</v>
      </c>
      <c r="D74" s="3171" t="s">
        <v>4026</v>
      </c>
      <c r="E74" s="3172">
        <v>184.94</v>
      </c>
      <c r="F74" s="3173" t="s">
        <v>3387</v>
      </c>
      <c r="H74" s="3169">
        <v>110</v>
      </c>
      <c r="I74" s="3170" t="s">
        <v>3706</v>
      </c>
      <c r="J74" s="3170" t="s">
        <v>3707</v>
      </c>
      <c r="K74" s="3171" t="s">
        <v>3708</v>
      </c>
      <c r="L74" s="3172">
        <v>27.64</v>
      </c>
      <c r="M74" s="3173" t="s">
        <v>3317</v>
      </c>
    </row>
    <row r="75" spans="1:13" ht="15.75" thickBot="1">
      <c r="A75" s="3169">
        <v>247</v>
      </c>
      <c r="B75" s="3170" t="s">
        <v>4027</v>
      </c>
      <c r="C75" s="3170" t="s">
        <v>4028</v>
      </c>
      <c r="D75" s="3171" t="s">
        <v>4029</v>
      </c>
      <c r="E75" s="3172">
        <v>161.79</v>
      </c>
      <c r="F75" s="3173" t="s">
        <v>3387</v>
      </c>
      <c r="H75" s="3169">
        <v>111</v>
      </c>
      <c r="I75" s="3170" t="s">
        <v>3709</v>
      </c>
      <c r="J75" s="3170" t="s">
        <v>3710</v>
      </c>
      <c r="K75" s="3171" t="s">
        <v>3711</v>
      </c>
      <c r="L75" s="3172">
        <v>19.809999999999999</v>
      </c>
      <c r="M75" s="3173" t="s">
        <v>3317</v>
      </c>
    </row>
    <row r="76" spans="1:13" ht="15.75" thickBot="1">
      <c r="A76" s="3169">
        <v>269</v>
      </c>
      <c r="B76" s="3170" t="s">
        <v>4069</v>
      </c>
      <c r="C76" s="3170" t="s">
        <v>4070</v>
      </c>
      <c r="D76" s="3171" t="s">
        <v>4071</v>
      </c>
      <c r="E76" s="3172">
        <v>168.09</v>
      </c>
      <c r="F76" s="3173" t="s">
        <v>3387</v>
      </c>
      <c r="H76" s="3169">
        <v>112</v>
      </c>
      <c r="I76" s="3170" t="s">
        <v>3712</v>
      </c>
      <c r="J76" s="3170" t="s">
        <v>3713</v>
      </c>
      <c r="K76" s="3171" t="s">
        <v>3714</v>
      </c>
      <c r="L76" s="3172">
        <v>19.809999999999999</v>
      </c>
      <c r="M76" s="3173" t="s">
        <v>3317</v>
      </c>
    </row>
    <row r="77" spans="1:13" ht="15.75" thickBot="1">
      <c r="A77" s="3169">
        <v>289</v>
      </c>
      <c r="B77" s="3170" t="s">
        <v>4105</v>
      </c>
      <c r="C77" s="3170" t="s">
        <v>4106</v>
      </c>
      <c r="D77" s="3171" t="s">
        <v>4107</v>
      </c>
      <c r="E77" s="3172">
        <v>210.98</v>
      </c>
      <c r="F77" s="3173" t="s">
        <v>3387</v>
      </c>
      <c r="H77" s="3169">
        <v>113</v>
      </c>
      <c r="I77" s="3170" t="s">
        <v>3715</v>
      </c>
      <c r="J77" s="3170" t="s">
        <v>3716</v>
      </c>
      <c r="K77" s="3171" t="s">
        <v>3717</v>
      </c>
      <c r="L77" s="3172">
        <v>27.64</v>
      </c>
      <c r="M77" s="3173" t="s">
        <v>3317</v>
      </c>
    </row>
    <row r="78" spans="1:13" ht="15.75" thickBot="1">
      <c r="A78" s="3169">
        <v>290</v>
      </c>
      <c r="B78" s="3174" t="e">
        <v>#NAME?</v>
      </c>
      <c r="C78" s="3170" t="s">
        <v>4108</v>
      </c>
      <c r="D78" s="3171" t="s">
        <v>4109</v>
      </c>
      <c r="E78" s="3172">
        <v>221.84</v>
      </c>
      <c r="F78" s="3173" t="s">
        <v>3387</v>
      </c>
      <c r="H78" s="3169">
        <v>114</v>
      </c>
      <c r="I78" s="3170" t="s">
        <v>3718</v>
      </c>
      <c r="J78" s="3170" t="s">
        <v>3719</v>
      </c>
      <c r="K78" s="3171" t="s">
        <v>3720</v>
      </c>
      <c r="L78" s="3172">
        <v>16.38</v>
      </c>
      <c r="M78" s="3173" t="s">
        <v>3317</v>
      </c>
    </row>
    <row r="79" spans="1:13" ht="15.75" thickBot="1">
      <c r="A79" s="3169">
        <v>291</v>
      </c>
      <c r="B79" s="3170" t="s">
        <v>4110</v>
      </c>
      <c r="C79" s="3170" t="s">
        <v>4111</v>
      </c>
      <c r="D79" s="3171" t="s">
        <v>4112</v>
      </c>
      <c r="E79" s="3172">
        <v>221.84</v>
      </c>
      <c r="F79" s="3173" t="s">
        <v>3387</v>
      </c>
      <c r="H79" s="3169">
        <v>115</v>
      </c>
      <c r="I79" s="3170" t="s">
        <v>3721</v>
      </c>
      <c r="J79" s="3170" t="s">
        <v>3722</v>
      </c>
      <c r="K79" s="3171" t="s">
        <v>3723</v>
      </c>
      <c r="L79" s="3172">
        <v>16.38</v>
      </c>
      <c r="M79" s="3173" t="s">
        <v>3317</v>
      </c>
    </row>
    <row r="80" spans="1:13" ht="15.75" thickBot="1">
      <c r="A80" s="3169">
        <v>293</v>
      </c>
      <c r="B80" s="3170" t="s">
        <v>4113</v>
      </c>
      <c r="C80" s="3170" t="s">
        <v>4114</v>
      </c>
      <c r="D80" s="3171" t="s">
        <v>4115</v>
      </c>
      <c r="E80" s="3172">
        <v>210.98</v>
      </c>
      <c r="F80" s="3173" t="s">
        <v>3387</v>
      </c>
      <c r="H80" s="3169">
        <v>116</v>
      </c>
      <c r="I80" s="3170" t="s">
        <v>3724</v>
      </c>
      <c r="J80" s="3170" t="s">
        <v>3725</v>
      </c>
      <c r="K80" s="3171" t="s">
        <v>3726</v>
      </c>
      <c r="L80" s="3172">
        <v>16.38</v>
      </c>
      <c r="M80" s="3173" t="s">
        <v>3317</v>
      </c>
    </row>
    <row r="81" spans="1:13" ht="15.75" thickBot="1">
      <c r="A81" s="3169">
        <v>294</v>
      </c>
      <c r="B81" s="3170" t="s">
        <v>4116</v>
      </c>
      <c r="C81" s="3170" t="s">
        <v>4117</v>
      </c>
      <c r="D81" s="3171" t="s">
        <v>4118</v>
      </c>
      <c r="E81" s="3172">
        <v>210.98</v>
      </c>
      <c r="F81" s="3173" t="s">
        <v>3387</v>
      </c>
      <c r="H81" s="3169">
        <v>117</v>
      </c>
      <c r="I81" s="3170" t="s">
        <v>3727</v>
      </c>
      <c r="J81" s="3170" t="s">
        <v>3728</v>
      </c>
      <c r="K81" s="3171" t="s">
        <v>3729</v>
      </c>
      <c r="L81" s="3172">
        <v>17.059999999999999</v>
      </c>
      <c r="M81" s="3173" t="s">
        <v>3317</v>
      </c>
    </row>
    <row r="82" spans="1:13" ht="15.75" thickBot="1">
      <c r="A82" s="3169">
        <v>295</v>
      </c>
      <c r="B82" s="3174" t="e">
        <v>#NAME?</v>
      </c>
      <c r="C82" s="3170" t="s">
        <v>4119</v>
      </c>
      <c r="D82" s="3171" t="s">
        <v>4120</v>
      </c>
      <c r="E82" s="3172">
        <v>221.84</v>
      </c>
      <c r="F82" s="3173" t="s">
        <v>3387</v>
      </c>
      <c r="H82" s="3169">
        <v>124</v>
      </c>
      <c r="I82" s="3170" t="s">
        <v>3733</v>
      </c>
      <c r="J82" s="3170" t="s">
        <v>3734</v>
      </c>
      <c r="K82" s="3171" t="s">
        <v>3735</v>
      </c>
      <c r="L82" s="3172">
        <v>41.46</v>
      </c>
      <c r="M82" s="3173" t="s">
        <v>3317</v>
      </c>
    </row>
    <row r="83" spans="1:13" ht="15.75" thickBot="1">
      <c r="A83" s="3169">
        <v>296</v>
      </c>
      <c r="B83" s="3174" t="e">
        <v>#NAME?</v>
      </c>
      <c r="C83" s="3170" t="s">
        <v>4121</v>
      </c>
      <c r="D83" s="3171" t="s">
        <v>4122</v>
      </c>
      <c r="E83" s="3172">
        <v>221.84</v>
      </c>
      <c r="F83" s="3173" t="s">
        <v>3387</v>
      </c>
      <c r="H83" s="3169">
        <v>125</v>
      </c>
      <c r="I83" s="3170" t="s">
        <v>3736</v>
      </c>
      <c r="J83" s="3170" t="s">
        <v>3737</v>
      </c>
      <c r="K83" s="3171" t="s">
        <v>3738</v>
      </c>
      <c r="L83" s="3172">
        <v>56.7</v>
      </c>
      <c r="M83" s="3173" t="s">
        <v>3317</v>
      </c>
    </row>
    <row r="84" spans="1:13" ht="15.75" thickBot="1">
      <c r="A84" s="3169">
        <v>297</v>
      </c>
      <c r="B84" s="3170" t="s">
        <v>4123</v>
      </c>
      <c r="C84" s="3170" t="s">
        <v>4124</v>
      </c>
      <c r="D84" s="3171" t="s">
        <v>4125</v>
      </c>
      <c r="E84" s="3172">
        <v>221.84</v>
      </c>
      <c r="F84" s="3173" t="s">
        <v>3387</v>
      </c>
      <c r="H84" s="3169">
        <v>126</v>
      </c>
      <c r="I84" s="3170" t="s">
        <v>3739</v>
      </c>
      <c r="J84" s="3170" t="s">
        <v>3740</v>
      </c>
      <c r="K84" s="3171" t="s">
        <v>3741</v>
      </c>
      <c r="L84" s="3172">
        <v>23.66</v>
      </c>
      <c r="M84" s="3173" t="s">
        <v>3317</v>
      </c>
    </row>
    <row r="85" spans="1:13" ht="15.75" thickBot="1">
      <c r="A85" s="3169">
        <v>298</v>
      </c>
      <c r="B85" s="3170" t="s">
        <v>4126</v>
      </c>
      <c r="C85" s="3170" t="s">
        <v>4127</v>
      </c>
      <c r="D85" s="3171" t="s">
        <v>4128</v>
      </c>
      <c r="E85" s="3172">
        <v>221.84</v>
      </c>
      <c r="F85" s="3173" t="s">
        <v>3387</v>
      </c>
      <c r="H85" s="3169">
        <v>130</v>
      </c>
      <c r="I85" s="3170" t="s">
        <v>3742</v>
      </c>
      <c r="J85" s="3170" t="s">
        <v>3743</v>
      </c>
      <c r="K85" s="3171" t="s">
        <v>3744</v>
      </c>
      <c r="L85" s="3172">
        <v>27.61</v>
      </c>
      <c r="M85" s="3173" t="s">
        <v>3317</v>
      </c>
    </row>
    <row r="86" spans="1:13" ht="15.75" thickBot="1">
      <c r="A86" s="3169">
        <v>299</v>
      </c>
      <c r="B86" s="3170" t="s">
        <v>4129</v>
      </c>
      <c r="C86" s="3170" t="s">
        <v>4130</v>
      </c>
      <c r="D86" s="3171" t="s">
        <v>4131</v>
      </c>
      <c r="E86" s="3172">
        <v>221.84</v>
      </c>
      <c r="F86" s="3173" t="s">
        <v>3387</v>
      </c>
      <c r="H86" s="3169">
        <v>131</v>
      </c>
      <c r="I86" s="3170" t="s">
        <v>3745</v>
      </c>
      <c r="J86" s="3170" t="s">
        <v>3746</v>
      </c>
      <c r="K86" s="3171" t="s">
        <v>3747</v>
      </c>
      <c r="L86" s="3172">
        <v>19.149999999999999</v>
      </c>
      <c r="M86" s="3173" t="s">
        <v>3317</v>
      </c>
    </row>
    <row r="87" spans="1:13" ht="15.75" thickBot="1">
      <c r="A87" s="3169">
        <v>300</v>
      </c>
      <c r="B87" s="3170" t="s">
        <v>4132</v>
      </c>
      <c r="C87" s="3170" t="s">
        <v>4133</v>
      </c>
      <c r="D87" s="3171" t="s">
        <v>4134</v>
      </c>
      <c r="E87" s="3172">
        <v>221.84</v>
      </c>
      <c r="F87" s="3173" t="s">
        <v>3387</v>
      </c>
      <c r="H87" s="3169">
        <v>132</v>
      </c>
      <c r="I87" s="3170" t="s">
        <v>3748</v>
      </c>
      <c r="J87" s="3170" t="s">
        <v>3749</v>
      </c>
      <c r="K87" s="3171" t="s">
        <v>3750</v>
      </c>
      <c r="L87" s="3172">
        <v>19.149999999999999</v>
      </c>
      <c r="M87" s="3173" t="s">
        <v>3317</v>
      </c>
    </row>
    <row r="88" spans="1:13" ht="15.75" thickBot="1">
      <c r="A88" s="3169">
        <v>301</v>
      </c>
      <c r="B88" s="3170" t="s">
        <v>4135</v>
      </c>
      <c r="C88" s="3170" t="s">
        <v>4136</v>
      </c>
      <c r="D88" s="3171" t="s">
        <v>4137</v>
      </c>
      <c r="E88" s="3172">
        <v>210.98</v>
      </c>
      <c r="F88" s="3173" t="s">
        <v>3387</v>
      </c>
      <c r="H88" s="3169">
        <v>133</v>
      </c>
      <c r="I88" s="3170" t="s">
        <v>3751</v>
      </c>
      <c r="J88" s="3170" t="s">
        <v>3752</v>
      </c>
      <c r="K88" s="3171" t="s">
        <v>3753</v>
      </c>
      <c r="L88" s="3172">
        <v>27.79</v>
      </c>
      <c r="M88" s="3173" t="s">
        <v>3317</v>
      </c>
    </row>
    <row r="89" spans="1:13" ht="15.75" thickBot="1">
      <c r="A89" s="3169">
        <v>302</v>
      </c>
      <c r="B89" s="3170" t="s">
        <v>4138</v>
      </c>
      <c r="C89" s="3170" t="s">
        <v>4139</v>
      </c>
      <c r="D89" s="3171" t="s">
        <v>4140</v>
      </c>
      <c r="E89" s="3172">
        <v>212.29</v>
      </c>
      <c r="F89" s="3173" t="s">
        <v>3387</v>
      </c>
      <c r="H89" s="3169">
        <v>134</v>
      </c>
      <c r="I89" s="3170" t="s">
        <v>3754</v>
      </c>
      <c r="J89" s="3170" t="s">
        <v>3755</v>
      </c>
      <c r="K89" s="3171" t="s">
        <v>3756</v>
      </c>
      <c r="L89" s="3172">
        <v>27.61</v>
      </c>
      <c r="M89" s="3173" t="s">
        <v>3317</v>
      </c>
    </row>
    <row r="90" spans="1:13" ht="15.75" thickBot="1">
      <c r="A90" s="3169">
        <v>303</v>
      </c>
      <c r="B90" s="3174" t="e">
        <v>#NAME?</v>
      </c>
      <c r="C90" s="3170" t="s">
        <v>4141</v>
      </c>
      <c r="D90" s="3171" t="s">
        <v>4142</v>
      </c>
      <c r="E90" s="3172">
        <v>221.84</v>
      </c>
      <c r="F90" s="3173" t="s">
        <v>3387</v>
      </c>
      <c r="H90" s="3169">
        <v>135</v>
      </c>
      <c r="I90" s="3170" t="s">
        <v>3757</v>
      </c>
      <c r="J90" s="3170" t="s">
        <v>3758</v>
      </c>
      <c r="K90" s="3171" t="s">
        <v>3759</v>
      </c>
      <c r="L90" s="3172">
        <v>19.79</v>
      </c>
      <c r="M90" s="3173" t="s">
        <v>3317</v>
      </c>
    </row>
    <row r="91" spans="1:13" ht="15.75" thickBot="1">
      <c r="A91" s="3169">
        <v>304</v>
      </c>
      <c r="B91" s="3174" t="e">
        <v>#NAME?</v>
      </c>
      <c r="C91" s="3170" t="s">
        <v>4143</v>
      </c>
      <c r="D91" s="3171" t="s">
        <v>4144</v>
      </c>
      <c r="E91" s="3172">
        <v>223.15</v>
      </c>
      <c r="F91" s="3173" t="s">
        <v>3387</v>
      </c>
      <c r="H91" s="3169">
        <v>136</v>
      </c>
      <c r="I91" s="3170" t="s">
        <v>3760</v>
      </c>
      <c r="J91" s="3170" t="s">
        <v>3761</v>
      </c>
      <c r="K91" s="3171" t="s">
        <v>3762</v>
      </c>
      <c r="L91" s="3172">
        <v>27.61</v>
      </c>
      <c r="M91" s="3173" t="s">
        <v>3317</v>
      </c>
    </row>
    <row r="92" spans="1:13" ht="15.75" thickBot="1">
      <c r="A92" s="3169">
        <v>305</v>
      </c>
      <c r="B92" s="3170" t="s">
        <v>4145</v>
      </c>
      <c r="C92" s="3170" t="s">
        <v>4146</v>
      </c>
      <c r="D92" s="3171" t="s">
        <v>4147</v>
      </c>
      <c r="E92" s="3172">
        <v>221.84</v>
      </c>
      <c r="F92" s="3173" t="s">
        <v>3387</v>
      </c>
      <c r="H92" s="3169">
        <v>138</v>
      </c>
      <c r="I92" s="3170" t="s">
        <v>3763</v>
      </c>
      <c r="J92" s="3170" t="s">
        <v>3764</v>
      </c>
      <c r="K92" s="3171" t="s">
        <v>3765</v>
      </c>
      <c r="L92" s="3172">
        <v>12.41</v>
      </c>
      <c r="M92" s="3173" t="s">
        <v>3317</v>
      </c>
    </row>
    <row r="93" spans="1:13" ht="15.75" thickBot="1">
      <c r="A93" s="3169">
        <v>307</v>
      </c>
      <c r="B93" s="3170" t="s">
        <v>4148</v>
      </c>
      <c r="C93" s="3170" t="s">
        <v>4149</v>
      </c>
      <c r="D93" s="3171" t="s">
        <v>4150</v>
      </c>
      <c r="E93" s="3172">
        <v>223.15</v>
      </c>
      <c r="F93" s="3173" t="s">
        <v>3387</v>
      </c>
      <c r="H93" s="3169">
        <v>147</v>
      </c>
      <c r="I93" s="3170" t="s">
        <v>3780</v>
      </c>
      <c r="J93" s="3170" t="s">
        <v>3781</v>
      </c>
      <c r="K93" s="3171" t="s">
        <v>3782</v>
      </c>
      <c r="L93" s="3172">
        <v>31.03</v>
      </c>
      <c r="M93" s="3173" t="s">
        <v>3317</v>
      </c>
    </row>
    <row r="94" spans="1:13" ht="15.75" thickBot="1">
      <c r="A94" s="3169">
        <v>308</v>
      </c>
      <c r="B94" s="3170" t="s">
        <v>4151</v>
      </c>
      <c r="C94" s="3170" t="s">
        <v>4152</v>
      </c>
      <c r="D94" s="3171" t="s">
        <v>4153</v>
      </c>
      <c r="E94" s="3172">
        <v>221.84</v>
      </c>
      <c r="F94" s="3173" t="s">
        <v>3387</v>
      </c>
      <c r="H94" s="3169">
        <v>148</v>
      </c>
      <c r="I94" s="3170" t="s">
        <v>3783</v>
      </c>
      <c r="J94" s="3170" t="s">
        <v>3784</v>
      </c>
      <c r="K94" s="3171" t="s">
        <v>3785</v>
      </c>
      <c r="L94" s="3172">
        <v>16.09</v>
      </c>
      <c r="M94" s="3173" t="s">
        <v>3317</v>
      </c>
    </row>
    <row r="95" spans="1:13" ht="15.75" thickBot="1">
      <c r="A95" s="3169">
        <v>335</v>
      </c>
      <c r="B95" s="3170" t="s">
        <v>4232</v>
      </c>
      <c r="C95" s="3170" t="s">
        <v>4233</v>
      </c>
      <c r="D95" s="3171" t="s">
        <v>4234</v>
      </c>
      <c r="E95" s="3172">
        <v>272.91000000000003</v>
      </c>
      <c r="F95" s="3173" t="s">
        <v>3387</v>
      </c>
      <c r="H95" s="3169">
        <v>149</v>
      </c>
      <c r="I95" s="3170" t="s">
        <v>3786</v>
      </c>
      <c r="J95" s="3170" t="s">
        <v>3787</v>
      </c>
      <c r="K95" s="3171" t="s">
        <v>3788</v>
      </c>
      <c r="L95" s="3172">
        <v>46.55</v>
      </c>
      <c r="M95" s="3173" t="s">
        <v>3317</v>
      </c>
    </row>
    <row r="96" spans="1:13" ht="15.75" thickBot="1">
      <c r="A96" s="3169">
        <v>336</v>
      </c>
      <c r="B96" s="3170" t="s">
        <v>4235</v>
      </c>
      <c r="C96" s="3170" t="s">
        <v>4236</v>
      </c>
      <c r="D96" s="3171" t="s">
        <v>4237</v>
      </c>
      <c r="E96" s="3172">
        <v>271.69</v>
      </c>
      <c r="F96" s="3173" t="s">
        <v>3387</v>
      </c>
      <c r="H96" s="3169">
        <v>150</v>
      </c>
      <c r="I96" s="3170" t="s">
        <v>3789</v>
      </c>
      <c r="J96" s="3170" t="s">
        <v>3790</v>
      </c>
      <c r="K96" s="3171" t="s">
        <v>3791</v>
      </c>
      <c r="L96" s="3172">
        <v>53.78</v>
      </c>
      <c r="M96" s="3173" t="s">
        <v>3317</v>
      </c>
    </row>
    <row r="97" spans="1:13" ht="15.75" thickBot="1">
      <c r="A97" s="3169">
        <v>337</v>
      </c>
      <c r="B97" s="3174" t="e">
        <v>#NAME?</v>
      </c>
      <c r="C97" s="3170" t="s">
        <v>4238</v>
      </c>
      <c r="D97" s="3171" t="s">
        <v>4239</v>
      </c>
      <c r="E97" s="3172">
        <v>272.97000000000003</v>
      </c>
      <c r="F97" s="3173" t="s">
        <v>3387</v>
      </c>
      <c r="H97" s="3169">
        <v>151</v>
      </c>
      <c r="I97" s="3170" t="s">
        <v>3792</v>
      </c>
      <c r="J97" s="3170" t="s">
        <v>3793</v>
      </c>
      <c r="K97" s="3171" t="s">
        <v>3794</v>
      </c>
      <c r="L97" s="3172">
        <v>23.66</v>
      </c>
      <c r="M97" s="3173" t="s">
        <v>3317</v>
      </c>
    </row>
    <row r="98" spans="1:13" ht="15.75" thickBot="1">
      <c r="A98" s="3169">
        <v>338</v>
      </c>
      <c r="B98" s="3174" t="e">
        <v>#NAME?</v>
      </c>
      <c r="C98" s="3170" t="s">
        <v>4240</v>
      </c>
      <c r="D98" s="3171" t="s">
        <v>4241</v>
      </c>
      <c r="E98" s="3172">
        <v>271.75</v>
      </c>
      <c r="F98" s="3173" t="s">
        <v>3387</v>
      </c>
      <c r="H98" s="3169">
        <v>155</v>
      </c>
      <c r="I98" s="3170" t="s">
        <v>3795</v>
      </c>
      <c r="J98" s="3170" t="s">
        <v>3796</v>
      </c>
      <c r="K98" s="3171" t="s">
        <v>3797</v>
      </c>
      <c r="L98" s="3172">
        <v>41.16</v>
      </c>
      <c r="M98" s="3173" t="s">
        <v>3317</v>
      </c>
    </row>
    <row r="99" spans="1:13" ht="15.75" thickBot="1">
      <c r="A99" s="3169">
        <v>339</v>
      </c>
      <c r="B99" s="3170" t="s">
        <v>4242</v>
      </c>
      <c r="C99" s="3170" t="s">
        <v>4243</v>
      </c>
      <c r="D99" s="3171" t="s">
        <v>4244</v>
      </c>
      <c r="E99" s="3172">
        <v>272.97000000000003</v>
      </c>
      <c r="F99" s="3173" t="s">
        <v>3387</v>
      </c>
      <c r="H99" s="3169">
        <v>156</v>
      </c>
      <c r="I99" s="3170" t="s">
        <v>3798</v>
      </c>
      <c r="J99" s="3170" t="s">
        <v>3799</v>
      </c>
      <c r="K99" s="3171" t="s">
        <v>3800</v>
      </c>
      <c r="L99" s="3172">
        <v>56.71</v>
      </c>
      <c r="M99" s="3173" t="s">
        <v>3317</v>
      </c>
    </row>
    <row r="100" spans="1:13" ht="15.75" thickBot="1">
      <c r="A100" s="3169">
        <v>341</v>
      </c>
      <c r="B100" s="3170" t="s">
        <v>4245</v>
      </c>
      <c r="C100" s="3170" t="s">
        <v>4246</v>
      </c>
      <c r="D100" s="3171" t="s">
        <v>4247</v>
      </c>
      <c r="E100" s="3172">
        <v>271.69</v>
      </c>
      <c r="F100" s="3173" t="s">
        <v>3387</v>
      </c>
      <c r="H100" s="3169">
        <v>157</v>
      </c>
      <c r="I100" s="3170" t="s">
        <v>3801</v>
      </c>
      <c r="J100" s="3170" t="s">
        <v>3802</v>
      </c>
      <c r="K100" s="3171" t="s">
        <v>3803</v>
      </c>
      <c r="L100" s="3172">
        <v>23.66</v>
      </c>
      <c r="M100" s="3173" t="s">
        <v>3317</v>
      </c>
    </row>
    <row r="101" spans="1:13" ht="15.75" thickBot="1">
      <c r="A101" s="3169">
        <v>342</v>
      </c>
      <c r="B101" s="3170" t="s">
        <v>4248</v>
      </c>
      <c r="C101" s="3170" t="s">
        <v>4249</v>
      </c>
      <c r="D101" s="3171" t="s">
        <v>4250</v>
      </c>
      <c r="E101" s="3172">
        <v>272.86</v>
      </c>
      <c r="F101" s="3173" t="s">
        <v>3387</v>
      </c>
      <c r="H101" s="3169">
        <v>158</v>
      </c>
      <c r="I101" s="3170" t="s">
        <v>3804</v>
      </c>
      <c r="J101" s="3170" t="s">
        <v>3805</v>
      </c>
      <c r="K101" s="3171" t="s">
        <v>3806</v>
      </c>
      <c r="L101" s="3172">
        <v>27.61</v>
      </c>
      <c r="M101" s="3173" t="s">
        <v>3317</v>
      </c>
    </row>
    <row r="102" spans="1:13" ht="15.75" thickBot="1">
      <c r="A102" s="3169">
        <v>366</v>
      </c>
      <c r="B102" s="3170" t="s">
        <v>4317</v>
      </c>
      <c r="C102" s="3170" t="s">
        <v>4318</v>
      </c>
      <c r="D102" s="3171" t="s">
        <v>4319</v>
      </c>
      <c r="E102" s="3172">
        <v>168.06</v>
      </c>
      <c r="F102" s="3173" t="s">
        <v>3387</v>
      </c>
      <c r="H102" s="3169">
        <v>159</v>
      </c>
      <c r="I102" s="3170" t="s">
        <v>3807</v>
      </c>
      <c r="J102" s="3170" t="s">
        <v>3808</v>
      </c>
      <c r="K102" s="3171" t="s">
        <v>3809</v>
      </c>
      <c r="L102" s="3172">
        <v>19.149999999999999</v>
      </c>
      <c r="M102" s="3173" t="s">
        <v>3317</v>
      </c>
    </row>
    <row r="103" spans="1:13" ht="15.75" thickBot="1">
      <c r="A103" s="3169">
        <v>367</v>
      </c>
      <c r="B103" s="3170" t="s">
        <v>4320</v>
      </c>
      <c r="C103" s="3170" t="s">
        <v>4321</v>
      </c>
      <c r="D103" s="3171" t="s">
        <v>4322</v>
      </c>
      <c r="E103" s="3172">
        <v>168.06</v>
      </c>
      <c r="F103" s="3173" t="s">
        <v>3387</v>
      </c>
      <c r="H103" s="3169">
        <v>160</v>
      </c>
      <c r="I103" s="3170" t="s">
        <v>3810</v>
      </c>
      <c r="J103" s="3170" t="s">
        <v>3811</v>
      </c>
      <c r="K103" s="3171" t="s">
        <v>3812</v>
      </c>
      <c r="L103" s="3172">
        <v>19.149999999999999</v>
      </c>
      <c r="M103" s="3173" t="s">
        <v>3317</v>
      </c>
    </row>
    <row r="104" spans="1:13" ht="15.75" thickBot="1">
      <c r="A104" s="3169">
        <v>368</v>
      </c>
      <c r="B104" s="3170" t="s">
        <v>4323</v>
      </c>
      <c r="C104" s="3170" t="s">
        <v>4324</v>
      </c>
      <c r="D104" s="3171" t="s">
        <v>4325</v>
      </c>
      <c r="E104" s="3172">
        <v>192.5</v>
      </c>
      <c r="F104" s="3173" t="s">
        <v>3387</v>
      </c>
      <c r="H104" s="3169">
        <v>161</v>
      </c>
      <c r="I104" s="3170" t="s">
        <v>3813</v>
      </c>
      <c r="J104" s="3170" t="s">
        <v>3814</v>
      </c>
      <c r="K104" s="3171" t="s">
        <v>3815</v>
      </c>
      <c r="L104" s="3172">
        <v>27.61</v>
      </c>
      <c r="M104" s="3173" t="s">
        <v>3317</v>
      </c>
    </row>
    <row r="105" spans="1:13" ht="15.75" thickBot="1">
      <c r="A105" s="3169">
        <v>369</v>
      </c>
      <c r="B105" s="3174" t="e">
        <v>#NAME?</v>
      </c>
      <c r="C105" s="3170" t="s">
        <v>4326</v>
      </c>
      <c r="D105" s="3171" t="s">
        <v>4327</v>
      </c>
      <c r="E105" s="3172">
        <v>192.53</v>
      </c>
      <c r="F105" s="3173" t="s">
        <v>3387</v>
      </c>
      <c r="H105" s="3169">
        <v>162</v>
      </c>
      <c r="I105" s="3170" t="s">
        <v>3816</v>
      </c>
      <c r="J105" s="3170" t="s">
        <v>3817</v>
      </c>
      <c r="K105" s="3171" t="s">
        <v>3818</v>
      </c>
      <c r="L105" s="3172">
        <v>18.350000000000001</v>
      </c>
      <c r="M105" s="3173" t="s">
        <v>3317</v>
      </c>
    </row>
    <row r="106" spans="1:13" ht="15.75" thickBot="1">
      <c r="A106" s="3169">
        <v>392</v>
      </c>
      <c r="B106" s="3170" t="s">
        <v>4391</v>
      </c>
      <c r="C106" s="3170" t="s">
        <v>4392</v>
      </c>
      <c r="D106" s="3171" t="s">
        <v>4393</v>
      </c>
      <c r="E106" s="3172">
        <v>271.73</v>
      </c>
      <c r="F106" s="3173" t="s">
        <v>3387</v>
      </c>
      <c r="H106" s="3169">
        <v>164</v>
      </c>
      <c r="I106" s="3170" t="s">
        <v>3819</v>
      </c>
      <c r="J106" s="3170" t="s">
        <v>3820</v>
      </c>
      <c r="K106" s="3171" t="s">
        <v>3821</v>
      </c>
      <c r="L106" s="3172">
        <v>12.41</v>
      </c>
      <c r="M106" s="3173" t="s">
        <v>3317</v>
      </c>
    </row>
    <row r="107" spans="1:13" ht="15.75" thickBot="1">
      <c r="A107" s="3169">
        <v>393</v>
      </c>
      <c r="B107" s="3174" t="e">
        <v>#NAME?</v>
      </c>
      <c r="C107" s="3170" t="s">
        <v>4394</v>
      </c>
      <c r="D107" s="3171" t="s">
        <v>4395</v>
      </c>
      <c r="E107" s="3172">
        <v>271.8</v>
      </c>
      <c r="F107" s="3173" t="s">
        <v>3387</v>
      </c>
      <c r="H107" s="3169">
        <v>169</v>
      </c>
      <c r="I107" s="3170" t="s">
        <v>3828</v>
      </c>
      <c r="J107" s="3170" t="s">
        <v>3829</v>
      </c>
      <c r="K107" s="3171" t="s">
        <v>3830</v>
      </c>
      <c r="L107" s="3172">
        <v>27.29</v>
      </c>
      <c r="M107" s="3173" t="s">
        <v>3317</v>
      </c>
    </row>
    <row r="108" spans="1:13" ht="15.75" thickBot="1">
      <c r="A108" s="3169">
        <v>394</v>
      </c>
      <c r="B108" s="3170" t="s">
        <v>4396</v>
      </c>
      <c r="C108" s="3170" t="s">
        <v>4397</v>
      </c>
      <c r="D108" s="3171" t="s">
        <v>4398</v>
      </c>
      <c r="E108" s="3172">
        <v>271.73</v>
      </c>
      <c r="F108" s="3173" t="s">
        <v>3387</v>
      </c>
      <c r="H108" s="3169">
        <v>170</v>
      </c>
      <c r="I108" s="3170" t="s">
        <v>3831</v>
      </c>
      <c r="J108" s="3170" t="s">
        <v>3832</v>
      </c>
      <c r="K108" s="3171" t="s">
        <v>3833</v>
      </c>
      <c r="L108" s="3172">
        <v>22.37</v>
      </c>
      <c r="M108" s="3173" t="s">
        <v>3317</v>
      </c>
    </row>
    <row r="109" spans="1:13" ht="15.75" thickBot="1">
      <c r="A109" s="3169">
        <v>395</v>
      </c>
      <c r="B109" s="3174" t="e">
        <v>#NAME?</v>
      </c>
      <c r="C109" s="3170" t="s">
        <v>4399</v>
      </c>
      <c r="D109" s="3171" t="s">
        <v>4400</v>
      </c>
      <c r="E109" s="3172">
        <v>271.8</v>
      </c>
      <c r="F109" s="3173" t="s">
        <v>3387</v>
      </c>
      <c r="H109" s="3169">
        <v>171</v>
      </c>
      <c r="I109" s="3170" t="s">
        <v>3834</v>
      </c>
      <c r="J109" s="3170" t="s">
        <v>3835</v>
      </c>
      <c r="K109" s="3171" t="s">
        <v>3836</v>
      </c>
      <c r="L109" s="3172">
        <v>47.07</v>
      </c>
      <c r="M109" s="3173" t="s">
        <v>3317</v>
      </c>
    </row>
    <row r="110" spans="1:13" ht="15.75" thickBot="1">
      <c r="A110" s="3169">
        <v>413</v>
      </c>
      <c r="B110" s="3170" t="s">
        <v>4434</v>
      </c>
      <c r="C110" s="3170" t="s">
        <v>4435</v>
      </c>
      <c r="D110" s="3171" t="s">
        <v>4436</v>
      </c>
      <c r="E110" s="3172">
        <v>210.91</v>
      </c>
      <c r="F110" s="3173" t="s">
        <v>3387</v>
      </c>
      <c r="H110" s="3169">
        <v>172</v>
      </c>
      <c r="I110" s="3170" t="s">
        <v>3837</v>
      </c>
      <c r="J110" s="3170" t="s">
        <v>3838</v>
      </c>
      <c r="K110" s="3171" t="s">
        <v>3839</v>
      </c>
      <c r="L110" s="3172">
        <v>48.7</v>
      </c>
      <c r="M110" s="3173" t="s">
        <v>3317</v>
      </c>
    </row>
    <row r="111" spans="1:13" ht="15.75" thickBot="1">
      <c r="A111" s="3169">
        <v>414</v>
      </c>
      <c r="B111" s="3174" t="e">
        <v>#NAME?</v>
      </c>
      <c r="C111" s="3170" t="s">
        <v>4437</v>
      </c>
      <c r="D111" s="3171" t="s">
        <v>4438</v>
      </c>
      <c r="E111" s="3172">
        <v>230.81</v>
      </c>
      <c r="F111" s="3173" t="s">
        <v>3387</v>
      </c>
      <c r="H111" s="3169">
        <v>173</v>
      </c>
      <c r="I111" s="3170" t="s">
        <v>3840</v>
      </c>
      <c r="J111" s="3170" t="s">
        <v>3841</v>
      </c>
      <c r="K111" s="3171" t="s">
        <v>3842</v>
      </c>
      <c r="L111" s="3172">
        <v>23.2</v>
      </c>
      <c r="M111" s="3173" t="s">
        <v>3317</v>
      </c>
    </row>
    <row r="112" spans="1:13" ht="15.75" thickBot="1">
      <c r="A112" s="3169">
        <v>415</v>
      </c>
      <c r="B112" s="3170" t="s">
        <v>4439</v>
      </c>
      <c r="C112" s="3170" t="s">
        <v>4440</v>
      </c>
      <c r="D112" s="3171" t="s">
        <v>4441</v>
      </c>
      <c r="E112" s="3172">
        <v>230.81</v>
      </c>
      <c r="F112" s="3173" t="s">
        <v>3387</v>
      </c>
      <c r="H112" s="3169">
        <v>174</v>
      </c>
      <c r="I112" s="3170" t="s">
        <v>3843</v>
      </c>
      <c r="J112" s="3170" t="s">
        <v>3844</v>
      </c>
      <c r="K112" s="3171" t="s">
        <v>3845</v>
      </c>
      <c r="L112" s="3172">
        <v>23.2</v>
      </c>
      <c r="M112" s="3173" t="s">
        <v>3317</v>
      </c>
    </row>
    <row r="113" spans="1:13" ht="15.75" thickBot="1">
      <c r="A113" s="3169">
        <v>435</v>
      </c>
      <c r="B113" s="3170" t="s">
        <v>4454</v>
      </c>
      <c r="C113" s="3170" t="s">
        <v>4455</v>
      </c>
      <c r="D113" s="3171" t="s">
        <v>4456</v>
      </c>
      <c r="E113" s="3172">
        <v>272.93</v>
      </c>
      <c r="F113" s="3173" t="s">
        <v>3387</v>
      </c>
      <c r="H113" s="3169">
        <v>175</v>
      </c>
      <c r="I113" s="3170" t="s">
        <v>3846</v>
      </c>
      <c r="J113" s="3170" t="s">
        <v>3847</v>
      </c>
      <c r="K113" s="3171" t="s">
        <v>3848</v>
      </c>
      <c r="L113" s="3172">
        <v>48.7</v>
      </c>
      <c r="M113" s="3173" t="s">
        <v>3317</v>
      </c>
    </row>
    <row r="114" spans="1:13" ht="15.75" thickBot="1">
      <c r="A114" s="3169">
        <v>436</v>
      </c>
      <c r="B114" s="3170" t="s">
        <v>4457</v>
      </c>
      <c r="C114" s="3170" t="s">
        <v>4458</v>
      </c>
      <c r="D114" s="3171" t="s">
        <v>4459</v>
      </c>
      <c r="E114" s="3172">
        <v>271.76</v>
      </c>
      <c r="F114" s="3173" t="s">
        <v>3387</v>
      </c>
      <c r="H114" s="3169">
        <v>176</v>
      </c>
      <c r="I114" s="3170" t="s">
        <v>3849</v>
      </c>
      <c r="J114" s="3170" t="s">
        <v>3850</v>
      </c>
      <c r="K114" s="3171" t="s">
        <v>3851</v>
      </c>
      <c r="L114" s="3172">
        <v>47.1</v>
      </c>
      <c r="M114" s="3173" t="s">
        <v>3317</v>
      </c>
    </row>
    <row r="115" spans="1:13" ht="15.75" thickBot="1">
      <c r="A115" s="3169">
        <v>437</v>
      </c>
      <c r="B115" s="3174" t="e">
        <v>#NAME?</v>
      </c>
      <c r="C115" s="3170" t="s">
        <v>4460</v>
      </c>
      <c r="D115" s="3171" t="s">
        <v>4461</v>
      </c>
      <c r="E115" s="3172">
        <v>272.99</v>
      </c>
      <c r="F115" s="3173" t="s">
        <v>3387</v>
      </c>
      <c r="H115" s="3169">
        <v>177</v>
      </c>
      <c r="I115" s="3170" t="s">
        <v>3852</v>
      </c>
      <c r="J115" s="3170" t="s">
        <v>3853</v>
      </c>
      <c r="K115" s="3171" t="s">
        <v>3854</v>
      </c>
      <c r="L115" s="3172">
        <v>27.52</v>
      </c>
      <c r="M115" s="3173" t="s">
        <v>3317</v>
      </c>
    </row>
    <row r="116" spans="1:13" ht="15.75" thickBot="1">
      <c r="A116" s="3169">
        <v>438</v>
      </c>
      <c r="B116" s="3174" t="e">
        <v>#NAME?</v>
      </c>
      <c r="C116" s="3170" t="s">
        <v>4462</v>
      </c>
      <c r="D116" s="3171" t="s">
        <v>4463</v>
      </c>
      <c r="E116" s="3172">
        <v>271.82</v>
      </c>
      <c r="F116" s="3173" t="s">
        <v>3387</v>
      </c>
      <c r="H116" s="3169">
        <v>178</v>
      </c>
      <c r="I116" s="3170" t="s">
        <v>3855</v>
      </c>
      <c r="J116" s="3170" t="s">
        <v>3856</v>
      </c>
      <c r="K116" s="3171" t="s">
        <v>3857</v>
      </c>
      <c r="L116" s="3172">
        <v>16.940000000000001</v>
      </c>
      <c r="M116" s="3173" t="s">
        <v>3317</v>
      </c>
    </row>
    <row r="117" spans="1:13" ht="15.75" thickBot="1">
      <c r="A117" s="3169">
        <v>439</v>
      </c>
      <c r="B117" s="3170" t="s">
        <v>4464</v>
      </c>
      <c r="C117" s="3170" t="s">
        <v>4465</v>
      </c>
      <c r="D117" s="3171" t="s">
        <v>4466</v>
      </c>
      <c r="E117" s="3172">
        <v>272.99</v>
      </c>
      <c r="F117" s="3173" t="s">
        <v>3387</v>
      </c>
      <c r="H117" s="3169">
        <v>179</v>
      </c>
      <c r="I117" s="3170" t="s">
        <v>3858</v>
      </c>
      <c r="J117" s="3170" t="s">
        <v>3859</v>
      </c>
      <c r="K117" s="3171" t="s">
        <v>3860</v>
      </c>
      <c r="L117" s="3172">
        <v>26.38</v>
      </c>
      <c r="M117" s="3173" t="s">
        <v>3317</v>
      </c>
    </row>
    <row r="118" spans="1:13" ht="15.75" thickBot="1">
      <c r="A118" s="3169">
        <v>440</v>
      </c>
      <c r="B118" s="3170" t="s">
        <v>4467</v>
      </c>
      <c r="C118" s="3170" t="s">
        <v>4468</v>
      </c>
      <c r="D118" s="3171" t="s">
        <v>4469</v>
      </c>
      <c r="E118" s="3172">
        <v>271.82</v>
      </c>
      <c r="F118" s="3173" t="s">
        <v>3387</v>
      </c>
      <c r="H118" s="3169">
        <v>180</v>
      </c>
      <c r="I118" s="3170" t="s">
        <v>3861</v>
      </c>
      <c r="J118" s="3170" t="s">
        <v>3862</v>
      </c>
      <c r="K118" s="3171" t="s">
        <v>3863</v>
      </c>
      <c r="L118" s="3172">
        <v>19.690000000000001</v>
      </c>
      <c r="M118" s="3173" t="s">
        <v>3317</v>
      </c>
    </row>
    <row r="119" spans="1:13" ht="15.75" thickBot="1">
      <c r="A119" s="3169">
        <v>444</v>
      </c>
      <c r="B119" s="3174" t="e">
        <v>#NAME?</v>
      </c>
      <c r="C119" s="3170" t="s">
        <v>4470</v>
      </c>
      <c r="D119" s="3171" t="s">
        <v>4471</v>
      </c>
      <c r="E119" s="3172">
        <v>271.82</v>
      </c>
      <c r="F119" s="3173" t="s">
        <v>3387</v>
      </c>
      <c r="H119" s="3169">
        <v>181</v>
      </c>
      <c r="I119" s="3170" t="s">
        <v>3864</v>
      </c>
      <c r="J119" s="3170" t="s">
        <v>3865</v>
      </c>
      <c r="K119" s="3171" t="s">
        <v>3866</v>
      </c>
      <c r="L119" s="3172">
        <v>19.690000000000001</v>
      </c>
      <c r="M119" s="3173" t="s">
        <v>3317</v>
      </c>
    </row>
    <row r="120" spans="1:13" ht="15.75" thickBot="1">
      <c r="A120" s="3169">
        <v>463</v>
      </c>
      <c r="B120" s="3170" t="s">
        <v>4508</v>
      </c>
      <c r="C120" s="3170" t="s">
        <v>4509</v>
      </c>
      <c r="D120" s="3171" t="s">
        <v>4510</v>
      </c>
      <c r="E120" s="3172">
        <v>210.97</v>
      </c>
      <c r="F120" s="3173" t="s">
        <v>3387</v>
      </c>
      <c r="H120" s="3169">
        <v>182</v>
      </c>
      <c r="I120" s="3170" t="s">
        <v>3867</v>
      </c>
      <c r="J120" s="3170" t="s">
        <v>3868</v>
      </c>
      <c r="K120" s="3171" t="s">
        <v>3869</v>
      </c>
      <c r="L120" s="3172">
        <v>16.45</v>
      </c>
      <c r="M120" s="3173" t="s">
        <v>3317</v>
      </c>
    </row>
    <row r="121" spans="1:13" ht="15.75" thickBot="1">
      <c r="A121" s="3169">
        <v>465</v>
      </c>
      <c r="B121" s="3170" t="s">
        <v>4511</v>
      </c>
      <c r="C121" s="3170" t="s">
        <v>4512</v>
      </c>
      <c r="D121" s="3171" t="s">
        <v>4513</v>
      </c>
      <c r="E121" s="3172">
        <v>221.83</v>
      </c>
      <c r="F121" s="3173" t="s">
        <v>3387</v>
      </c>
      <c r="H121" s="3169">
        <v>189</v>
      </c>
      <c r="I121" s="3170" t="s">
        <v>3879</v>
      </c>
      <c r="J121" s="3170" t="s">
        <v>3880</v>
      </c>
      <c r="K121" s="3171" t="s">
        <v>3881</v>
      </c>
      <c r="L121" s="3172">
        <v>23.61</v>
      </c>
      <c r="M121" s="3173" t="s">
        <v>3317</v>
      </c>
    </row>
    <row r="122" spans="1:13" ht="15.75" thickBot="1">
      <c r="A122" s="3169">
        <v>466</v>
      </c>
      <c r="B122" s="3170" t="s">
        <v>4514</v>
      </c>
      <c r="C122" s="3170" t="s">
        <v>4515</v>
      </c>
      <c r="D122" s="3171" t="s">
        <v>4516</v>
      </c>
      <c r="E122" s="3172">
        <v>221.83</v>
      </c>
      <c r="F122" s="3173" t="s">
        <v>3387</v>
      </c>
      <c r="H122" s="3169">
        <v>190</v>
      </c>
      <c r="I122" s="3170" t="s">
        <v>3882</v>
      </c>
      <c r="J122" s="3170" t="s">
        <v>3883</v>
      </c>
      <c r="K122" s="3171" t="s">
        <v>3884</v>
      </c>
      <c r="L122" s="3172">
        <v>56.59</v>
      </c>
      <c r="M122" s="3173" t="s">
        <v>3317</v>
      </c>
    </row>
    <row r="123" spans="1:13" ht="15.75" thickBot="1">
      <c r="A123" s="3169">
        <v>467</v>
      </c>
      <c r="B123" s="3170" t="s">
        <v>4517</v>
      </c>
      <c r="C123" s="3170" t="s">
        <v>4518</v>
      </c>
      <c r="D123" s="3171" t="s">
        <v>4519</v>
      </c>
      <c r="E123" s="3172">
        <v>210.97</v>
      </c>
      <c r="F123" s="3173" t="s">
        <v>3387</v>
      </c>
      <c r="H123" s="3169">
        <v>191</v>
      </c>
      <c r="I123" s="3170" t="s">
        <v>3885</v>
      </c>
      <c r="J123" s="3170" t="s">
        <v>3886</v>
      </c>
      <c r="K123" s="3171" t="s">
        <v>3887</v>
      </c>
      <c r="L123" s="3172">
        <v>41.38</v>
      </c>
      <c r="M123" s="3173" t="s">
        <v>3317</v>
      </c>
    </row>
    <row r="124" spans="1:13" ht="15.75" thickBot="1">
      <c r="A124" s="3169">
        <v>469</v>
      </c>
      <c r="B124" s="3174" t="e">
        <v>#NAME?</v>
      </c>
      <c r="C124" s="3170" t="s">
        <v>4520</v>
      </c>
      <c r="D124" s="3171" t="s">
        <v>4521</v>
      </c>
      <c r="E124" s="3172">
        <v>221.83</v>
      </c>
      <c r="F124" s="3173" t="s">
        <v>3387</v>
      </c>
      <c r="H124" s="3169">
        <v>192</v>
      </c>
      <c r="I124" s="3170" t="s">
        <v>3888</v>
      </c>
      <c r="J124" s="3170" t="s">
        <v>3889</v>
      </c>
      <c r="K124" s="3171" t="s">
        <v>3890</v>
      </c>
      <c r="L124" s="3172">
        <v>41.38</v>
      </c>
      <c r="M124" s="3173" t="s">
        <v>3317</v>
      </c>
    </row>
    <row r="125" spans="1:13" ht="15.75" thickBot="1">
      <c r="A125" s="3169">
        <v>471</v>
      </c>
      <c r="B125" s="3170" t="s">
        <v>4522</v>
      </c>
      <c r="C125" s="3170" t="s">
        <v>4523</v>
      </c>
      <c r="D125" s="3171" t="s">
        <v>4524</v>
      </c>
      <c r="E125" s="3172">
        <v>221.83</v>
      </c>
      <c r="F125" s="3173" t="s">
        <v>3387</v>
      </c>
      <c r="H125" s="3169">
        <v>193</v>
      </c>
      <c r="I125" s="3170" t="s">
        <v>3891</v>
      </c>
      <c r="J125" s="3170" t="s">
        <v>3892</v>
      </c>
      <c r="K125" s="3171" t="s">
        <v>3893</v>
      </c>
      <c r="L125" s="3172">
        <v>56.59</v>
      </c>
      <c r="M125" s="3173" t="s">
        <v>3317</v>
      </c>
    </row>
    <row r="126" spans="1:13" ht="15.75" thickBot="1">
      <c r="A126" s="3169">
        <v>472</v>
      </c>
      <c r="B126" s="3170" t="s">
        <v>4525</v>
      </c>
      <c r="C126" s="3170" t="s">
        <v>4526</v>
      </c>
      <c r="D126" s="3171" t="s">
        <v>4527</v>
      </c>
      <c r="E126" s="3172">
        <v>221.83</v>
      </c>
      <c r="F126" s="3173" t="s">
        <v>3387</v>
      </c>
      <c r="H126" s="3169">
        <v>194</v>
      </c>
      <c r="I126" s="3170" t="s">
        <v>3894</v>
      </c>
      <c r="J126" s="3170" t="s">
        <v>3895</v>
      </c>
      <c r="K126" s="3171" t="s">
        <v>3896</v>
      </c>
      <c r="L126" s="3172">
        <v>23.61</v>
      </c>
      <c r="M126" s="3173" t="s">
        <v>3317</v>
      </c>
    </row>
    <row r="127" spans="1:13" ht="15.75" thickBot="1">
      <c r="A127" s="3169">
        <v>502</v>
      </c>
      <c r="B127" s="3170" t="s">
        <v>4582</v>
      </c>
      <c r="C127" s="3170" t="s">
        <v>4583</v>
      </c>
      <c r="D127" s="3171" t="s">
        <v>4584</v>
      </c>
      <c r="E127" s="3172">
        <v>210.99</v>
      </c>
      <c r="F127" s="3173" t="s">
        <v>3387</v>
      </c>
      <c r="H127" s="3169">
        <v>195</v>
      </c>
      <c r="I127" s="3170" t="s">
        <v>3897</v>
      </c>
      <c r="J127" s="3170" t="s">
        <v>3898</v>
      </c>
      <c r="K127" s="3171" t="s">
        <v>3899</v>
      </c>
      <c r="L127" s="3172">
        <v>41.07</v>
      </c>
      <c r="M127" s="3173" t="s">
        <v>3317</v>
      </c>
    </row>
    <row r="128" spans="1:13" ht="15.75" thickBot="1">
      <c r="A128" s="3169">
        <v>504</v>
      </c>
      <c r="B128" s="3170" t="s">
        <v>4585</v>
      </c>
      <c r="C128" s="3170" t="s">
        <v>4586</v>
      </c>
      <c r="D128" s="3171" t="s">
        <v>4587</v>
      </c>
      <c r="E128" s="3172">
        <v>221.85</v>
      </c>
      <c r="F128" s="3173" t="s">
        <v>3387</v>
      </c>
      <c r="H128" s="3169">
        <v>196</v>
      </c>
      <c r="I128" s="3170" t="s">
        <v>3900</v>
      </c>
      <c r="J128" s="3170" t="s">
        <v>3901</v>
      </c>
      <c r="K128" s="3171" t="s">
        <v>3902</v>
      </c>
      <c r="L128" s="3172">
        <v>56.59</v>
      </c>
      <c r="M128" s="3173" t="s">
        <v>3317</v>
      </c>
    </row>
    <row r="129" spans="1:13" ht="15.75" thickBot="1">
      <c r="A129" s="3169">
        <v>506</v>
      </c>
      <c r="B129" s="3170" t="s">
        <v>4588</v>
      </c>
      <c r="C129" s="3170" t="s">
        <v>4589</v>
      </c>
      <c r="D129" s="3171" t="s">
        <v>4590</v>
      </c>
      <c r="E129" s="3172">
        <v>210.99</v>
      </c>
      <c r="F129" s="3173" t="s">
        <v>3387</v>
      </c>
      <c r="H129" s="3169">
        <v>197</v>
      </c>
      <c r="I129" s="3170" t="s">
        <v>3903</v>
      </c>
      <c r="J129" s="3170" t="s">
        <v>3904</v>
      </c>
      <c r="K129" s="3171" t="s">
        <v>3905</v>
      </c>
      <c r="L129" s="3172">
        <v>23.61</v>
      </c>
      <c r="M129" s="3173" t="s">
        <v>3317</v>
      </c>
    </row>
    <row r="130" spans="1:13" ht="15.75" thickBot="1">
      <c r="A130" s="3169">
        <v>510</v>
      </c>
      <c r="B130" s="3170" t="s">
        <v>4591</v>
      </c>
      <c r="C130" s="3170" t="s">
        <v>4592</v>
      </c>
      <c r="D130" s="3171" t="s">
        <v>4593</v>
      </c>
      <c r="E130" s="3172">
        <v>210.99</v>
      </c>
      <c r="F130" s="3173" t="s">
        <v>3387</v>
      </c>
      <c r="H130" s="3169">
        <v>203</v>
      </c>
      <c r="I130" s="3170" t="s">
        <v>3906</v>
      </c>
      <c r="J130" s="3170" t="s">
        <v>3907</v>
      </c>
      <c r="K130" s="3171" t="s">
        <v>3908</v>
      </c>
      <c r="L130" s="3172">
        <v>27.55</v>
      </c>
      <c r="M130" s="3173" t="s">
        <v>3317</v>
      </c>
    </row>
    <row r="131" spans="1:13" ht="15.75" thickBot="1">
      <c r="A131" s="3169">
        <v>512</v>
      </c>
      <c r="B131" s="3174" t="e">
        <v>#NAME?</v>
      </c>
      <c r="C131" s="3170" t="s">
        <v>4594</v>
      </c>
      <c r="D131" s="3171" t="s">
        <v>4595</v>
      </c>
      <c r="E131" s="3172">
        <v>230.9</v>
      </c>
      <c r="F131" s="3173" t="s">
        <v>3387</v>
      </c>
      <c r="H131" s="3169">
        <v>204</v>
      </c>
      <c r="I131" s="3170" t="s">
        <v>3909</v>
      </c>
      <c r="J131" s="3170" t="s">
        <v>3910</v>
      </c>
      <c r="K131" s="3171" t="s">
        <v>3911</v>
      </c>
      <c r="L131" s="3172">
        <v>19.11</v>
      </c>
      <c r="M131" s="3173" t="s">
        <v>3317</v>
      </c>
    </row>
    <row r="132" spans="1:13" ht="15.75" thickBot="1">
      <c r="A132" s="3169">
        <v>513</v>
      </c>
      <c r="B132" s="3170" t="s">
        <v>4596</v>
      </c>
      <c r="C132" s="3170" t="s">
        <v>4597</v>
      </c>
      <c r="D132" s="3171" t="s">
        <v>4598</v>
      </c>
      <c r="E132" s="3172">
        <v>221.85</v>
      </c>
      <c r="F132" s="3173" t="s">
        <v>3387</v>
      </c>
      <c r="H132" s="3169">
        <v>205</v>
      </c>
      <c r="I132" s="3170" t="s">
        <v>3912</v>
      </c>
      <c r="J132" s="3170" t="s">
        <v>3913</v>
      </c>
      <c r="K132" s="3171" t="s">
        <v>3914</v>
      </c>
      <c r="L132" s="3172">
        <v>27.74</v>
      </c>
      <c r="M132" s="3173" t="s">
        <v>3317</v>
      </c>
    </row>
    <row r="133" spans="1:13" ht="15.75" thickBot="1">
      <c r="A133" s="3169">
        <v>542</v>
      </c>
      <c r="B133" s="3170" t="s">
        <v>4671</v>
      </c>
      <c r="C133" s="3170" t="s">
        <v>4672</v>
      </c>
      <c r="D133" s="3171" t="s">
        <v>4673</v>
      </c>
      <c r="E133" s="3172">
        <v>217.74</v>
      </c>
      <c r="F133" s="3173" t="s">
        <v>3387</v>
      </c>
      <c r="H133" s="3169">
        <v>206</v>
      </c>
      <c r="I133" s="3170" t="s">
        <v>3915</v>
      </c>
      <c r="J133" s="3170" t="s">
        <v>3916</v>
      </c>
      <c r="K133" s="3171" t="s">
        <v>3917</v>
      </c>
      <c r="L133" s="3172">
        <v>27.55</v>
      </c>
      <c r="M133" s="3173" t="s">
        <v>3317</v>
      </c>
    </row>
    <row r="134" spans="1:13" ht="15.75" thickBot="1">
      <c r="A134" s="3169">
        <v>543</v>
      </c>
      <c r="B134" s="3170" t="s">
        <v>4674</v>
      </c>
      <c r="C134" s="3170" t="s">
        <v>4675</v>
      </c>
      <c r="D134" s="3171" t="s">
        <v>4676</v>
      </c>
      <c r="E134" s="3172">
        <v>209.66</v>
      </c>
      <c r="F134" s="3173" t="s">
        <v>3387</v>
      </c>
      <c r="H134" s="3169">
        <v>207</v>
      </c>
      <c r="I134" s="3170" t="s">
        <v>3918</v>
      </c>
      <c r="J134" s="3170" t="s">
        <v>3919</v>
      </c>
      <c r="K134" s="3171" t="s">
        <v>3920</v>
      </c>
      <c r="L134" s="3172">
        <v>19.75</v>
      </c>
      <c r="M134" s="3173" t="s">
        <v>3317</v>
      </c>
    </row>
    <row r="135" spans="1:13" ht="15.75" thickBot="1">
      <c r="A135" s="3169">
        <v>544</v>
      </c>
      <c r="B135" s="3170" t="s">
        <v>4677</v>
      </c>
      <c r="C135" s="3170" t="s">
        <v>4678</v>
      </c>
      <c r="D135" s="3171" t="s">
        <v>4679</v>
      </c>
      <c r="E135" s="3172">
        <v>209.66</v>
      </c>
      <c r="F135" s="3173" t="s">
        <v>3387</v>
      </c>
      <c r="H135" s="3169">
        <v>208</v>
      </c>
      <c r="I135" s="3170" t="s">
        <v>3921</v>
      </c>
      <c r="J135" s="3170" t="s">
        <v>3922</v>
      </c>
      <c r="K135" s="3171" t="s">
        <v>3923</v>
      </c>
      <c r="L135" s="3172">
        <v>16.329999999999998</v>
      </c>
      <c r="M135" s="3173" t="s">
        <v>3317</v>
      </c>
    </row>
    <row r="136" spans="1:13" ht="15.75" thickBot="1">
      <c r="A136" s="3169">
        <v>545</v>
      </c>
      <c r="B136" s="3170" t="s">
        <v>4680</v>
      </c>
      <c r="C136" s="3170" t="s">
        <v>4681</v>
      </c>
      <c r="D136" s="3171" t="s">
        <v>4682</v>
      </c>
      <c r="E136" s="3172">
        <v>209.66</v>
      </c>
      <c r="F136" s="3173" t="s">
        <v>3387</v>
      </c>
      <c r="H136" s="3169">
        <v>209</v>
      </c>
      <c r="I136" s="3170" t="s">
        <v>3924</v>
      </c>
      <c r="J136" s="3170" t="s">
        <v>3925</v>
      </c>
      <c r="K136" s="3171" t="s">
        <v>3926</v>
      </c>
      <c r="L136" s="3172">
        <v>12.38</v>
      </c>
      <c r="M136" s="3173" t="s">
        <v>3317</v>
      </c>
    </row>
    <row r="137" spans="1:13" ht="15.75" thickBot="1">
      <c r="A137" s="3169">
        <v>571</v>
      </c>
      <c r="B137" s="3170" t="s">
        <v>4755</v>
      </c>
      <c r="C137" s="3170" t="s">
        <v>4756</v>
      </c>
      <c r="D137" s="3171" t="s">
        <v>4757</v>
      </c>
      <c r="E137" s="3172">
        <v>217.75</v>
      </c>
      <c r="F137" s="3173" t="s">
        <v>3387</v>
      </c>
      <c r="H137" s="3169">
        <v>210</v>
      </c>
      <c r="I137" s="3170" t="s">
        <v>3927</v>
      </c>
      <c r="J137" s="3170" t="s">
        <v>3928</v>
      </c>
      <c r="K137" s="3171" t="s">
        <v>3929</v>
      </c>
      <c r="L137" s="3172">
        <v>12.38</v>
      </c>
      <c r="M137" s="3173" t="s">
        <v>3317</v>
      </c>
    </row>
    <row r="138" spans="1:13" ht="15.75" thickBot="1">
      <c r="E138">
        <f>SUM(E32:E137)</f>
        <v>22227.640000000014</v>
      </c>
      <c r="H138" s="3169">
        <v>223</v>
      </c>
      <c r="I138" s="3170" t="s">
        <v>3958</v>
      </c>
      <c r="J138" s="3170" t="s">
        <v>3959</v>
      </c>
      <c r="K138" s="3171" t="s">
        <v>3960</v>
      </c>
      <c r="L138" s="3172">
        <v>30.99</v>
      </c>
      <c r="M138" s="3173" t="s">
        <v>3317</v>
      </c>
    </row>
    <row r="139" spans="1:13" ht="15.75" thickBot="1">
      <c r="H139" s="3169">
        <v>224</v>
      </c>
      <c r="I139" s="3170" t="s">
        <v>3961</v>
      </c>
      <c r="J139" s="3170" t="s">
        <v>3962</v>
      </c>
      <c r="K139" s="3171" t="s">
        <v>3963</v>
      </c>
      <c r="L139" s="3172">
        <v>16.059999999999999</v>
      </c>
      <c r="M139" s="3173" t="s">
        <v>3317</v>
      </c>
    </row>
    <row r="140" spans="1:13" ht="15.75" thickBot="1">
      <c r="H140" s="3169">
        <v>225</v>
      </c>
      <c r="I140" s="3170" t="s">
        <v>3964</v>
      </c>
      <c r="J140" s="3170" t="s">
        <v>3965</v>
      </c>
      <c r="K140" s="3171" t="s">
        <v>3966</v>
      </c>
      <c r="L140" s="3172">
        <v>46.49</v>
      </c>
      <c r="M140" s="3173" t="s">
        <v>3317</v>
      </c>
    </row>
    <row r="141" spans="1:13" ht="15.75" thickBot="1">
      <c r="H141" s="3169">
        <v>226</v>
      </c>
      <c r="I141" s="3170" t="s">
        <v>3967</v>
      </c>
      <c r="J141" s="3170" t="s">
        <v>3968</v>
      </c>
      <c r="K141" s="3171" t="s">
        <v>3969</v>
      </c>
      <c r="L141" s="3172">
        <v>53.7</v>
      </c>
      <c r="M141" s="3173" t="s">
        <v>3317</v>
      </c>
    </row>
    <row r="142" spans="1:13" ht="15.75" thickBot="1">
      <c r="H142" s="3169">
        <v>227</v>
      </c>
      <c r="I142" s="3170" t="s">
        <v>3970</v>
      </c>
      <c r="J142" s="3170" t="s">
        <v>3971</v>
      </c>
      <c r="K142" s="3171" t="s">
        <v>3972</v>
      </c>
      <c r="L142" s="3172">
        <v>23.63</v>
      </c>
      <c r="M142" s="3173" t="s">
        <v>3317</v>
      </c>
    </row>
    <row r="143" spans="1:13" ht="15.75" thickBot="1">
      <c r="H143" s="3169">
        <v>229</v>
      </c>
      <c r="I143" s="3170" t="s">
        <v>3973</v>
      </c>
      <c r="J143" s="3170" t="s">
        <v>3974</v>
      </c>
      <c r="K143" s="3171" t="s">
        <v>3975</v>
      </c>
      <c r="L143" s="3172">
        <v>56.67</v>
      </c>
      <c r="M143" s="3173" t="s">
        <v>3317</v>
      </c>
    </row>
    <row r="144" spans="1:13" ht="15.75" thickBot="1">
      <c r="H144" s="3169">
        <v>230</v>
      </c>
      <c r="I144" s="3170" t="s">
        <v>3976</v>
      </c>
      <c r="J144" s="3170" t="s">
        <v>3977</v>
      </c>
      <c r="K144" s="3171" t="s">
        <v>3978</v>
      </c>
      <c r="L144" s="3172">
        <v>41.1</v>
      </c>
      <c r="M144" s="3173" t="s">
        <v>3317</v>
      </c>
    </row>
    <row r="145" spans="8:13" ht="15.75" thickBot="1">
      <c r="H145" s="3169">
        <v>231</v>
      </c>
      <c r="I145" s="3170" t="s">
        <v>3979</v>
      </c>
      <c r="J145" s="3170" t="s">
        <v>3980</v>
      </c>
      <c r="K145" s="3171" t="s">
        <v>3981</v>
      </c>
      <c r="L145" s="3172">
        <v>41.1</v>
      </c>
      <c r="M145" s="3173" t="s">
        <v>3317</v>
      </c>
    </row>
    <row r="146" spans="8:13" ht="15.75" thickBot="1">
      <c r="H146" s="3169">
        <v>232</v>
      </c>
      <c r="I146" s="3170" t="s">
        <v>3982</v>
      </c>
      <c r="J146" s="3170" t="s">
        <v>3983</v>
      </c>
      <c r="K146" s="3171" t="s">
        <v>3984</v>
      </c>
      <c r="L146" s="3172">
        <v>56.67</v>
      </c>
      <c r="M146" s="3173" t="s">
        <v>3317</v>
      </c>
    </row>
    <row r="147" spans="8:13" ht="15.75" thickBot="1">
      <c r="H147" s="3169">
        <v>233</v>
      </c>
      <c r="I147" s="3170" t="s">
        <v>3985</v>
      </c>
      <c r="J147" s="3170" t="s">
        <v>3986</v>
      </c>
      <c r="K147" s="3171" t="s">
        <v>3987</v>
      </c>
      <c r="L147" s="3172">
        <v>23.63</v>
      </c>
      <c r="M147" s="3173" t="s">
        <v>3317</v>
      </c>
    </row>
    <row r="148" spans="8:13" ht="15.75" thickBot="1">
      <c r="H148" s="3169">
        <v>234</v>
      </c>
      <c r="I148" s="3170" t="s">
        <v>3988</v>
      </c>
      <c r="J148" s="3170" t="s">
        <v>3989</v>
      </c>
      <c r="K148" s="3171" t="s">
        <v>3990</v>
      </c>
      <c r="L148" s="3172">
        <v>49.6</v>
      </c>
      <c r="M148" s="3173" t="s">
        <v>3317</v>
      </c>
    </row>
    <row r="149" spans="8:13" ht="15.75" thickBot="1">
      <c r="H149" s="3169">
        <v>235</v>
      </c>
      <c r="I149" s="3170" t="s">
        <v>3991</v>
      </c>
      <c r="J149" s="3170" t="s">
        <v>3992</v>
      </c>
      <c r="K149" s="3171" t="s">
        <v>3993</v>
      </c>
      <c r="L149" s="3172">
        <v>47.97</v>
      </c>
      <c r="M149" s="3173" t="s">
        <v>3317</v>
      </c>
    </row>
    <row r="150" spans="8:13" ht="15.75" thickBot="1">
      <c r="H150" s="3169">
        <v>236</v>
      </c>
      <c r="I150" s="3170" t="s">
        <v>3994</v>
      </c>
      <c r="J150" s="3170" t="s">
        <v>3995</v>
      </c>
      <c r="K150" s="3171" t="s">
        <v>3996</v>
      </c>
      <c r="L150" s="3172">
        <v>22.61</v>
      </c>
      <c r="M150" s="3173" t="s">
        <v>3317</v>
      </c>
    </row>
    <row r="151" spans="8:13" ht="15.75" thickBot="1">
      <c r="H151" s="3169">
        <v>237</v>
      </c>
      <c r="I151" s="3170" t="s">
        <v>3997</v>
      </c>
      <c r="J151" s="3170" t="s">
        <v>3998</v>
      </c>
      <c r="K151" s="3171" t="s">
        <v>3999</v>
      </c>
      <c r="L151" s="3172">
        <v>27.98</v>
      </c>
      <c r="M151" s="3173" t="s">
        <v>3317</v>
      </c>
    </row>
    <row r="152" spans="8:13" ht="15.75" thickBot="1">
      <c r="H152" s="3169">
        <v>238</v>
      </c>
      <c r="I152" s="3170" t="s">
        <v>4000</v>
      </c>
      <c r="J152" s="3170" t="s">
        <v>4001</v>
      </c>
      <c r="K152" s="3171" t="s">
        <v>4002</v>
      </c>
      <c r="L152" s="3172">
        <v>27.57</v>
      </c>
      <c r="M152" s="3173" t="s">
        <v>3317</v>
      </c>
    </row>
    <row r="153" spans="8:13" ht="15.75" thickBot="1">
      <c r="H153" s="3169">
        <v>239</v>
      </c>
      <c r="I153" s="3170" t="s">
        <v>4003</v>
      </c>
      <c r="J153" s="3170" t="s">
        <v>4004</v>
      </c>
      <c r="K153" s="3171" t="s">
        <v>4005</v>
      </c>
      <c r="L153" s="3172">
        <v>19.13</v>
      </c>
      <c r="M153" s="3173" t="s">
        <v>3317</v>
      </c>
    </row>
    <row r="154" spans="8:13" ht="15.75" thickBot="1">
      <c r="H154" s="3169">
        <v>240</v>
      </c>
      <c r="I154" s="3170" t="s">
        <v>4006</v>
      </c>
      <c r="J154" s="3170" t="s">
        <v>4007</v>
      </c>
      <c r="K154" s="3171" t="s">
        <v>4008</v>
      </c>
      <c r="L154" s="3172">
        <v>19.13</v>
      </c>
      <c r="M154" s="3173" t="s">
        <v>3317</v>
      </c>
    </row>
    <row r="155" spans="8:13" ht="15.75" thickBot="1">
      <c r="H155" s="3169">
        <v>241</v>
      </c>
      <c r="I155" s="3170" t="s">
        <v>4009</v>
      </c>
      <c r="J155" s="3170" t="s">
        <v>4010</v>
      </c>
      <c r="K155" s="3171" t="s">
        <v>4011</v>
      </c>
      <c r="L155" s="3172">
        <v>27.57</v>
      </c>
      <c r="M155" s="3173" t="s">
        <v>3317</v>
      </c>
    </row>
    <row r="156" spans="8:13" ht="15.75" thickBot="1">
      <c r="H156" s="3169">
        <v>242</v>
      </c>
      <c r="I156" s="3170" t="s">
        <v>4012</v>
      </c>
      <c r="J156" s="3170" t="s">
        <v>4013</v>
      </c>
      <c r="K156" s="3171" t="s">
        <v>4014</v>
      </c>
      <c r="L156" s="3172">
        <v>18.329999999999998</v>
      </c>
      <c r="M156" s="3173" t="s">
        <v>3317</v>
      </c>
    </row>
    <row r="157" spans="8:13" ht="15.75" thickBot="1">
      <c r="H157" s="3169">
        <v>243</v>
      </c>
      <c r="I157" s="3170" t="s">
        <v>4015</v>
      </c>
      <c r="J157" s="3170" t="s">
        <v>4016</v>
      </c>
      <c r="K157" s="3171" t="s">
        <v>4017</v>
      </c>
      <c r="L157" s="3172">
        <v>16.350000000000001</v>
      </c>
      <c r="M157" s="3173" t="s">
        <v>3317</v>
      </c>
    </row>
    <row r="158" spans="8:13" ht="15.75" thickBot="1">
      <c r="H158" s="3169">
        <v>244</v>
      </c>
      <c r="I158" s="3170" t="s">
        <v>4018</v>
      </c>
      <c r="J158" s="3170" t="s">
        <v>4019</v>
      </c>
      <c r="K158" s="3171" t="s">
        <v>4020</v>
      </c>
      <c r="L158" s="3172">
        <v>17.02</v>
      </c>
      <c r="M158" s="3173" t="s">
        <v>3317</v>
      </c>
    </row>
    <row r="159" spans="8:13" ht="15.75" thickBot="1">
      <c r="H159" s="3169">
        <v>249</v>
      </c>
      <c r="I159" s="3170" t="s">
        <v>4030</v>
      </c>
      <c r="J159" s="3170" t="s">
        <v>4031</v>
      </c>
      <c r="K159" s="3171" t="s">
        <v>4032</v>
      </c>
      <c r="L159" s="3172">
        <v>27.99</v>
      </c>
      <c r="M159" s="3173" t="s">
        <v>3317</v>
      </c>
    </row>
    <row r="160" spans="8:13" ht="15.75" thickBot="1">
      <c r="H160" s="3169">
        <v>250</v>
      </c>
      <c r="I160" s="3170" t="s">
        <v>4033</v>
      </c>
      <c r="J160" s="3170" t="s">
        <v>4034</v>
      </c>
      <c r="K160" s="3171" t="s">
        <v>4035</v>
      </c>
      <c r="L160" s="3172">
        <v>22.8</v>
      </c>
      <c r="M160" s="3173" t="s">
        <v>3317</v>
      </c>
    </row>
    <row r="161" spans="8:13" ht="15.75" thickBot="1">
      <c r="H161" s="3169">
        <v>251</v>
      </c>
      <c r="I161" s="3170" t="s">
        <v>4036</v>
      </c>
      <c r="J161" s="3170" t="s">
        <v>4037</v>
      </c>
      <c r="K161" s="3171" t="s">
        <v>4038</v>
      </c>
      <c r="L161" s="3172">
        <v>48</v>
      </c>
      <c r="M161" s="3173" t="s">
        <v>3317</v>
      </c>
    </row>
    <row r="162" spans="8:13" ht="15.75" thickBot="1">
      <c r="H162" s="3169">
        <v>252</v>
      </c>
      <c r="I162" s="3170" t="s">
        <v>4039</v>
      </c>
      <c r="J162" s="3170" t="s">
        <v>4040</v>
      </c>
      <c r="K162" s="3171" t="s">
        <v>4041</v>
      </c>
      <c r="L162" s="3172">
        <v>49.63</v>
      </c>
      <c r="M162" s="3173" t="s">
        <v>3317</v>
      </c>
    </row>
    <row r="163" spans="8:13" ht="15.75" thickBot="1">
      <c r="H163" s="3169">
        <v>253</v>
      </c>
      <c r="I163" s="3170" t="s">
        <v>4042</v>
      </c>
      <c r="J163" s="3170" t="s">
        <v>4043</v>
      </c>
      <c r="K163" s="3171" t="s">
        <v>4044</v>
      </c>
      <c r="L163" s="3172">
        <v>23.64</v>
      </c>
      <c r="M163" s="3173" t="s">
        <v>3317</v>
      </c>
    </row>
    <row r="164" spans="8:13" ht="15.75" thickBot="1">
      <c r="H164" s="3169">
        <v>254</v>
      </c>
      <c r="I164" s="3170" t="s">
        <v>4045</v>
      </c>
      <c r="J164" s="3170" t="s">
        <v>4046</v>
      </c>
      <c r="K164" s="3171" t="s">
        <v>4047</v>
      </c>
      <c r="L164" s="3172">
        <v>56.69</v>
      </c>
      <c r="M164" s="3173" t="s">
        <v>3317</v>
      </c>
    </row>
    <row r="165" spans="8:13" ht="15.75" thickBot="1">
      <c r="H165" s="3169">
        <v>255</v>
      </c>
      <c r="I165" s="3170" t="s">
        <v>4048</v>
      </c>
      <c r="J165" s="3170" t="s">
        <v>4049</v>
      </c>
      <c r="K165" s="3171" t="s">
        <v>4050</v>
      </c>
      <c r="L165" s="3172">
        <v>41.12</v>
      </c>
      <c r="M165" s="3173" t="s">
        <v>3317</v>
      </c>
    </row>
    <row r="166" spans="8:13" ht="15.75" thickBot="1">
      <c r="H166" s="3169">
        <v>256</v>
      </c>
      <c r="I166" s="3170" t="s">
        <v>4051</v>
      </c>
      <c r="J166" s="3170" t="s">
        <v>4052</v>
      </c>
      <c r="K166" s="3171" t="s">
        <v>4053</v>
      </c>
      <c r="L166" s="3172">
        <v>41.12</v>
      </c>
      <c r="M166" s="3173" t="s">
        <v>3317</v>
      </c>
    </row>
    <row r="167" spans="8:13" ht="15.75" thickBot="1">
      <c r="H167" s="3169">
        <v>257</v>
      </c>
      <c r="I167" s="3170" t="s">
        <v>4054</v>
      </c>
      <c r="J167" s="3170" t="s">
        <v>4055</v>
      </c>
      <c r="K167" s="3171" t="s">
        <v>4056</v>
      </c>
      <c r="L167" s="3172">
        <v>56.69</v>
      </c>
      <c r="M167" s="3173" t="s">
        <v>3317</v>
      </c>
    </row>
    <row r="168" spans="8:13" ht="15.75" thickBot="1">
      <c r="H168" s="3169">
        <v>263</v>
      </c>
      <c r="I168" s="3170" t="s">
        <v>4057</v>
      </c>
      <c r="J168" s="3170" t="s">
        <v>4058</v>
      </c>
      <c r="K168" s="3171" t="s">
        <v>4059</v>
      </c>
      <c r="L168" s="3172">
        <v>19.13</v>
      </c>
      <c r="M168" s="3173" t="s">
        <v>3317</v>
      </c>
    </row>
    <row r="169" spans="8:13" ht="15.75" thickBot="1">
      <c r="H169" s="3169">
        <v>264</v>
      </c>
      <c r="I169" s="3170" t="s">
        <v>4060</v>
      </c>
      <c r="J169" s="3170" t="s">
        <v>4061</v>
      </c>
      <c r="K169" s="3171" t="s">
        <v>4062</v>
      </c>
      <c r="L169" s="3172">
        <v>27.59</v>
      </c>
      <c r="M169" s="3173" t="s">
        <v>3317</v>
      </c>
    </row>
    <row r="170" spans="8:13" ht="15.75" thickBot="1">
      <c r="H170" s="3169">
        <v>265</v>
      </c>
      <c r="I170" s="3170" t="s">
        <v>4063</v>
      </c>
      <c r="J170" s="3170" t="s">
        <v>4064</v>
      </c>
      <c r="K170" s="3171" t="s">
        <v>4065</v>
      </c>
      <c r="L170" s="3172">
        <v>16.350000000000001</v>
      </c>
      <c r="M170" s="3173" t="s">
        <v>3317</v>
      </c>
    </row>
    <row r="171" spans="8:13" ht="15.75" thickBot="1">
      <c r="H171" s="3169">
        <v>266</v>
      </c>
      <c r="I171" s="3170" t="s">
        <v>4066</v>
      </c>
      <c r="J171" s="3170" t="s">
        <v>4067</v>
      </c>
      <c r="K171" s="3171" t="s">
        <v>4068</v>
      </c>
      <c r="L171" s="3172">
        <v>17.78</v>
      </c>
      <c r="M171" s="3173" t="s">
        <v>3317</v>
      </c>
    </row>
    <row r="172" spans="8:13" ht="15.75" thickBot="1">
      <c r="H172" s="3169">
        <v>277</v>
      </c>
      <c r="I172" s="3170" t="s">
        <v>4072</v>
      </c>
      <c r="J172" s="3170" t="s">
        <v>4073</v>
      </c>
      <c r="K172" s="3171" t="s">
        <v>4074</v>
      </c>
      <c r="L172" s="3172">
        <v>41.52</v>
      </c>
      <c r="M172" s="3173" t="s">
        <v>3317</v>
      </c>
    </row>
    <row r="173" spans="8:13" ht="15.75" thickBot="1">
      <c r="H173" s="3169">
        <v>278</v>
      </c>
      <c r="I173" s="3170" t="s">
        <v>4075</v>
      </c>
      <c r="J173" s="3170" t="s">
        <v>4076</v>
      </c>
      <c r="K173" s="3171" t="s">
        <v>4077</v>
      </c>
      <c r="L173" s="3172">
        <v>56.78</v>
      </c>
      <c r="M173" s="3173" t="s">
        <v>3317</v>
      </c>
    </row>
    <row r="174" spans="8:13" ht="15.75" thickBot="1">
      <c r="H174" s="3169">
        <v>279</v>
      </c>
      <c r="I174" s="3170" t="s">
        <v>4078</v>
      </c>
      <c r="J174" s="3170" t="s">
        <v>4079</v>
      </c>
      <c r="K174" s="3171" t="s">
        <v>4080</v>
      </c>
      <c r="L174" s="3172">
        <v>23.7</v>
      </c>
      <c r="M174" s="3173" t="s">
        <v>3317</v>
      </c>
    </row>
    <row r="175" spans="8:13" ht="15.75" thickBot="1">
      <c r="H175" s="3169">
        <v>280</v>
      </c>
      <c r="I175" s="3170" t="s">
        <v>4081</v>
      </c>
      <c r="J175" s="3170" t="s">
        <v>4082</v>
      </c>
      <c r="K175" s="3171" t="s">
        <v>4083</v>
      </c>
      <c r="L175" s="3172">
        <v>27.65</v>
      </c>
      <c r="M175" s="3173" t="s">
        <v>3317</v>
      </c>
    </row>
    <row r="176" spans="8:13" ht="15.75" thickBot="1">
      <c r="H176" s="3169">
        <v>281</v>
      </c>
      <c r="I176" s="3170" t="s">
        <v>4084</v>
      </c>
      <c r="J176" s="3170" t="s">
        <v>4085</v>
      </c>
      <c r="K176" s="3171" t="s">
        <v>4086</v>
      </c>
      <c r="L176" s="3172">
        <v>19.18</v>
      </c>
      <c r="M176" s="3173" t="s">
        <v>3317</v>
      </c>
    </row>
    <row r="177" spans="8:13" ht="15.75" thickBot="1">
      <c r="H177" s="3169">
        <v>282</v>
      </c>
      <c r="I177" s="3170" t="s">
        <v>4087</v>
      </c>
      <c r="J177" s="3170" t="s">
        <v>4088</v>
      </c>
      <c r="K177" s="3171" t="s">
        <v>4089</v>
      </c>
      <c r="L177" s="3172">
        <v>19.18</v>
      </c>
      <c r="M177" s="3173" t="s">
        <v>3317</v>
      </c>
    </row>
    <row r="178" spans="8:13" ht="15.75" thickBot="1">
      <c r="H178" s="3169">
        <v>283</v>
      </c>
      <c r="I178" s="3170" t="s">
        <v>4090</v>
      </c>
      <c r="J178" s="3170" t="s">
        <v>4091</v>
      </c>
      <c r="K178" s="3171" t="s">
        <v>4092</v>
      </c>
      <c r="L178" s="3172">
        <v>27.65</v>
      </c>
      <c r="M178" s="3173" t="s">
        <v>3317</v>
      </c>
    </row>
    <row r="179" spans="8:13" ht="15.75" thickBot="1">
      <c r="H179" s="3169">
        <v>284</v>
      </c>
      <c r="I179" s="3170" t="s">
        <v>4093</v>
      </c>
      <c r="J179" s="3170" t="s">
        <v>4094</v>
      </c>
      <c r="K179" s="3171" t="s">
        <v>4095</v>
      </c>
      <c r="L179" s="3172">
        <v>19.82</v>
      </c>
      <c r="M179" s="3173" t="s">
        <v>3317</v>
      </c>
    </row>
    <row r="180" spans="8:13" ht="15.75" thickBot="1">
      <c r="H180" s="3169">
        <v>285</v>
      </c>
      <c r="I180" s="3170" t="s">
        <v>4096</v>
      </c>
      <c r="J180" s="3170" t="s">
        <v>4097</v>
      </c>
      <c r="K180" s="3171" t="s">
        <v>4098</v>
      </c>
      <c r="L180" s="3172">
        <v>19.82</v>
      </c>
      <c r="M180" s="3173" t="s">
        <v>3317</v>
      </c>
    </row>
    <row r="181" spans="8:13" ht="15.75" thickBot="1">
      <c r="H181" s="3169">
        <v>286</v>
      </c>
      <c r="I181" s="3170" t="s">
        <v>4099</v>
      </c>
      <c r="J181" s="3170" t="s">
        <v>4100</v>
      </c>
      <c r="K181" s="3171" t="s">
        <v>4101</v>
      </c>
      <c r="L181" s="3172">
        <v>27.65</v>
      </c>
      <c r="M181" s="3173" t="s">
        <v>3317</v>
      </c>
    </row>
    <row r="182" spans="8:13" ht="15.75" thickBot="1">
      <c r="H182" s="3169">
        <v>288</v>
      </c>
      <c r="I182" s="3170" t="s">
        <v>4102</v>
      </c>
      <c r="J182" s="3170" t="s">
        <v>4103</v>
      </c>
      <c r="K182" s="3171" t="s">
        <v>4104</v>
      </c>
      <c r="L182" s="3172">
        <v>12.43</v>
      </c>
      <c r="M182" s="3173" t="s">
        <v>3317</v>
      </c>
    </row>
    <row r="183" spans="8:13" ht="15.75" thickBot="1">
      <c r="H183" s="3169">
        <v>309</v>
      </c>
      <c r="I183" s="3170" t="s">
        <v>4154</v>
      </c>
      <c r="J183" s="3170" t="s">
        <v>4155</v>
      </c>
      <c r="K183" s="3171" t="s">
        <v>4156</v>
      </c>
      <c r="L183" s="3172">
        <v>34.11</v>
      </c>
      <c r="M183" s="3173" t="s">
        <v>3317</v>
      </c>
    </row>
    <row r="184" spans="8:13" ht="15.75" thickBot="1">
      <c r="H184" s="3169">
        <v>310</v>
      </c>
      <c r="I184" s="3170" t="s">
        <v>4157</v>
      </c>
      <c r="J184" s="3170" t="s">
        <v>4158</v>
      </c>
      <c r="K184" s="3171" t="s">
        <v>4159</v>
      </c>
      <c r="L184" s="3172">
        <v>62.51</v>
      </c>
      <c r="M184" s="3173" t="s">
        <v>3317</v>
      </c>
    </row>
    <row r="185" spans="8:13" ht="15.75" thickBot="1">
      <c r="H185" s="3169">
        <v>311</v>
      </c>
      <c r="I185" s="3170" t="s">
        <v>4160</v>
      </c>
      <c r="J185" s="3170" t="s">
        <v>4161</v>
      </c>
      <c r="K185" s="3171" t="s">
        <v>4162</v>
      </c>
      <c r="L185" s="3172">
        <v>47.4</v>
      </c>
      <c r="M185" s="3173" t="s">
        <v>3317</v>
      </c>
    </row>
    <row r="186" spans="8:13" ht="15.75" thickBot="1">
      <c r="H186" s="3169">
        <v>312</v>
      </c>
      <c r="I186" s="3170" t="s">
        <v>4163</v>
      </c>
      <c r="J186" s="3170" t="s">
        <v>4164</v>
      </c>
      <c r="K186" s="3171" t="s">
        <v>4165</v>
      </c>
      <c r="L186" s="3172">
        <v>47.4</v>
      </c>
      <c r="M186" s="3173" t="s">
        <v>3317</v>
      </c>
    </row>
    <row r="187" spans="8:13" ht="15.75" thickBot="1">
      <c r="H187" s="3169">
        <v>313</v>
      </c>
      <c r="I187" s="3170" t="s">
        <v>4166</v>
      </c>
      <c r="J187" s="3170" t="s">
        <v>4167</v>
      </c>
      <c r="K187" s="3171" t="s">
        <v>4168</v>
      </c>
      <c r="L187" s="3172">
        <v>62.51</v>
      </c>
      <c r="M187" s="3173" t="s">
        <v>3317</v>
      </c>
    </row>
    <row r="188" spans="8:13" ht="15.75" thickBot="1">
      <c r="H188" s="3169">
        <v>314</v>
      </c>
      <c r="I188" s="3170" t="s">
        <v>4169</v>
      </c>
      <c r="J188" s="3170" t="s">
        <v>4170</v>
      </c>
      <c r="K188" s="3171" t="s">
        <v>4171</v>
      </c>
      <c r="L188" s="3172">
        <v>34.11</v>
      </c>
      <c r="M188" s="3173" t="s">
        <v>3317</v>
      </c>
    </row>
    <row r="189" spans="8:13" ht="15.75" thickBot="1">
      <c r="H189" s="3169">
        <v>315</v>
      </c>
      <c r="I189" s="3170" t="s">
        <v>4172</v>
      </c>
      <c r="J189" s="3170" t="s">
        <v>4173</v>
      </c>
      <c r="K189" s="3171" t="s">
        <v>4174</v>
      </c>
      <c r="L189" s="3172">
        <v>34.11</v>
      </c>
      <c r="M189" s="3173" t="s">
        <v>3317</v>
      </c>
    </row>
    <row r="190" spans="8:13" ht="15.75" thickBot="1">
      <c r="H190" s="3169">
        <v>316</v>
      </c>
      <c r="I190" s="3170" t="s">
        <v>4175</v>
      </c>
      <c r="J190" s="3170" t="s">
        <v>4176</v>
      </c>
      <c r="K190" s="3171" t="s">
        <v>4177</v>
      </c>
      <c r="L190" s="3172">
        <v>62.51</v>
      </c>
      <c r="M190" s="3173" t="s">
        <v>3317</v>
      </c>
    </row>
    <row r="191" spans="8:13" ht="15.75" thickBot="1">
      <c r="H191" s="3169">
        <v>317</v>
      </c>
      <c r="I191" s="3170" t="s">
        <v>4178</v>
      </c>
      <c r="J191" s="3170" t="s">
        <v>4179</v>
      </c>
      <c r="K191" s="3171" t="s">
        <v>4180</v>
      </c>
      <c r="L191" s="3172">
        <v>47.07</v>
      </c>
      <c r="M191" s="3173" t="s">
        <v>3317</v>
      </c>
    </row>
    <row r="192" spans="8:13" ht="15.75" thickBot="1">
      <c r="H192" s="3169">
        <v>318</v>
      </c>
      <c r="I192" s="3170" t="s">
        <v>4181</v>
      </c>
      <c r="J192" s="3170" t="s">
        <v>4182</v>
      </c>
      <c r="K192" s="3171" t="s">
        <v>4183</v>
      </c>
      <c r="L192" s="3172">
        <v>47.07</v>
      </c>
      <c r="M192" s="3173" t="s">
        <v>3317</v>
      </c>
    </row>
    <row r="193" spans="8:13" ht="15.75" thickBot="1">
      <c r="H193" s="3169">
        <v>319</v>
      </c>
      <c r="I193" s="3170" t="s">
        <v>4184</v>
      </c>
      <c r="J193" s="3170" t="s">
        <v>4185</v>
      </c>
      <c r="K193" s="3171" t="s">
        <v>4186</v>
      </c>
      <c r="L193" s="3172">
        <v>62.51</v>
      </c>
      <c r="M193" s="3173" t="s">
        <v>3317</v>
      </c>
    </row>
    <row r="194" spans="8:13" ht="15.75" thickBot="1">
      <c r="H194" s="3169">
        <v>320</v>
      </c>
      <c r="I194" s="3170" t="s">
        <v>4187</v>
      </c>
      <c r="J194" s="3170" t="s">
        <v>4188</v>
      </c>
      <c r="K194" s="3171" t="s">
        <v>4189</v>
      </c>
      <c r="L194" s="3172">
        <v>34.11</v>
      </c>
      <c r="M194" s="3173" t="s">
        <v>3317</v>
      </c>
    </row>
    <row r="195" spans="8:13" ht="15.75" thickBot="1">
      <c r="H195" s="3169">
        <v>321</v>
      </c>
      <c r="I195" s="3170" t="s">
        <v>4190</v>
      </c>
      <c r="J195" s="3170" t="s">
        <v>4191</v>
      </c>
      <c r="K195" s="3171" t="s">
        <v>4192</v>
      </c>
      <c r="L195" s="3172">
        <v>34.11</v>
      </c>
      <c r="M195" s="3173" t="s">
        <v>3317</v>
      </c>
    </row>
    <row r="196" spans="8:13" ht="15.75" thickBot="1">
      <c r="H196" s="3169">
        <v>322</v>
      </c>
      <c r="I196" s="3170" t="s">
        <v>4193</v>
      </c>
      <c r="J196" s="3170" t="s">
        <v>4194</v>
      </c>
      <c r="K196" s="3171" t="s">
        <v>4195</v>
      </c>
      <c r="L196" s="3172">
        <v>62.51</v>
      </c>
      <c r="M196" s="3173" t="s">
        <v>3317</v>
      </c>
    </row>
    <row r="197" spans="8:13" ht="15.75" thickBot="1">
      <c r="H197" s="3169">
        <v>323</v>
      </c>
      <c r="I197" s="3170" t="s">
        <v>4196</v>
      </c>
      <c r="J197" s="3170" t="s">
        <v>4197</v>
      </c>
      <c r="K197" s="3171" t="s">
        <v>4198</v>
      </c>
      <c r="L197" s="3172">
        <v>55.87</v>
      </c>
      <c r="M197" s="3173" t="s">
        <v>3317</v>
      </c>
    </row>
    <row r="198" spans="8:13" ht="15.75" thickBot="1">
      <c r="H198" s="3169">
        <v>324</v>
      </c>
      <c r="I198" s="3170" t="s">
        <v>4199</v>
      </c>
      <c r="J198" s="3170" t="s">
        <v>4200</v>
      </c>
      <c r="K198" s="3171" t="s">
        <v>4201</v>
      </c>
      <c r="L198" s="3172">
        <v>28.64</v>
      </c>
      <c r="M198" s="3173" t="s">
        <v>3317</v>
      </c>
    </row>
    <row r="199" spans="8:13" ht="15.75" thickBot="1">
      <c r="H199" s="3169">
        <v>325</v>
      </c>
      <c r="I199" s="3170" t="s">
        <v>4202</v>
      </c>
      <c r="J199" s="3170" t="s">
        <v>4203</v>
      </c>
      <c r="K199" s="3171" t="s">
        <v>4204</v>
      </c>
      <c r="L199" s="3172">
        <v>22.66</v>
      </c>
      <c r="M199" s="3173" t="s">
        <v>3317</v>
      </c>
    </row>
    <row r="200" spans="8:13" ht="15.75" thickBot="1">
      <c r="H200" s="3169">
        <v>326</v>
      </c>
      <c r="I200" s="3170" t="s">
        <v>4205</v>
      </c>
      <c r="J200" s="3170" t="s">
        <v>4206</v>
      </c>
      <c r="K200" s="3171" t="s">
        <v>4207</v>
      </c>
      <c r="L200" s="3172">
        <v>28.54</v>
      </c>
      <c r="M200" s="3173" t="s">
        <v>3317</v>
      </c>
    </row>
    <row r="201" spans="8:13" ht="15.75" thickBot="1">
      <c r="H201" s="3169">
        <v>327</v>
      </c>
      <c r="I201" s="3170" t="s">
        <v>4208</v>
      </c>
      <c r="J201" s="3170" t="s">
        <v>4209</v>
      </c>
      <c r="K201" s="3171" t="s">
        <v>4210</v>
      </c>
      <c r="L201" s="3172">
        <v>28.54</v>
      </c>
      <c r="M201" s="3173" t="s">
        <v>3317</v>
      </c>
    </row>
    <row r="202" spans="8:13" ht="15.75" thickBot="1">
      <c r="H202" s="3169">
        <v>328</v>
      </c>
      <c r="I202" s="3170" t="s">
        <v>4211</v>
      </c>
      <c r="J202" s="3170" t="s">
        <v>4212</v>
      </c>
      <c r="K202" s="3171" t="s">
        <v>4213</v>
      </c>
      <c r="L202" s="3172">
        <v>43.21</v>
      </c>
      <c r="M202" s="3173" t="s">
        <v>3317</v>
      </c>
    </row>
    <row r="203" spans="8:13" ht="15.75" thickBot="1">
      <c r="H203" s="3169">
        <v>329</v>
      </c>
      <c r="I203" s="3170" t="s">
        <v>4214</v>
      </c>
      <c r="J203" s="3170" t="s">
        <v>4215</v>
      </c>
      <c r="K203" s="3171" t="s">
        <v>4216</v>
      </c>
      <c r="L203" s="3172">
        <v>43.12</v>
      </c>
      <c r="M203" s="3173" t="s">
        <v>3317</v>
      </c>
    </row>
    <row r="204" spans="8:13" ht="15.75" thickBot="1">
      <c r="H204" s="3169">
        <v>330</v>
      </c>
      <c r="I204" s="3170" t="s">
        <v>4217</v>
      </c>
      <c r="J204" s="3170" t="s">
        <v>4218</v>
      </c>
      <c r="K204" s="3171" t="s">
        <v>4219</v>
      </c>
      <c r="L204" s="3172">
        <v>19.97</v>
      </c>
      <c r="M204" s="3173" t="s">
        <v>3317</v>
      </c>
    </row>
    <row r="205" spans="8:13" ht="15.75" thickBot="1">
      <c r="H205" s="3169">
        <v>331</v>
      </c>
      <c r="I205" s="3170" t="s">
        <v>4220</v>
      </c>
      <c r="J205" s="3170" t="s">
        <v>4221</v>
      </c>
      <c r="K205" s="3171" t="s">
        <v>4222</v>
      </c>
      <c r="L205" s="3172">
        <v>19.97</v>
      </c>
      <c r="M205" s="3173" t="s">
        <v>3317</v>
      </c>
    </row>
    <row r="206" spans="8:13" ht="15.75" thickBot="1">
      <c r="H206" s="3169">
        <v>332</v>
      </c>
      <c r="I206" s="3170" t="s">
        <v>4223</v>
      </c>
      <c r="J206" s="3170" t="s">
        <v>4224</v>
      </c>
      <c r="K206" s="3171" t="s">
        <v>4225</v>
      </c>
      <c r="L206" s="3172">
        <v>19.97</v>
      </c>
      <c r="M206" s="3173" t="s">
        <v>3317</v>
      </c>
    </row>
    <row r="207" spans="8:13" ht="15.75" thickBot="1">
      <c r="H207" s="3169">
        <v>333</v>
      </c>
      <c r="I207" s="3170" t="s">
        <v>4226</v>
      </c>
      <c r="J207" s="3170" t="s">
        <v>4227</v>
      </c>
      <c r="K207" s="3171" t="s">
        <v>4228</v>
      </c>
      <c r="L207" s="3172">
        <v>19.97</v>
      </c>
      <c r="M207" s="3173" t="s">
        <v>3317</v>
      </c>
    </row>
    <row r="208" spans="8:13" ht="15.75" thickBot="1">
      <c r="H208" s="3169">
        <v>334</v>
      </c>
      <c r="I208" s="3170" t="s">
        <v>4229</v>
      </c>
      <c r="J208" s="3170" t="s">
        <v>4230</v>
      </c>
      <c r="K208" s="3171" t="s">
        <v>4231</v>
      </c>
      <c r="L208" s="3172">
        <v>19.97</v>
      </c>
      <c r="M208" s="3173" t="s">
        <v>3317</v>
      </c>
    </row>
    <row r="209" spans="8:13" ht="15.75" thickBot="1">
      <c r="H209" s="3169">
        <v>344</v>
      </c>
      <c r="I209" s="3170" t="s">
        <v>4251</v>
      </c>
      <c r="J209" s="3170" t="s">
        <v>4252</v>
      </c>
      <c r="K209" s="3171" t="s">
        <v>4253</v>
      </c>
      <c r="L209" s="3172">
        <v>12.98</v>
      </c>
      <c r="M209" s="3173" t="s">
        <v>3317</v>
      </c>
    </row>
    <row r="210" spans="8:13" ht="15.75" thickBot="1">
      <c r="H210" s="3169">
        <v>345</v>
      </c>
      <c r="I210" s="3170" t="s">
        <v>4254</v>
      </c>
      <c r="J210" s="3170" t="s">
        <v>4255</v>
      </c>
      <c r="K210" s="3171" t="s">
        <v>4256</v>
      </c>
      <c r="L210" s="3172">
        <v>38.93</v>
      </c>
      <c r="M210" s="3173" t="s">
        <v>3317</v>
      </c>
    </row>
    <row r="211" spans="8:13" ht="15.75" thickBot="1">
      <c r="H211" s="3169">
        <v>346</v>
      </c>
      <c r="I211" s="3170" t="s">
        <v>4257</v>
      </c>
      <c r="J211" s="3170" t="s">
        <v>4258</v>
      </c>
      <c r="K211" s="3171" t="s">
        <v>4259</v>
      </c>
      <c r="L211" s="3172">
        <v>47.04</v>
      </c>
      <c r="M211" s="3173" t="s">
        <v>3317</v>
      </c>
    </row>
    <row r="212" spans="8:13" ht="15.75" thickBot="1">
      <c r="H212" s="3169">
        <v>347</v>
      </c>
      <c r="I212" s="3170" t="s">
        <v>4260</v>
      </c>
      <c r="J212" s="3170" t="s">
        <v>4261</v>
      </c>
      <c r="K212" s="3171" t="s">
        <v>4262</v>
      </c>
      <c r="L212" s="3172">
        <v>62.16</v>
      </c>
      <c r="M212" s="3173" t="s">
        <v>3317</v>
      </c>
    </row>
    <row r="213" spans="8:13" ht="15.75" thickBot="1">
      <c r="H213" s="3169">
        <v>348</v>
      </c>
      <c r="I213" s="3170" t="s">
        <v>4263</v>
      </c>
      <c r="J213" s="3170" t="s">
        <v>4264</v>
      </c>
      <c r="K213" s="3171" t="s">
        <v>4265</v>
      </c>
      <c r="L213" s="3172">
        <v>61.2</v>
      </c>
      <c r="M213" s="3173" t="s">
        <v>3317</v>
      </c>
    </row>
    <row r="214" spans="8:13" ht="15.75" thickBot="1">
      <c r="H214" s="3169">
        <v>349</v>
      </c>
      <c r="I214" s="3170" t="s">
        <v>4266</v>
      </c>
      <c r="J214" s="3170" t="s">
        <v>4267</v>
      </c>
      <c r="K214" s="3171" t="s">
        <v>4268</v>
      </c>
      <c r="L214" s="3172">
        <v>61.2</v>
      </c>
      <c r="M214" s="3173" t="s">
        <v>3317</v>
      </c>
    </row>
    <row r="215" spans="8:13" ht="15.75" thickBot="1">
      <c r="H215" s="3169">
        <v>350</v>
      </c>
      <c r="I215" s="3170" t="s">
        <v>4269</v>
      </c>
      <c r="J215" s="3170" t="s">
        <v>4270</v>
      </c>
      <c r="K215" s="3171" t="s">
        <v>4271</v>
      </c>
      <c r="L215" s="3172">
        <v>62.16</v>
      </c>
      <c r="M215" s="3173" t="s">
        <v>3317</v>
      </c>
    </row>
    <row r="216" spans="8:13" ht="15.75" thickBot="1">
      <c r="H216" s="3169">
        <v>351</v>
      </c>
      <c r="I216" s="3170" t="s">
        <v>4272</v>
      </c>
      <c r="J216" s="3170" t="s">
        <v>4273</v>
      </c>
      <c r="K216" s="3171" t="s">
        <v>4274</v>
      </c>
      <c r="L216" s="3172">
        <v>47.04</v>
      </c>
      <c r="M216" s="3173" t="s">
        <v>3317</v>
      </c>
    </row>
    <row r="217" spans="8:13" ht="15.75" thickBot="1">
      <c r="H217" s="3169">
        <v>352</v>
      </c>
      <c r="I217" s="3170" t="s">
        <v>4275</v>
      </c>
      <c r="J217" s="3170" t="s">
        <v>4276</v>
      </c>
      <c r="K217" s="3171" t="s">
        <v>4277</v>
      </c>
      <c r="L217" s="3172">
        <v>42.64</v>
      </c>
      <c r="M217" s="3173" t="s">
        <v>3317</v>
      </c>
    </row>
    <row r="218" spans="8:13" ht="15.75" thickBot="1">
      <c r="H218" s="3169">
        <v>353</v>
      </c>
      <c r="I218" s="3170" t="s">
        <v>4278</v>
      </c>
      <c r="J218" s="3170" t="s">
        <v>4279</v>
      </c>
      <c r="K218" s="3171" t="s">
        <v>4280</v>
      </c>
      <c r="L218" s="3172">
        <v>42.64</v>
      </c>
      <c r="M218" s="3173" t="s">
        <v>3317</v>
      </c>
    </row>
    <row r="219" spans="8:13" ht="15.75" thickBot="1">
      <c r="H219" s="3169">
        <v>354</v>
      </c>
      <c r="I219" s="3170" t="s">
        <v>4281</v>
      </c>
      <c r="J219" s="3170" t="s">
        <v>4282</v>
      </c>
      <c r="K219" s="3171" t="s">
        <v>4283</v>
      </c>
      <c r="L219" s="3172">
        <v>47.04</v>
      </c>
      <c r="M219" s="3173" t="s">
        <v>3317</v>
      </c>
    </row>
    <row r="220" spans="8:13" ht="15.75" thickBot="1">
      <c r="H220" s="3169">
        <v>355</v>
      </c>
      <c r="I220" s="3170" t="s">
        <v>4284</v>
      </c>
      <c r="J220" s="3170" t="s">
        <v>4285</v>
      </c>
      <c r="K220" s="3171" t="s">
        <v>4286</v>
      </c>
      <c r="L220" s="3172">
        <v>62.16</v>
      </c>
      <c r="M220" s="3173" t="s">
        <v>3317</v>
      </c>
    </row>
    <row r="221" spans="8:13" ht="15.75" thickBot="1">
      <c r="H221" s="3169">
        <v>356</v>
      </c>
      <c r="I221" s="3170" t="s">
        <v>4287</v>
      </c>
      <c r="J221" s="3170" t="s">
        <v>4288</v>
      </c>
      <c r="K221" s="3171" t="s">
        <v>4289</v>
      </c>
      <c r="L221" s="3172">
        <v>61.2</v>
      </c>
      <c r="M221" s="3173" t="s">
        <v>3317</v>
      </c>
    </row>
    <row r="222" spans="8:13" ht="15.75" thickBot="1">
      <c r="H222" s="3169">
        <v>357</v>
      </c>
      <c r="I222" s="3170" t="s">
        <v>4290</v>
      </c>
      <c r="J222" s="3170" t="s">
        <v>4291</v>
      </c>
      <c r="K222" s="3171" t="s">
        <v>4292</v>
      </c>
      <c r="L222" s="3172">
        <v>61.2</v>
      </c>
      <c r="M222" s="3173" t="s">
        <v>3317</v>
      </c>
    </row>
    <row r="223" spans="8:13" ht="15.75" thickBot="1">
      <c r="H223" s="3169">
        <v>358</v>
      </c>
      <c r="I223" s="3170" t="s">
        <v>4293</v>
      </c>
      <c r="J223" s="3170" t="s">
        <v>4294</v>
      </c>
      <c r="K223" s="3171" t="s">
        <v>4295</v>
      </c>
      <c r="L223" s="3172">
        <v>62.16</v>
      </c>
      <c r="M223" s="3173" t="s">
        <v>3317</v>
      </c>
    </row>
    <row r="224" spans="8:13" ht="15.75" thickBot="1">
      <c r="H224" s="3169">
        <v>359</v>
      </c>
      <c r="I224" s="3170" t="s">
        <v>4296</v>
      </c>
      <c r="J224" s="3170" t="s">
        <v>4297</v>
      </c>
      <c r="K224" s="3171" t="s">
        <v>4298</v>
      </c>
      <c r="L224" s="3172">
        <v>47.04</v>
      </c>
      <c r="M224" s="3173" t="s">
        <v>3317</v>
      </c>
    </row>
    <row r="225" spans="8:13" ht="15.75" thickBot="1">
      <c r="H225" s="3169">
        <v>360</v>
      </c>
      <c r="I225" s="3170" t="s">
        <v>4299</v>
      </c>
      <c r="J225" s="3170" t="s">
        <v>4300</v>
      </c>
      <c r="K225" s="3171" t="s">
        <v>4301</v>
      </c>
      <c r="L225" s="3172">
        <v>54.27</v>
      </c>
      <c r="M225" s="3173" t="s">
        <v>3317</v>
      </c>
    </row>
    <row r="226" spans="8:13" ht="15.75" thickBot="1">
      <c r="H226" s="3169">
        <v>361</v>
      </c>
      <c r="I226" s="3170" t="s">
        <v>4302</v>
      </c>
      <c r="J226" s="3170" t="s">
        <v>4303</v>
      </c>
      <c r="K226" s="3171" t="s">
        <v>4304</v>
      </c>
      <c r="L226" s="3172">
        <v>15.1</v>
      </c>
      <c r="M226" s="3173" t="s">
        <v>3317</v>
      </c>
    </row>
    <row r="227" spans="8:13" ht="15.75" thickBot="1">
      <c r="H227" s="3169">
        <v>362</v>
      </c>
      <c r="I227" s="3170" t="s">
        <v>4305</v>
      </c>
      <c r="J227" s="3170" t="s">
        <v>4306</v>
      </c>
      <c r="K227" s="3171" t="s">
        <v>4307</v>
      </c>
      <c r="L227" s="3172">
        <v>22.83</v>
      </c>
      <c r="M227" s="3173" t="s">
        <v>3317</v>
      </c>
    </row>
    <row r="228" spans="8:13" ht="15.75" thickBot="1">
      <c r="H228" s="3169">
        <v>363</v>
      </c>
      <c r="I228" s="3170" t="s">
        <v>4308</v>
      </c>
      <c r="J228" s="3170" t="s">
        <v>4309</v>
      </c>
      <c r="K228" s="3171" t="s">
        <v>4310</v>
      </c>
      <c r="L228" s="3172">
        <v>22.83</v>
      </c>
      <c r="M228" s="3173" t="s">
        <v>3317</v>
      </c>
    </row>
    <row r="229" spans="8:13" ht="15.75" thickBot="1">
      <c r="H229" s="3169">
        <v>364</v>
      </c>
      <c r="I229" s="3170" t="s">
        <v>4311</v>
      </c>
      <c r="J229" s="3170" t="s">
        <v>4312</v>
      </c>
      <c r="K229" s="3171" t="s">
        <v>4313</v>
      </c>
      <c r="L229" s="3172">
        <v>23.28</v>
      </c>
      <c r="M229" s="3173" t="s">
        <v>3317</v>
      </c>
    </row>
    <row r="230" spans="8:13" ht="15.75" thickBot="1">
      <c r="H230" s="3169">
        <v>365</v>
      </c>
      <c r="I230" s="3170" t="s">
        <v>4314</v>
      </c>
      <c r="J230" s="3170" t="s">
        <v>4315</v>
      </c>
      <c r="K230" s="3171" t="s">
        <v>4316</v>
      </c>
      <c r="L230" s="3172">
        <v>23.49</v>
      </c>
      <c r="M230" s="3173" t="s">
        <v>3317</v>
      </c>
    </row>
    <row r="231" spans="8:13" ht="15.75" thickBot="1">
      <c r="H231" s="3169">
        <v>370</v>
      </c>
      <c r="I231" s="3170" t="s">
        <v>4328</v>
      </c>
      <c r="J231" s="3170" t="s">
        <v>4329</v>
      </c>
      <c r="K231" s="3171" t="s">
        <v>4330</v>
      </c>
      <c r="L231" s="3172">
        <v>40.770000000000003</v>
      </c>
      <c r="M231" s="3173" t="s">
        <v>3317</v>
      </c>
    </row>
    <row r="232" spans="8:13" ht="15.75" thickBot="1">
      <c r="H232" s="3169">
        <v>371</v>
      </c>
      <c r="I232" s="3170" t="s">
        <v>4331</v>
      </c>
      <c r="J232" s="3170" t="s">
        <v>4332</v>
      </c>
      <c r="K232" s="3171" t="s">
        <v>4333</v>
      </c>
      <c r="L232" s="3172">
        <v>55.75</v>
      </c>
      <c r="M232" s="3173" t="s">
        <v>3317</v>
      </c>
    </row>
    <row r="233" spans="8:13" ht="15.75" thickBot="1">
      <c r="H233" s="3169">
        <v>372</v>
      </c>
      <c r="I233" s="3170" t="s">
        <v>4334</v>
      </c>
      <c r="J233" s="3170" t="s">
        <v>4335</v>
      </c>
      <c r="K233" s="3171" t="s">
        <v>4336</v>
      </c>
      <c r="L233" s="3172">
        <v>23.27</v>
      </c>
      <c r="M233" s="3173" t="s">
        <v>3317</v>
      </c>
    </row>
    <row r="234" spans="8:13" ht="15.75" thickBot="1">
      <c r="H234" s="3169">
        <v>373</v>
      </c>
      <c r="I234" s="3170" t="s">
        <v>4337</v>
      </c>
      <c r="J234" s="3170" t="s">
        <v>4338</v>
      </c>
      <c r="K234" s="3171" t="s">
        <v>4339</v>
      </c>
      <c r="L234" s="3172">
        <v>40.47</v>
      </c>
      <c r="M234" s="3173" t="s">
        <v>3317</v>
      </c>
    </row>
    <row r="235" spans="8:13" ht="15.75" thickBot="1">
      <c r="H235" s="3169">
        <v>374</v>
      </c>
      <c r="I235" s="3170" t="s">
        <v>4340</v>
      </c>
      <c r="J235" s="3170" t="s">
        <v>4341</v>
      </c>
      <c r="K235" s="3171" t="s">
        <v>4342</v>
      </c>
      <c r="L235" s="3172">
        <v>55.75</v>
      </c>
      <c r="M235" s="3173" t="s">
        <v>3317</v>
      </c>
    </row>
    <row r="236" spans="8:13" ht="15.75" thickBot="1">
      <c r="H236" s="3169">
        <v>375</v>
      </c>
      <c r="I236" s="3170" t="s">
        <v>4343</v>
      </c>
      <c r="J236" s="3170" t="s">
        <v>4344</v>
      </c>
      <c r="K236" s="3171" t="s">
        <v>4345</v>
      </c>
      <c r="L236" s="3172">
        <v>23.27</v>
      </c>
      <c r="M236" s="3173" t="s">
        <v>3317</v>
      </c>
    </row>
    <row r="237" spans="8:13" ht="15.75" thickBot="1">
      <c r="H237" s="3169">
        <v>376</v>
      </c>
      <c r="I237" s="3170" t="s">
        <v>4346</v>
      </c>
      <c r="J237" s="3170" t="s">
        <v>4347</v>
      </c>
      <c r="K237" s="3171" t="s">
        <v>4348</v>
      </c>
      <c r="L237" s="3172">
        <v>23.27</v>
      </c>
      <c r="M237" s="3173" t="s">
        <v>3317</v>
      </c>
    </row>
    <row r="238" spans="8:13" ht="15.75" thickBot="1">
      <c r="H238" s="3169">
        <v>377</v>
      </c>
      <c r="I238" s="3170" t="s">
        <v>4349</v>
      </c>
      <c r="J238" s="3170" t="s">
        <v>4350</v>
      </c>
      <c r="K238" s="3171" t="s">
        <v>4351</v>
      </c>
      <c r="L238" s="3172">
        <v>52.87</v>
      </c>
      <c r="M238" s="3173" t="s">
        <v>3317</v>
      </c>
    </row>
    <row r="239" spans="8:13" ht="15.75" thickBot="1">
      <c r="H239" s="3169">
        <v>378</v>
      </c>
      <c r="I239" s="3170" t="s">
        <v>4352</v>
      </c>
      <c r="J239" s="3170" t="s">
        <v>4353</v>
      </c>
      <c r="K239" s="3171" t="s">
        <v>4354</v>
      </c>
      <c r="L239" s="3172">
        <v>45.77</v>
      </c>
      <c r="M239" s="3173" t="s">
        <v>3317</v>
      </c>
    </row>
    <row r="240" spans="8:13" ht="15.75" thickBot="1">
      <c r="H240" s="3169">
        <v>379</v>
      </c>
      <c r="I240" s="3170" t="s">
        <v>4355</v>
      </c>
      <c r="J240" s="3170" t="s">
        <v>4356</v>
      </c>
      <c r="K240" s="3171" t="s">
        <v>4357</v>
      </c>
      <c r="L240" s="3172">
        <v>16.02</v>
      </c>
      <c r="M240" s="3173" t="s">
        <v>3317</v>
      </c>
    </row>
    <row r="241" spans="8:13" ht="15.75" thickBot="1">
      <c r="H241" s="3169">
        <v>380</v>
      </c>
      <c r="I241" s="3170" t="s">
        <v>4358</v>
      </c>
      <c r="J241" s="3170" t="s">
        <v>4359</v>
      </c>
      <c r="K241" s="3171" t="s">
        <v>4360</v>
      </c>
      <c r="L241" s="3172">
        <v>30.51</v>
      </c>
      <c r="M241" s="3173" t="s">
        <v>3317</v>
      </c>
    </row>
    <row r="242" spans="8:13" ht="15.75" thickBot="1">
      <c r="H242" s="3169">
        <v>381</v>
      </c>
      <c r="I242" s="3170" t="s">
        <v>4361</v>
      </c>
      <c r="J242" s="3170" t="s">
        <v>4362</v>
      </c>
      <c r="K242" s="3171" t="s">
        <v>4363</v>
      </c>
      <c r="L242" s="3172">
        <v>15.06</v>
      </c>
      <c r="M242" s="3173" t="s">
        <v>3317</v>
      </c>
    </row>
    <row r="243" spans="8:13" ht="15.75" thickBot="1">
      <c r="H243" s="3169">
        <v>382</v>
      </c>
      <c r="I243" s="3170" t="s">
        <v>4364</v>
      </c>
      <c r="J243" s="3170" t="s">
        <v>4365</v>
      </c>
      <c r="K243" s="3171" t="s">
        <v>4366</v>
      </c>
      <c r="L243" s="3172">
        <v>18.829999999999998</v>
      </c>
      <c r="M243" s="3173" t="s">
        <v>3317</v>
      </c>
    </row>
    <row r="244" spans="8:13" ht="15.75" thickBot="1">
      <c r="H244" s="3169">
        <v>383</v>
      </c>
      <c r="I244" s="3170" t="s">
        <v>4367</v>
      </c>
      <c r="J244" s="3170" t="s">
        <v>4368</v>
      </c>
      <c r="K244" s="3171" t="s">
        <v>4369</v>
      </c>
      <c r="L244" s="3172">
        <v>15.06</v>
      </c>
      <c r="M244" s="3173" t="s">
        <v>3317</v>
      </c>
    </row>
    <row r="245" spans="8:13" ht="15.75" thickBot="1">
      <c r="H245" s="3169">
        <v>384</v>
      </c>
      <c r="I245" s="3170" t="s">
        <v>4370</v>
      </c>
      <c r="J245" s="3170" t="s">
        <v>4371</v>
      </c>
      <c r="K245" s="3171" t="s">
        <v>4372</v>
      </c>
      <c r="L245" s="3172">
        <v>27.15</v>
      </c>
      <c r="M245" s="3173" t="s">
        <v>3317</v>
      </c>
    </row>
    <row r="246" spans="8:13" ht="15.75" thickBot="1">
      <c r="H246" s="3169">
        <v>385</v>
      </c>
      <c r="I246" s="3170" t="s">
        <v>4373</v>
      </c>
      <c r="J246" s="3170" t="s">
        <v>4374</v>
      </c>
      <c r="K246" s="3171" t="s">
        <v>4375</v>
      </c>
      <c r="L246" s="3172">
        <v>19.46</v>
      </c>
      <c r="M246" s="3173" t="s">
        <v>3317</v>
      </c>
    </row>
    <row r="247" spans="8:13" ht="15.75" thickBot="1">
      <c r="H247" s="3169">
        <v>386</v>
      </c>
      <c r="I247" s="3170" t="s">
        <v>4376</v>
      </c>
      <c r="J247" s="3170" t="s">
        <v>4377</v>
      </c>
      <c r="K247" s="3171" t="s">
        <v>4378</v>
      </c>
      <c r="L247" s="3172">
        <v>15.06</v>
      </c>
      <c r="M247" s="3173" t="s">
        <v>3317</v>
      </c>
    </row>
    <row r="248" spans="8:13" ht="15.75" thickBot="1">
      <c r="H248" s="3169">
        <v>387</v>
      </c>
      <c r="I248" s="3170" t="s">
        <v>4379</v>
      </c>
      <c r="J248" s="3170" t="s">
        <v>4380</v>
      </c>
      <c r="K248" s="3171" t="s">
        <v>4381</v>
      </c>
      <c r="L248" s="3172">
        <v>16.489999999999998</v>
      </c>
      <c r="M248" s="3173" t="s">
        <v>3317</v>
      </c>
    </row>
    <row r="249" spans="8:13" ht="15.75" thickBot="1">
      <c r="H249" s="3169">
        <v>388</v>
      </c>
      <c r="I249" s="3170" t="s">
        <v>4382</v>
      </c>
      <c r="J249" s="3170" t="s">
        <v>4383</v>
      </c>
      <c r="K249" s="3171" t="s">
        <v>4384</v>
      </c>
      <c r="L249" s="3172">
        <v>17.079999999999998</v>
      </c>
      <c r="M249" s="3173" t="s">
        <v>3317</v>
      </c>
    </row>
    <row r="250" spans="8:13" ht="15.75" thickBot="1">
      <c r="H250" s="3169">
        <v>389</v>
      </c>
      <c r="I250" s="3170" t="s">
        <v>4385</v>
      </c>
      <c r="J250" s="3170" t="s">
        <v>4386</v>
      </c>
      <c r="K250" s="3171" t="s">
        <v>4387</v>
      </c>
      <c r="L250" s="3172">
        <v>19.05</v>
      </c>
      <c r="M250" s="3173" t="s">
        <v>3317</v>
      </c>
    </row>
    <row r="251" spans="8:13" ht="15.75" thickBot="1">
      <c r="H251" s="3169">
        <v>390</v>
      </c>
      <c r="I251" s="3170" t="s">
        <v>4388</v>
      </c>
      <c r="J251" s="3170" t="s">
        <v>4389</v>
      </c>
      <c r="K251" s="3171" t="s">
        <v>4390</v>
      </c>
      <c r="L251" s="3172">
        <v>16.489999999999998</v>
      </c>
      <c r="M251" s="3173" t="s">
        <v>3317</v>
      </c>
    </row>
    <row r="252" spans="8:13" ht="15.75" thickBot="1">
      <c r="H252" s="3169">
        <v>400</v>
      </c>
      <c r="I252" s="3170" t="s">
        <v>4401</v>
      </c>
      <c r="J252" s="3170" t="s">
        <v>4402</v>
      </c>
      <c r="K252" s="3171" t="s">
        <v>4403</v>
      </c>
      <c r="L252" s="3172">
        <v>61.41</v>
      </c>
      <c r="M252" s="3173" t="s">
        <v>3317</v>
      </c>
    </row>
    <row r="253" spans="8:13" ht="15.75" thickBot="1">
      <c r="H253" s="3169">
        <v>401</v>
      </c>
      <c r="I253" s="3170" t="s">
        <v>4404</v>
      </c>
      <c r="J253" s="3170" t="s">
        <v>4405</v>
      </c>
      <c r="K253" s="3171" t="s">
        <v>4406</v>
      </c>
      <c r="L253" s="3172">
        <v>62.37</v>
      </c>
      <c r="M253" s="3173" t="s">
        <v>3317</v>
      </c>
    </row>
    <row r="254" spans="8:13" ht="15.75" thickBot="1">
      <c r="H254" s="3169">
        <v>402</v>
      </c>
      <c r="I254" s="3170" t="s">
        <v>4407</v>
      </c>
      <c r="J254" s="3170" t="s">
        <v>4408</v>
      </c>
      <c r="K254" s="3171" t="s">
        <v>4409</v>
      </c>
      <c r="L254" s="3172">
        <v>47.2</v>
      </c>
      <c r="M254" s="3173" t="s">
        <v>3317</v>
      </c>
    </row>
    <row r="255" spans="8:13" ht="15.75" thickBot="1">
      <c r="H255" s="3169">
        <v>403</v>
      </c>
      <c r="I255" s="3170" t="s">
        <v>4410</v>
      </c>
      <c r="J255" s="3170" t="s">
        <v>4411</v>
      </c>
      <c r="K255" s="3171" t="s">
        <v>4412</v>
      </c>
      <c r="L255" s="3172">
        <v>42.79</v>
      </c>
      <c r="M255" s="3173" t="s">
        <v>3317</v>
      </c>
    </row>
    <row r="256" spans="8:13" ht="15.75" thickBot="1">
      <c r="H256" s="3169">
        <v>404</v>
      </c>
      <c r="I256" s="3170" t="s">
        <v>4413</v>
      </c>
      <c r="J256" s="3170" t="s">
        <v>4414</v>
      </c>
      <c r="K256" s="3171" t="s">
        <v>4415</v>
      </c>
      <c r="L256" s="3172">
        <v>42.79</v>
      </c>
      <c r="M256" s="3173" t="s">
        <v>3317</v>
      </c>
    </row>
    <row r="257" spans="8:13" ht="15.75" thickBot="1">
      <c r="H257" s="3169">
        <v>405</v>
      </c>
      <c r="I257" s="3170" t="s">
        <v>4416</v>
      </c>
      <c r="J257" s="3170" t="s">
        <v>4417</v>
      </c>
      <c r="K257" s="3171" t="s">
        <v>4418</v>
      </c>
      <c r="L257" s="3172">
        <v>47.2</v>
      </c>
      <c r="M257" s="3173" t="s">
        <v>3317</v>
      </c>
    </row>
    <row r="258" spans="8:13" ht="15.75" thickBot="1">
      <c r="H258" s="3169">
        <v>406</v>
      </c>
      <c r="I258" s="3170" t="s">
        <v>4419</v>
      </c>
      <c r="J258" s="3170" t="s">
        <v>4420</v>
      </c>
      <c r="K258" s="3171" t="s">
        <v>4421</v>
      </c>
      <c r="L258" s="3172">
        <v>62.37</v>
      </c>
      <c r="M258" s="3173" t="s">
        <v>3317</v>
      </c>
    </row>
    <row r="259" spans="8:13" ht="15.75" thickBot="1">
      <c r="H259" s="3169">
        <v>407</v>
      </c>
      <c r="I259" s="3170" t="s">
        <v>4422</v>
      </c>
      <c r="J259" s="3170" t="s">
        <v>4423</v>
      </c>
      <c r="K259" s="3171" t="s">
        <v>4424</v>
      </c>
      <c r="L259" s="3172">
        <v>61.41</v>
      </c>
      <c r="M259" s="3173" t="s">
        <v>3317</v>
      </c>
    </row>
    <row r="260" spans="8:13" ht="15.75" thickBot="1">
      <c r="H260" s="3169">
        <v>408</v>
      </c>
      <c r="I260" s="3170" t="s">
        <v>4425</v>
      </c>
      <c r="J260" s="3170" t="s">
        <v>4426</v>
      </c>
      <c r="K260" s="3171" t="s">
        <v>4427</v>
      </c>
      <c r="L260" s="3172">
        <v>14.88</v>
      </c>
      <c r="M260" s="3173" t="s">
        <v>3317</v>
      </c>
    </row>
    <row r="261" spans="8:13" ht="15.75" thickBot="1">
      <c r="H261" s="3169">
        <v>410</v>
      </c>
      <c r="I261" s="3170" t="s">
        <v>4428</v>
      </c>
      <c r="J261" s="3170" t="s">
        <v>4429</v>
      </c>
      <c r="K261" s="3171" t="s">
        <v>4430</v>
      </c>
      <c r="L261" s="3172">
        <v>22.9</v>
      </c>
      <c r="M261" s="3173" t="s">
        <v>3317</v>
      </c>
    </row>
    <row r="262" spans="8:13" ht="15.75" thickBot="1">
      <c r="H262" s="3169">
        <v>411</v>
      </c>
      <c r="I262" s="3170" t="s">
        <v>4431</v>
      </c>
      <c r="J262" s="3170" t="s">
        <v>4432</v>
      </c>
      <c r="K262" s="3171" t="s">
        <v>4433</v>
      </c>
      <c r="L262" s="3172">
        <v>22.9</v>
      </c>
      <c r="M262" s="3173" t="s">
        <v>3317</v>
      </c>
    </row>
    <row r="263" spans="8:13" ht="15.75" thickBot="1">
      <c r="H263" s="3169">
        <v>419</v>
      </c>
      <c r="I263" s="3170" t="s">
        <v>4442</v>
      </c>
      <c r="J263" s="3170" t="s">
        <v>4443</v>
      </c>
      <c r="K263" s="3171" t="s">
        <v>4444</v>
      </c>
      <c r="L263" s="3172">
        <v>47.66</v>
      </c>
      <c r="M263" s="3173" t="s">
        <v>3317</v>
      </c>
    </row>
    <row r="264" spans="8:13" ht="15.75" thickBot="1">
      <c r="H264" s="3169">
        <v>420</v>
      </c>
      <c r="I264" s="3170" t="s">
        <v>4445</v>
      </c>
      <c r="J264" s="3170" t="s">
        <v>4446</v>
      </c>
      <c r="K264" s="3171" t="s">
        <v>4447</v>
      </c>
      <c r="L264" s="3172">
        <v>63.3</v>
      </c>
      <c r="M264" s="3173" t="s">
        <v>3317</v>
      </c>
    </row>
    <row r="265" spans="8:13" ht="15.75" thickBot="1">
      <c r="H265" s="3169">
        <v>421</v>
      </c>
      <c r="I265" s="3170" t="s">
        <v>4448</v>
      </c>
      <c r="J265" s="3170" t="s">
        <v>4449</v>
      </c>
      <c r="K265" s="3171" t="s">
        <v>4450</v>
      </c>
      <c r="L265" s="3172">
        <v>34.54</v>
      </c>
      <c r="M265" s="3173" t="s">
        <v>3317</v>
      </c>
    </row>
    <row r="266" spans="8:13" ht="15.75" thickBot="1">
      <c r="H266" s="3169">
        <v>428</v>
      </c>
      <c r="I266" s="3170" t="s">
        <v>4451</v>
      </c>
      <c r="J266" s="3170" t="s">
        <v>4452</v>
      </c>
      <c r="K266" s="3171" t="s">
        <v>4453</v>
      </c>
      <c r="L266" s="3172">
        <v>17.670000000000002</v>
      </c>
      <c r="M266" s="3173" t="s">
        <v>3317</v>
      </c>
    </row>
    <row r="267" spans="8:13" ht="15.75" thickBot="1">
      <c r="H267" s="3169">
        <v>445</v>
      </c>
      <c r="I267" s="3170" t="s">
        <v>4472</v>
      </c>
      <c r="J267" s="3170" t="s">
        <v>4473</v>
      </c>
      <c r="K267" s="3171" t="s">
        <v>4474</v>
      </c>
      <c r="L267" s="3172">
        <v>15.2</v>
      </c>
      <c r="M267" s="3173" t="s">
        <v>3317</v>
      </c>
    </row>
    <row r="268" spans="8:13" ht="15.75" thickBot="1">
      <c r="H268" s="3169">
        <v>446</v>
      </c>
      <c r="I268" s="3170" t="s">
        <v>4475</v>
      </c>
      <c r="J268" s="3170" t="s">
        <v>4476</v>
      </c>
      <c r="K268" s="3171" t="s">
        <v>4477</v>
      </c>
      <c r="L268" s="3172">
        <v>54.63</v>
      </c>
      <c r="M268" s="3173" t="s">
        <v>3317</v>
      </c>
    </row>
    <row r="269" spans="8:13" ht="15.75" thickBot="1">
      <c r="H269" s="3169">
        <v>447</v>
      </c>
      <c r="I269" s="3170" t="s">
        <v>4478</v>
      </c>
      <c r="J269" s="3170" t="s">
        <v>4479</v>
      </c>
      <c r="K269" s="3171" t="s">
        <v>4480</v>
      </c>
      <c r="L269" s="3172">
        <v>47.35</v>
      </c>
      <c r="M269" s="3173" t="s">
        <v>3317</v>
      </c>
    </row>
    <row r="270" spans="8:13" ht="15.75" thickBot="1">
      <c r="H270" s="3169">
        <v>448</v>
      </c>
      <c r="I270" s="3170" t="s">
        <v>4481</v>
      </c>
      <c r="J270" s="3170" t="s">
        <v>4482</v>
      </c>
      <c r="K270" s="3171" t="s">
        <v>4483</v>
      </c>
      <c r="L270" s="3172">
        <v>62.58</v>
      </c>
      <c r="M270" s="3173" t="s">
        <v>3317</v>
      </c>
    </row>
    <row r="271" spans="8:13" ht="15.75" thickBot="1">
      <c r="H271" s="3169">
        <v>449</v>
      </c>
      <c r="I271" s="3170" t="s">
        <v>4484</v>
      </c>
      <c r="J271" s="3170" t="s">
        <v>4485</v>
      </c>
      <c r="K271" s="3171" t="s">
        <v>4486</v>
      </c>
      <c r="L271" s="3172">
        <v>61.62</v>
      </c>
      <c r="M271" s="3173" t="s">
        <v>3317</v>
      </c>
    </row>
    <row r="272" spans="8:13" ht="15.75" thickBot="1">
      <c r="H272" s="3169">
        <v>450</v>
      </c>
      <c r="I272" s="3170" t="s">
        <v>4487</v>
      </c>
      <c r="J272" s="3170" t="s">
        <v>4488</v>
      </c>
      <c r="K272" s="3171" t="s">
        <v>4489</v>
      </c>
      <c r="L272" s="3172">
        <v>61.62</v>
      </c>
      <c r="M272" s="3173" t="s">
        <v>3317</v>
      </c>
    </row>
    <row r="273" spans="8:13" ht="15.75" thickBot="1">
      <c r="H273" s="3169">
        <v>451</v>
      </c>
      <c r="I273" s="3170" t="s">
        <v>4490</v>
      </c>
      <c r="J273" s="3170" t="s">
        <v>4491</v>
      </c>
      <c r="K273" s="3171" t="s">
        <v>4492</v>
      </c>
      <c r="L273" s="3172">
        <v>62.58</v>
      </c>
      <c r="M273" s="3173" t="s">
        <v>3317</v>
      </c>
    </row>
    <row r="274" spans="8:13" ht="15.75" thickBot="1">
      <c r="H274" s="3169">
        <v>452</v>
      </c>
      <c r="I274" s="3170" t="s">
        <v>4493</v>
      </c>
      <c r="J274" s="3170" t="s">
        <v>4494</v>
      </c>
      <c r="K274" s="3171" t="s">
        <v>4495</v>
      </c>
      <c r="L274" s="3172">
        <v>47.35</v>
      </c>
      <c r="M274" s="3173" t="s">
        <v>3317</v>
      </c>
    </row>
    <row r="275" spans="8:13" ht="15.75" thickBot="1">
      <c r="H275" s="3169">
        <v>453</v>
      </c>
      <c r="I275" s="3170" t="s">
        <v>4496</v>
      </c>
      <c r="J275" s="3170" t="s">
        <v>4497</v>
      </c>
      <c r="K275" s="3171" t="s">
        <v>4498</v>
      </c>
      <c r="L275" s="3172">
        <v>42.93</v>
      </c>
      <c r="M275" s="3173" t="s">
        <v>3317</v>
      </c>
    </row>
    <row r="276" spans="8:13" ht="15.75" thickBot="1">
      <c r="H276" s="3169">
        <v>459</v>
      </c>
      <c r="I276" s="3170" t="s">
        <v>4499</v>
      </c>
      <c r="J276" s="3170" t="s">
        <v>4500</v>
      </c>
      <c r="K276" s="3171" t="s">
        <v>4501</v>
      </c>
      <c r="L276" s="3172">
        <v>14.93</v>
      </c>
      <c r="M276" s="3173" t="s">
        <v>3317</v>
      </c>
    </row>
    <row r="277" spans="8:13" ht="15.75" thickBot="1">
      <c r="H277" s="3169">
        <v>460</v>
      </c>
      <c r="I277" s="3170" t="s">
        <v>4502</v>
      </c>
      <c r="J277" s="3170" t="s">
        <v>4503</v>
      </c>
      <c r="K277" s="3171" t="s">
        <v>4504</v>
      </c>
      <c r="L277" s="3172">
        <v>22.98</v>
      </c>
      <c r="M277" s="3173" t="s">
        <v>3317</v>
      </c>
    </row>
    <row r="278" spans="8:13" ht="15.75" thickBot="1">
      <c r="H278" s="3169">
        <v>461</v>
      </c>
      <c r="I278" s="3170" t="s">
        <v>4505</v>
      </c>
      <c r="J278" s="3170" t="s">
        <v>4506</v>
      </c>
      <c r="K278" s="3171" t="s">
        <v>4507</v>
      </c>
      <c r="L278" s="3172">
        <v>22.98</v>
      </c>
      <c r="M278" s="3173" t="s">
        <v>3317</v>
      </c>
    </row>
    <row r="279" spans="8:13" ht="15.75" thickBot="1">
      <c r="H279" s="3169">
        <v>475</v>
      </c>
      <c r="I279" s="3170" t="s">
        <v>4528</v>
      </c>
      <c r="J279" s="3170" t="s">
        <v>4529</v>
      </c>
      <c r="K279" s="3171" t="s">
        <v>4530</v>
      </c>
      <c r="L279" s="3172">
        <v>33.51</v>
      </c>
      <c r="M279" s="3173" t="s">
        <v>3317</v>
      </c>
    </row>
    <row r="280" spans="8:13" ht="15.75" thickBot="1">
      <c r="H280" s="3169">
        <v>476</v>
      </c>
      <c r="I280" s="3170" t="s">
        <v>4531</v>
      </c>
      <c r="J280" s="3170" t="s">
        <v>4532</v>
      </c>
      <c r="K280" s="3171" t="s">
        <v>4533</v>
      </c>
      <c r="L280" s="3172">
        <v>61.41</v>
      </c>
      <c r="M280" s="3173" t="s">
        <v>3317</v>
      </c>
    </row>
    <row r="281" spans="8:13" ht="15.75" thickBot="1">
      <c r="H281" s="3169">
        <v>477</v>
      </c>
      <c r="I281" s="3170" t="s">
        <v>4534</v>
      </c>
      <c r="J281" s="3170" t="s">
        <v>4535</v>
      </c>
      <c r="K281" s="3171" t="s">
        <v>4536</v>
      </c>
      <c r="L281" s="3172">
        <v>46.57</v>
      </c>
      <c r="M281" s="3173" t="s">
        <v>3317</v>
      </c>
    </row>
    <row r="282" spans="8:13" ht="15.75" thickBot="1">
      <c r="H282" s="3169">
        <v>478</v>
      </c>
      <c r="I282" s="3170" t="s">
        <v>4537</v>
      </c>
      <c r="J282" s="3170" t="s">
        <v>4538</v>
      </c>
      <c r="K282" s="3171" t="s">
        <v>4539</v>
      </c>
      <c r="L282" s="3172">
        <v>46.57</v>
      </c>
      <c r="M282" s="3173" t="s">
        <v>3317</v>
      </c>
    </row>
    <row r="283" spans="8:13" ht="15.75" thickBot="1">
      <c r="H283" s="3169">
        <v>479</v>
      </c>
      <c r="I283" s="3170" t="s">
        <v>4540</v>
      </c>
      <c r="J283" s="3170" t="s">
        <v>4541</v>
      </c>
      <c r="K283" s="3171" t="s">
        <v>4542</v>
      </c>
      <c r="L283" s="3172">
        <v>61.41</v>
      </c>
      <c r="M283" s="3173" t="s">
        <v>3317</v>
      </c>
    </row>
    <row r="284" spans="8:13" ht="15.75" thickBot="1">
      <c r="H284" s="3169">
        <v>480</v>
      </c>
      <c r="I284" s="3170" t="s">
        <v>4543</v>
      </c>
      <c r="J284" s="3170" t="s">
        <v>4544</v>
      </c>
      <c r="K284" s="3171" t="s">
        <v>4545</v>
      </c>
      <c r="L284" s="3172">
        <v>33.51</v>
      </c>
      <c r="M284" s="3173" t="s">
        <v>3317</v>
      </c>
    </row>
    <row r="285" spans="8:13" ht="15.75" thickBot="1">
      <c r="H285" s="3169">
        <v>487</v>
      </c>
      <c r="I285" s="3170" t="s">
        <v>4546</v>
      </c>
      <c r="J285" s="3170" t="s">
        <v>4547</v>
      </c>
      <c r="K285" s="3171" t="s">
        <v>4548</v>
      </c>
      <c r="L285" s="3172">
        <v>28.04</v>
      </c>
      <c r="M285" s="3173" t="s">
        <v>3317</v>
      </c>
    </row>
    <row r="286" spans="8:13" ht="15.75" thickBot="1">
      <c r="H286" s="3169">
        <v>489</v>
      </c>
      <c r="I286" s="3170" t="s">
        <v>4549</v>
      </c>
      <c r="J286" s="3170" t="s">
        <v>4550</v>
      </c>
      <c r="K286" s="3171" t="s">
        <v>4551</v>
      </c>
      <c r="L286" s="3172">
        <v>42.46</v>
      </c>
      <c r="M286" s="3173" t="s">
        <v>3317</v>
      </c>
    </row>
    <row r="287" spans="8:13" ht="15.75" thickBot="1">
      <c r="H287" s="3169">
        <v>490</v>
      </c>
      <c r="I287" s="3170" t="s">
        <v>4552</v>
      </c>
      <c r="J287" s="3170" t="s">
        <v>4553</v>
      </c>
      <c r="K287" s="3171" t="s">
        <v>4554</v>
      </c>
      <c r="L287" s="3172">
        <v>31.78</v>
      </c>
      <c r="M287" s="3173" t="s">
        <v>3317</v>
      </c>
    </row>
    <row r="288" spans="8:13" ht="15.75" thickBot="1">
      <c r="H288" s="3169">
        <v>491</v>
      </c>
      <c r="I288" s="3170" t="s">
        <v>4555</v>
      </c>
      <c r="J288" s="3170" t="s">
        <v>4556</v>
      </c>
      <c r="K288" s="3171" t="s">
        <v>4557</v>
      </c>
      <c r="L288" s="3172">
        <v>30.25</v>
      </c>
      <c r="M288" s="3173" t="s">
        <v>3317</v>
      </c>
    </row>
    <row r="289" spans="8:13" ht="15.75" thickBot="1">
      <c r="H289" s="3169">
        <v>492</v>
      </c>
      <c r="I289" s="3170" t="s">
        <v>4558</v>
      </c>
      <c r="J289" s="3170" t="s">
        <v>4559</v>
      </c>
      <c r="K289" s="3171" t="s">
        <v>4560</v>
      </c>
      <c r="L289" s="3172">
        <v>24.05</v>
      </c>
      <c r="M289" s="3173" t="s">
        <v>3317</v>
      </c>
    </row>
    <row r="290" spans="8:13" ht="15.75" thickBot="1">
      <c r="H290" s="3169">
        <v>493</v>
      </c>
      <c r="I290" s="3170" t="s">
        <v>4561</v>
      </c>
      <c r="J290" s="3170" t="s">
        <v>4562</v>
      </c>
      <c r="K290" s="3171" t="s">
        <v>4563</v>
      </c>
      <c r="L290" s="3172">
        <v>24.05</v>
      </c>
      <c r="M290" s="3173" t="s">
        <v>3317</v>
      </c>
    </row>
    <row r="291" spans="8:13" ht="15.75" thickBot="1">
      <c r="H291" s="3169">
        <v>494</v>
      </c>
      <c r="I291" s="3170" t="s">
        <v>4564</v>
      </c>
      <c r="J291" s="3170" t="s">
        <v>4565</v>
      </c>
      <c r="K291" s="3171" t="s">
        <v>4566</v>
      </c>
      <c r="L291" s="3172">
        <v>25.51</v>
      </c>
      <c r="M291" s="3173" t="s">
        <v>3317</v>
      </c>
    </row>
    <row r="292" spans="8:13" ht="15.75" thickBot="1">
      <c r="H292" s="3169">
        <v>495</v>
      </c>
      <c r="I292" s="3170" t="s">
        <v>4567</v>
      </c>
      <c r="J292" s="3170" t="s">
        <v>4568</v>
      </c>
      <c r="K292" s="3171" t="s">
        <v>4569</v>
      </c>
      <c r="L292" s="3172">
        <v>25.51</v>
      </c>
      <c r="M292" s="3173" t="s">
        <v>3317</v>
      </c>
    </row>
    <row r="293" spans="8:13" ht="15.75" thickBot="1">
      <c r="H293" s="3169">
        <v>496</v>
      </c>
      <c r="I293" s="3170" t="s">
        <v>4570</v>
      </c>
      <c r="J293" s="3170" t="s">
        <v>4571</v>
      </c>
      <c r="K293" s="3171" t="s">
        <v>4572</v>
      </c>
      <c r="L293" s="3172">
        <v>24.05</v>
      </c>
      <c r="M293" s="3173" t="s">
        <v>3317</v>
      </c>
    </row>
    <row r="294" spans="8:13" ht="15.75" thickBot="1">
      <c r="H294" s="3169">
        <v>497</v>
      </c>
      <c r="I294" s="3170" t="s">
        <v>4573</v>
      </c>
      <c r="J294" s="3170" t="s">
        <v>4574</v>
      </c>
      <c r="K294" s="3171" t="s">
        <v>4575</v>
      </c>
      <c r="L294" s="3172">
        <v>31.71</v>
      </c>
      <c r="M294" s="3173" t="s">
        <v>3317</v>
      </c>
    </row>
    <row r="295" spans="8:13" ht="15.75" thickBot="1">
      <c r="H295" s="3169">
        <v>500</v>
      </c>
      <c r="I295" s="3170" t="s">
        <v>4576</v>
      </c>
      <c r="J295" s="3170" t="s">
        <v>4577</v>
      </c>
      <c r="K295" s="3171" t="s">
        <v>4578</v>
      </c>
      <c r="L295" s="3172">
        <v>22.66</v>
      </c>
      <c r="M295" s="3173" t="s">
        <v>3317</v>
      </c>
    </row>
    <row r="296" spans="8:13" ht="15.75" thickBot="1">
      <c r="H296" s="3169">
        <v>501</v>
      </c>
      <c r="I296" s="3170" t="s">
        <v>4579</v>
      </c>
      <c r="J296" s="3170" t="s">
        <v>4580</v>
      </c>
      <c r="K296" s="3171" t="s">
        <v>4581</v>
      </c>
      <c r="L296" s="3172">
        <v>22.66</v>
      </c>
      <c r="M296" s="3173" t="s">
        <v>3317</v>
      </c>
    </row>
    <row r="297" spans="8:13" ht="15.75" thickBot="1">
      <c r="H297" s="3169">
        <v>514</v>
      </c>
      <c r="I297" s="3170" t="s">
        <v>4599</v>
      </c>
      <c r="J297" s="3170" t="s">
        <v>4600</v>
      </c>
      <c r="K297" s="3171" t="s">
        <v>4601</v>
      </c>
      <c r="L297" s="3172">
        <v>33.869999999999997</v>
      </c>
      <c r="M297" s="3173" t="s">
        <v>3317</v>
      </c>
    </row>
    <row r="298" spans="8:13" ht="15.75" thickBot="1">
      <c r="H298" s="3169">
        <v>515</v>
      </c>
      <c r="I298" s="3170" t="s">
        <v>4602</v>
      </c>
      <c r="J298" s="3170" t="s">
        <v>4603</v>
      </c>
      <c r="K298" s="3171" t="s">
        <v>4604</v>
      </c>
      <c r="L298" s="3172">
        <v>62.07</v>
      </c>
      <c r="M298" s="3173" t="s">
        <v>3317</v>
      </c>
    </row>
    <row r="299" spans="8:13" ht="15.75" thickBot="1">
      <c r="H299" s="3169">
        <v>516</v>
      </c>
      <c r="I299" s="3170" t="s">
        <v>4605</v>
      </c>
      <c r="J299" s="3170" t="s">
        <v>4606</v>
      </c>
      <c r="K299" s="3171" t="s">
        <v>4607</v>
      </c>
      <c r="L299" s="3172">
        <v>47.07</v>
      </c>
      <c r="M299" s="3173" t="s">
        <v>3317</v>
      </c>
    </row>
    <row r="300" spans="8:13" ht="15.75" thickBot="1">
      <c r="H300" s="3169">
        <v>517</v>
      </c>
      <c r="I300" s="3170" t="s">
        <v>4608</v>
      </c>
      <c r="J300" s="3170" t="s">
        <v>4609</v>
      </c>
      <c r="K300" s="3171" t="s">
        <v>4610</v>
      </c>
      <c r="L300" s="3172">
        <v>47.07</v>
      </c>
      <c r="M300" s="3173" t="s">
        <v>3317</v>
      </c>
    </row>
    <row r="301" spans="8:13" ht="15.75" thickBot="1">
      <c r="H301" s="3169">
        <v>518</v>
      </c>
      <c r="I301" s="3170" t="s">
        <v>4611</v>
      </c>
      <c r="J301" s="3170" t="s">
        <v>4612</v>
      </c>
      <c r="K301" s="3171" t="s">
        <v>4613</v>
      </c>
      <c r="L301" s="3172">
        <v>62.07</v>
      </c>
      <c r="M301" s="3173" t="s">
        <v>3317</v>
      </c>
    </row>
    <row r="302" spans="8:13" ht="15.75" thickBot="1">
      <c r="H302" s="3169">
        <v>519</v>
      </c>
      <c r="I302" s="3170" t="s">
        <v>4614</v>
      </c>
      <c r="J302" s="3170" t="s">
        <v>4615</v>
      </c>
      <c r="K302" s="3171" t="s">
        <v>4616</v>
      </c>
      <c r="L302" s="3172">
        <v>33.869999999999997</v>
      </c>
      <c r="M302" s="3173" t="s">
        <v>3317</v>
      </c>
    </row>
    <row r="303" spans="8:13" ht="15.75" thickBot="1">
      <c r="H303" s="3169">
        <v>523</v>
      </c>
      <c r="I303" s="3170" t="s">
        <v>4617</v>
      </c>
      <c r="J303" s="3170" t="s">
        <v>4618</v>
      </c>
      <c r="K303" s="3171" t="s">
        <v>4619</v>
      </c>
      <c r="L303" s="3172">
        <v>46.73</v>
      </c>
      <c r="M303" s="3173" t="s">
        <v>3317</v>
      </c>
    </row>
    <row r="304" spans="8:13" ht="15.75" thickBot="1">
      <c r="H304" s="3169">
        <v>524</v>
      </c>
      <c r="I304" s="3170" t="s">
        <v>4620</v>
      </c>
      <c r="J304" s="3170" t="s">
        <v>4621</v>
      </c>
      <c r="K304" s="3171" t="s">
        <v>4622</v>
      </c>
      <c r="L304" s="3172">
        <v>62.07</v>
      </c>
      <c r="M304" s="3173" t="s">
        <v>3317</v>
      </c>
    </row>
    <row r="305" spans="8:13" ht="15.75" thickBot="1">
      <c r="H305" s="3169">
        <v>525</v>
      </c>
      <c r="I305" s="3170" t="s">
        <v>4623</v>
      </c>
      <c r="J305" s="3170" t="s">
        <v>4624</v>
      </c>
      <c r="K305" s="3171" t="s">
        <v>4625</v>
      </c>
      <c r="L305" s="3172">
        <v>33.869999999999997</v>
      </c>
      <c r="M305" s="3173" t="s">
        <v>3317</v>
      </c>
    </row>
    <row r="306" spans="8:13" ht="15.75" thickBot="1">
      <c r="H306" s="3169">
        <v>526</v>
      </c>
      <c r="I306" s="3170" t="s">
        <v>4626</v>
      </c>
      <c r="J306" s="3170" t="s">
        <v>4627</v>
      </c>
      <c r="K306" s="3171" t="s">
        <v>4628</v>
      </c>
      <c r="L306" s="3172">
        <v>33.869999999999997</v>
      </c>
      <c r="M306" s="3173" t="s">
        <v>3317</v>
      </c>
    </row>
    <row r="307" spans="8:13" ht="15.75" thickBot="1">
      <c r="H307" s="3169">
        <v>527</v>
      </c>
      <c r="I307" s="3170" t="s">
        <v>4629</v>
      </c>
      <c r="J307" s="3170" t="s">
        <v>4630</v>
      </c>
      <c r="K307" s="3171" t="s">
        <v>4631</v>
      </c>
      <c r="L307" s="3172">
        <v>62.35</v>
      </c>
      <c r="M307" s="3173" t="s">
        <v>3317</v>
      </c>
    </row>
    <row r="308" spans="8:13" ht="15.75" thickBot="1">
      <c r="H308" s="3169">
        <v>528</v>
      </c>
      <c r="I308" s="3170" t="s">
        <v>4632</v>
      </c>
      <c r="J308" s="3170" t="s">
        <v>4633</v>
      </c>
      <c r="K308" s="3171" t="s">
        <v>4634</v>
      </c>
      <c r="L308" s="3172">
        <v>56.69</v>
      </c>
      <c r="M308" s="3173" t="s">
        <v>3317</v>
      </c>
    </row>
    <row r="309" spans="8:13" ht="15.75" thickBot="1">
      <c r="H309" s="3169">
        <v>529</v>
      </c>
      <c r="I309" s="3170" t="s">
        <v>4635</v>
      </c>
      <c r="J309" s="3170" t="s">
        <v>4636</v>
      </c>
      <c r="K309" s="3171" t="s">
        <v>4637</v>
      </c>
      <c r="L309" s="3172">
        <v>30.6</v>
      </c>
      <c r="M309" s="3173" t="s">
        <v>3317</v>
      </c>
    </row>
    <row r="310" spans="8:13" ht="15.75" thickBot="1">
      <c r="H310" s="3169">
        <v>530</v>
      </c>
      <c r="I310" s="3170" t="s">
        <v>4638</v>
      </c>
      <c r="J310" s="3170" t="s">
        <v>4639</v>
      </c>
      <c r="K310" s="3171" t="s">
        <v>4640</v>
      </c>
      <c r="L310" s="3172">
        <v>25.04</v>
      </c>
      <c r="M310" s="3173" t="s">
        <v>3317</v>
      </c>
    </row>
    <row r="311" spans="8:13" ht="15.75" thickBot="1">
      <c r="H311" s="3169">
        <v>531</v>
      </c>
      <c r="I311" s="3170" t="s">
        <v>4641</v>
      </c>
      <c r="J311" s="3170" t="s">
        <v>4642</v>
      </c>
      <c r="K311" s="3171" t="s">
        <v>4643</v>
      </c>
      <c r="L311" s="3172">
        <v>28.34</v>
      </c>
      <c r="M311" s="3173" t="s">
        <v>3317</v>
      </c>
    </row>
    <row r="312" spans="8:13" ht="15.75" thickBot="1">
      <c r="H312" s="3169">
        <v>532</v>
      </c>
      <c r="I312" s="3170" t="s">
        <v>4644</v>
      </c>
      <c r="J312" s="3170" t="s">
        <v>4645</v>
      </c>
      <c r="K312" s="3171" t="s">
        <v>4646</v>
      </c>
      <c r="L312" s="3172">
        <v>28.34</v>
      </c>
      <c r="M312" s="3173" t="s">
        <v>3317</v>
      </c>
    </row>
    <row r="313" spans="8:13" ht="15.75" thickBot="1">
      <c r="H313" s="3169">
        <v>533</v>
      </c>
      <c r="I313" s="3170" t="s">
        <v>4647</v>
      </c>
      <c r="J313" s="3170" t="s">
        <v>4648</v>
      </c>
      <c r="K313" s="3171" t="s">
        <v>4649</v>
      </c>
      <c r="L313" s="3172">
        <v>22.15</v>
      </c>
      <c r="M313" s="3173" t="s">
        <v>3317</v>
      </c>
    </row>
    <row r="314" spans="8:13" ht="15.75" thickBot="1">
      <c r="H314" s="3169">
        <v>534</v>
      </c>
      <c r="I314" s="3170" t="s">
        <v>4650</v>
      </c>
      <c r="J314" s="3170" t="s">
        <v>4651</v>
      </c>
      <c r="K314" s="3171" t="s">
        <v>4652</v>
      </c>
      <c r="L314" s="3172">
        <v>42.9</v>
      </c>
      <c r="M314" s="3173" t="s">
        <v>3317</v>
      </c>
    </row>
    <row r="315" spans="8:13" ht="15.75" thickBot="1">
      <c r="H315" s="3169">
        <v>535</v>
      </c>
      <c r="I315" s="3170" t="s">
        <v>4653</v>
      </c>
      <c r="J315" s="3170" t="s">
        <v>4654</v>
      </c>
      <c r="K315" s="3171" t="s">
        <v>4655</v>
      </c>
      <c r="L315" s="3172">
        <v>42.8</v>
      </c>
      <c r="M315" s="3173" t="s">
        <v>3317</v>
      </c>
    </row>
    <row r="316" spans="8:13" ht="15.75" thickBot="1">
      <c r="H316" s="3169">
        <v>536</v>
      </c>
      <c r="I316" s="3170" t="s">
        <v>4656</v>
      </c>
      <c r="J316" s="3170" t="s">
        <v>4657</v>
      </c>
      <c r="K316" s="3171" t="s">
        <v>4658</v>
      </c>
      <c r="L316" s="3172">
        <v>19.829999999999998</v>
      </c>
      <c r="M316" s="3173" t="s">
        <v>3317</v>
      </c>
    </row>
    <row r="317" spans="8:13" ht="15.75" thickBot="1">
      <c r="H317" s="3169">
        <v>537</v>
      </c>
      <c r="I317" s="3170" t="s">
        <v>4659</v>
      </c>
      <c r="J317" s="3170" t="s">
        <v>4660</v>
      </c>
      <c r="K317" s="3171" t="s">
        <v>4661</v>
      </c>
      <c r="L317" s="3172">
        <v>19.829999999999998</v>
      </c>
      <c r="M317" s="3173" t="s">
        <v>3317</v>
      </c>
    </row>
    <row r="318" spans="8:13" ht="15.75" thickBot="1">
      <c r="H318" s="3169">
        <v>539</v>
      </c>
      <c r="I318" s="3170" t="s">
        <v>4662</v>
      </c>
      <c r="J318" s="3170" t="s">
        <v>4663</v>
      </c>
      <c r="K318" s="3171" t="s">
        <v>4664</v>
      </c>
      <c r="L318" s="3172">
        <v>19.829999999999998</v>
      </c>
      <c r="M318" s="3173" t="s">
        <v>3317</v>
      </c>
    </row>
    <row r="319" spans="8:13" ht="15.75" thickBot="1">
      <c r="H319" s="3169">
        <v>540</v>
      </c>
      <c r="I319" s="3170" t="s">
        <v>4665</v>
      </c>
      <c r="J319" s="3170" t="s">
        <v>4666</v>
      </c>
      <c r="K319" s="3171" t="s">
        <v>4667</v>
      </c>
      <c r="L319" s="3172">
        <v>19.829999999999998</v>
      </c>
      <c r="M319" s="3173" t="s">
        <v>3317</v>
      </c>
    </row>
    <row r="320" spans="8:13" ht="15.75" thickBot="1">
      <c r="H320" s="3169">
        <v>541</v>
      </c>
      <c r="I320" s="3170" t="s">
        <v>4668</v>
      </c>
      <c r="J320" s="3170" t="s">
        <v>4669</v>
      </c>
      <c r="K320" s="3171" t="s">
        <v>4670</v>
      </c>
      <c r="L320" s="3172">
        <v>23.64</v>
      </c>
      <c r="M320" s="3173" t="s">
        <v>3317</v>
      </c>
    </row>
    <row r="321" spans="8:13" ht="15.75" thickBot="1">
      <c r="H321" s="3169">
        <v>546</v>
      </c>
      <c r="I321" s="3170" t="s">
        <v>4683</v>
      </c>
      <c r="J321" s="3170" t="s">
        <v>4684</v>
      </c>
      <c r="K321" s="3171" t="s">
        <v>4685</v>
      </c>
      <c r="L321" s="3172">
        <v>24.31</v>
      </c>
      <c r="M321" s="3173" t="s">
        <v>3317</v>
      </c>
    </row>
    <row r="322" spans="8:13" ht="15.75" thickBot="1">
      <c r="H322" s="3169">
        <v>547</v>
      </c>
      <c r="I322" s="3170" t="s">
        <v>4686</v>
      </c>
      <c r="J322" s="3170" t="s">
        <v>4687</v>
      </c>
      <c r="K322" s="3171" t="s">
        <v>4688</v>
      </c>
      <c r="L322" s="3172">
        <v>30.33</v>
      </c>
      <c r="M322" s="3173" t="s">
        <v>3317</v>
      </c>
    </row>
    <row r="323" spans="8:13" ht="15.75" thickBot="1">
      <c r="H323" s="3169">
        <v>548</v>
      </c>
      <c r="I323" s="3170" t="s">
        <v>4689</v>
      </c>
      <c r="J323" s="3170" t="s">
        <v>4690</v>
      </c>
      <c r="K323" s="3171" t="s">
        <v>4691</v>
      </c>
      <c r="L323" s="3172">
        <v>56.2</v>
      </c>
      <c r="M323" s="3173" t="s">
        <v>3317</v>
      </c>
    </row>
    <row r="324" spans="8:13" ht="15.75" thickBot="1">
      <c r="H324" s="3169">
        <v>549</v>
      </c>
      <c r="I324" s="3170" t="s">
        <v>4692</v>
      </c>
      <c r="J324" s="3170" t="s">
        <v>4693</v>
      </c>
      <c r="K324" s="3171" t="s">
        <v>4694</v>
      </c>
      <c r="L324" s="3172">
        <v>61.81</v>
      </c>
      <c r="M324" s="3173" t="s">
        <v>3317</v>
      </c>
    </row>
    <row r="325" spans="8:13" ht="15.75" thickBot="1">
      <c r="H325" s="3169">
        <v>550</v>
      </c>
      <c r="I325" s="3170" t="s">
        <v>4695</v>
      </c>
      <c r="J325" s="3170" t="s">
        <v>4696</v>
      </c>
      <c r="K325" s="3171" t="s">
        <v>4697</v>
      </c>
      <c r="L325" s="3172">
        <v>33.22</v>
      </c>
      <c r="M325" s="3173" t="s">
        <v>3317</v>
      </c>
    </row>
    <row r="326" spans="8:13" ht="15.75" thickBot="1">
      <c r="H326" s="3169">
        <v>551</v>
      </c>
      <c r="I326" s="3170" t="s">
        <v>4698</v>
      </c>
      <c r="J326" s="3170" t="s">
        <v>4699</v>
      </c>
      <c r="K326" s="3171" t="s">
        <v>4700</v>
      </c>
      <c r="L326" s="3172">
        <v>33.22</v>
      </c>
      <c r="M326" s="3173" t="s">
        <v>3317</v>
      </c>
    </row>
    <row r="327" spans="8:13" ht="15.75" thickBot="1">
      <c r="H327" s="3169">
        <v>552</v>
      </c>
      <c r="I327" s="3170" t="s">
        <v>4701</v>
      </c>
      <c r="J327" s="3170" t="s">
        <v>4702</v>
      </c>
      <c r="K327" s="3171" t="s">
        <v>4703</v>
      </c>
      <c r="L327" s="3172">
        <v>61.53</v>
      </c>
      <c r="M327" s="3173" t="s">
        <v>3317</v>
      </c>
    </row>
    <row r="328" spans="8:13" ht="15.75" thickBot="1">
      <c r="H328" s="3169">
        <v>553</v>
      </c>
      <c r="I328" s="3170" t="s">
        <v>4704</v>
      </c>
      <c r="J328" s="3170" t="s">
        <v>4705</v>
      </c>
      <c r="K328" s="3171" t="s">
        <v>4706</v>
      </c>
      <c r="L328" s="3172">
        <v>46.65</v>
      </c>
      <c r="M328" s="3173" t="s">
        <v>3317</v>
      </c>
    </row>
    <row r="329" spans="8:13" ht="15.75" thickBot="1">
      <c r="H329" s="3169">
        <v>554</v>
      </c>
      <c r="I329" s="3170" t="s">
        <v>4707</v>
      </c>
      <c r="J329" s="3170" t="s">
        <v>4708</v>
      </c>
      <c r="K329" s="3171" t="s">
        <v>4709</v>
      </c>
      <c r="L329" s="3172">
        <v>46.65</v>
      </c>
      <c r="M329" s="3173" t="s">
        <v>3317</v>
      </c>
    </row>
    <row r="330" spans="8:13" ht="15.75" thickBot="1">
      <c r="H330" s="3169">
        <v>555</v>
      </c>
      <c r="I330" s="3170" t="s">
        <v>4710</v>
      </c>
      <c r="J330" s="3170" t="s">
        <v>4711</v>
      </c>
      <c r="K330" s="3171" t="s">
        <v>4712</v>
      </c>
      <c r="L330" s="3172">
        <v>61.53</v>
      </c>
      <c r="M330" s="3173" t="s">
        <v>3317</v>
      </c>
    </row>
    <row r="331" spans="8:13" ht="15.75" thickBot="1">
      <c r="H331" s="3169">
        <v>556</v>
      </c>
      <c r="I331" s="3170" t="s">
        <v>4713</v>
      </c>
      <c r="J331" s="3170" t="s">
        <v>4714</v>
      </c>
      <c r="K331" s="3171" t="s">
        <v>4715</v>
      </c>
      <c r="L331" s="3172">
        <v>33.22</v>
      </c>
      <c r="M331" s="3173" t="s">
        <v>3317</v>
      </c>
    </row>
    <row r="332" spans="8:13" ht="15.75" thickBot="1">
      <c r="H332" s="3169">
        <v>557</v>
      </c>
      <c r="I332" s="3170" t="s">
        <v>4716</v>
      </c>
      <c r="J332" s="3170" t="s">
        <v>4717</v>
      </c>
      <c r="K332" s="3171" t="s">
        <v>4718</v>
      </c>
      <c r="L332" s="3172">
        <v>33.22</v>
      </c>
      <c r="M332" s="3173" t="s">
        <v>3317</v>
      </c>
    </row>
    <row r="333" spans="8:13" ht="15.75" thickBot="1">
      <c r="H333" s="3169">
        <v>558</v>
      </c>
      <c r="I333" s="3170" t="s">
        <v>4719</v>
      </c>
      <c r="J333" s="3170" t="s">
        <v>4720</v>
      </c>
      <c r="K333" s="3171" t="s">
        <v>4721</v>
      </c>
      <c r="L333" s="3172">
        <v>61.53</v>
      </c>
      <c r="M333" s="3173" t="s">
        <v>3317</v>
      </c>
    </row>
    <row r="334" spans="8:13" ht="15.75" thickBot="1">
      <c r="H334" s="3169">
        <v>559</v>
      </c>
      <c r="I334" s="3170" t="s">
        <v>4722</v>
      </c>
      <c r="J334" s="3170" t="s">
        <v>4723</v>
      </c>
      <c r="K334" s="3171" t="s">
        <v>4724</v>
      </c>
      <c r="L334" s="3172">
        <v>46.33</v>
      </c>
      <c r="M334" s="3173" t="s">
        <v>3317</v>
      </c>
    </row>
    <row r="335" spans="8:13" ht="15.75" thickBot="1">
      <c r="H335" s="3169">
        <v>560</v>
      </c>
      <c r="I335" s="3170" t="s">
        <v>4725</v>
      </c>
      <c r="J335" s="3170" t="s">
        <v>4726</v>
      </c>
      <c r="K335" s="3171" t="s">
        <v>4727</v>
      </c>
      <c r="L335" s="3172">
        <v>32.729999999999997</v>
      </c>
      <c r="M335" s="3173" t="s">
        <v>3317</v>
      </c>
    </row>
    <row r="336" spans="8:13" ht="15.75" thickBot="1">
      <c r="H336" s="3169">
        <v>561</v>
      </c>
      <c r="I336" s="3170" t="s">
        <v>4728</v>
      </c>
      <c r="J336" s="3170" t="s">
        <v>4729</v>
      </c>
      <c r="K336" s="3171" t="s">
        <v>4730</v>
      </c>
      <c r="L336" s="3172">
        <v>21.42</v>
      </c>
      <c r="M336" s="3173" t="s">
        <v>3317</v>
      </c>
    </row>
    <row r="337" spans="8:13" ht="15.75" thickBot="1">
      <c r="H337" s="3169">
        <v>562</v>
      </c>
      <c r="I337" s="3170" t="s">
        <v>4731</v>
      </c>
      <c r="J337" s="3170" t="s">
        <v>4732</v>
      </c>
      <c r="K337" s="3171" t="s">
        <v>4733</v>
      </c>
      <c r="L337" s="3172">
        <v>42.45</v>
      </c>
      <c r="M337" s="3173" t="s">
        <v>3317</v>
      </c>
    </row>
    <row r="338" spans="8:13" ht="15.75" thickBot="1">
      <c r="H338" s="3169">
        <v>563</v>
      </c>
      <c r="I338" s="3170" t="s">
        <v>4734</v>
      </c>
      <c r="J338" s="3170" t="s">
        <v>4735</v>
      </c>
      <c r="K338" s="3171" t="s">
        <v>4736</v>
      </c>
      <c r="L338" s="3172">
        <v>22.35</v>
      </c>
      <c r="M338" s="3173" t="s">
        <v>3317</v>
      </c>
    </row>
    <row r="339" spans="8:13" ht="15.75" thickBot="1">
      <c r="H339" s="3169">
        <v>564</v>
      </c>
      <c r="I339" s="3170" t="s">
        <v>4737</v>
      </c>
      <c r="J339" s="3170" t="s">
        <v>4738</v>
      </c>
      <c r="K339" s="3171" t="s">
        <v>4739</v>
      </c>
      <c r="L339" s="3172">
        <v>22.59</v>
      </c>
      <c r="M339" s="3173" t="s">
        <v>3317</v>
      </c>
    </row>
    <row r="340" spans="8:13" ht="15.75" thickBot="1">
      <c r="H340" s="3169">
        <v>565</v>
      </c>
      <c r="I340" s="3170" t="s">
        <v>4740</v>
      </c>
      <c r="J340" s="3170" t="s">
        <v>4741</v>
      </c>
      <c r="K340" s="3171" t="s">
        <v>4742</v>
      </c>
      <c r="L340" s="3172">
        <v>22.59</v>
      </c>
      <c r="M340" s="3173" t="s">
        <v>3317</v>
      </c>
    </row>
    <row r="341" spans="8:13" ht="15.75" thickBot="1">
      <c r="H341" s="3169">
        <v>567</v>
      </c>
      <c r="I341" s="3170" t="s">
        <v>4743</v>
      </c>
      <c r="J341" s="3170" t="s">
        <v>4744</v>
      </c>
      <c r="K341" s="3171" t="s">
        <v>4745</v>
      </c>
      <c r="L341" s="3172">
        <v>30.67</v>
      </c>
      <c r="M341" s="3173" t="s">
        <v>3317</v>
      </c>
    </row>
    <row r="342" spans="8:13" ht="15.75" thickBot="1">
      <c r="H342" s="3169">
        <v>568</v>
      </c>
      <c r="I342" s="3170" t="s">
        <v>4746</v>
      </c>
      <c r="J342" s="3170" t="s">
        <v>4747</v>
      </c>
      <c r="K342" s="3171" t="s">
        <v>4748</v>
      </c>
      <c r="L342" s="3172">
        <v>27.09</v>
      </c>
      <c r="M342" s="3173" t="s">
        <v>3317</v>
      </c>
    </row>
    <row r="343" spans="8:13" ht="15.75" thickBot="1">
      <c r="H343" s="3169">
        <v>569</v>
      </c>
      <c r="I343" s="3170" t="s">
        <v>4749</v>
      </c>
      <c r="J343" s="3170" t="s">
        <v>4750</v>
      </c>
      <c r="K343" s="3171" t="s">
        <v>4751</v>
      </c>
      <c r="L343" s="3172">
        <v>16.13</v>
      </c>
      <c r="M343" s="3173" t="s">
        <v>3317</v>
      </c>
    </row>
    <row r="344" spans="8:13" ht="15.75" thickBot="1">
      <c r="H344" s="3169">
        <v>570</v>
      </c>
      <c r="I344" s="3170" t="s">
        <v>4752</v>
      </c>
      <c r="J344" s="3170" t="s">
        <v>4753</v>
      </c>
      <c r="K344" s="3171" t="s">
        <v>4754</v>
      </c>
      <c r="L344" s="3172">
        <v>22.59</v>
      </c>
      <c r="M344" s="3173" t="s">
        <v>3317</v>
      </c>
    </row>
    <row r="345" spans="8:13" ht="15.75" thickBot="1">
      <c r="H345" s="3169">
        <v>576</v>
      </c>
      <c r="I345" s="3170" t="s">
        <v>4758</v>
      </c>
      <c r="J345" s="3170" t="s">
        <v>4759</v>
      </c>
      <c r="K345" s="3171" t="s">
        <v>4760</v>
      </c>
      <c r="L345" s="3172">
        <v>24.49</v>
      </c>
      <c r="M345" s="3173" t="s">
        <v>3317</v>
      </c>
    </row>
    <row r="346" spans="8:13" ht="15.75" thickBot="1">
      <c r="H346" s="3169">
        <v>577</v>
      </c>
      <c r="I346" s="3170" t="s">
        <v>4761</v>
      </c>
      <c r="J346" s="3170" t="s">
        <v>4762</v>
      </c>
      <c r="K346" s="3171" t="s">
        <v>4763</v>
      </c>
      <c r="L346" s="3172">
        <v>30.56</v>
      </c>
      <c r="M346" s="3173" t="s">
        <v>3317</v>
      </c>
    </row>
    <row r="347" spans="8:13" ht="15.75" thickBot="1">
      <c r="H347" s="3169">
        <v>578</v>
      </c>
      <c r="I347" s="3170" t="s">
        <v>4764</v>
      </c>
      <c r="J347" s="3170" t="s">
        <v>4765</v>
      </c>
      <c r="K347" s="3171" t="s">
        <v>4766</v>
      </c>
      <c r="L347" s="3172">
        <v>56.63</v>
      </c>
      <c r="M347" s="3173" t="s">
        <v>3317</v>
      </c>
    </row>
    <row r="348" spans="8:13" ht="15.75" thickBot="1">
      <c r="H348" s="3169">
        <v>579</v>
      </c>
      <c r="I348" s="3170" t="s">
        <v>4767</v>
      </c>
      <c r="J348" s="3170" t="s">
        <v>4768</v>
      </c>
      <c r="K348" s="3171" t="s">
        <v>4769</v>
      </c>
      <c r="L348" s="3172">
        <v>62.28</v>
      </c>
      <c r="M348" s="3173" t="s">
        <v>3317</v>
      </c>
    </row>
    <row r="349" spans="8:13" ht="15.75" thickBot="1">
      <c r="H349" s="3169">
        <v>580</v>
      </c>
      <c r="I349" s="3170" t="s">
        <v>4770</v>
      </c>
      <c r="J349" s="3170" t="s">
        <v>4771</v>
      </c>
      <c r="K349" s="3171" t="s">
        <v>4772</v>
      </c>
      <c r="L349" s="3172">
        <v>33.47</v>
      </c>
      <c r="M349" s="3173" t="s">
        <v>3317</v>
      </c>
    </row>
    <row r="350" spans="8:13" ht="15.75" thickBot="1">
      <c r="H350" s="3169">
        <v>589</v>
      </c>
      <c r="I350" s="3170" t="s">
        <v>4773</v>
      </c>
      <c r="J350" s="3170" t="s">
        <v>4774</v>
      </c>
      <c r="K350" s="3171" t="s">
        <v>4775</v>
      </c>
      <c r="L350" s="3172">
        <v>42.78</v>
      </c>
      <c r="M350" s="3173" t="s">
        <v>3317</v>
      </c>
    </row>
    <row r="351" spans="8:13" ht="15.75" thickBot="1">
      <c r="H351" s="3169">
        <v>590</v>
      </c>
      <c r="I351" s="3170" t="s">
        <v>4776</v>
      </c>
      <c r="J351" s="3170" t="s">
        <v>4777</v>
      </c>
      <c r="K351" s="3171" t="s">
        <v>4778</v>
      </c>
      <c r="L351" s="3172">
        <v>22.52</v>
      </c>
      <c r="M351" s="3173" t="s">
        <v>3317</v>
      </c>
    </row>
    <row r="352" spans="8:13" ht="15.75" thickBot="1">
      <c r="H352" s="3169">
        <v>591</v>
      </c>
      <c r="I352" s="3170" t="s">
        <v>4779</v>
      </c>
      <c r="J352" s="3170" t="s">
        <v>4780</v>
      </c>
      <c r="K352" s="3171" t="s">
        <v>4781</v>
      </c>
      <c r="L352" s="3172">
        <v>25.39</v>
      </c>
      <c r="M352" s="3173" t="s">
        <v>3317</v>
      </c>
    </row>
    <row r="353" spans="8:13" ht="15.75" thickBot="1">
      <c r="H353" s="3169">
        <v>592</v>
      </c>
      <c r="I353" s="3170" t="s">
        <v>4782</v>
      </c>
      <c r="J353" s="3170" t="s">
        <v>4783</v>
      </c>
      <c r="K353" s="3171" t="s">
        <v>4784</v>
      </c>
      <c r="L353" s="3172">
        <v>26.12</v>
      </c>
      <c r="M353" s="3173" t="s">
        <v>3317</v>
      </c>
    </row>
    <row r="354" spans="8:13">
      <c r="L354">
        <f>SUM(L32:L353)</f>
        <v>11077.259999999998</v>
      </c>
    </row>
  </sheetData>
  <mergeCells count="2">
    <mergeCell ref="A1:E1"/>
    <mergeCell ref="A29:E29"/>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22C5E-DEE7-4AD1-97B6-7FACF6FC5548}">
  <dimension ref="A1:M355"/>
  <sheetViews>
    <sheetView zoomScale="90" zoomScaleNormal="90" workbookViewId="0">
      <selection activeCell="D26" sqref="D26:G29"/>
    </sheetView>
  </sheetViews>
  <sheetFormatPr defaultRowHeight="13.5"/>
  <cols>
    <col min="2" max="2" width="33.125" customWidth="1"/>
    <col min="3" max="3" width="42.375" customWidth="1"/>
    <col min="9" max="9" width="33.125" customWidth="1"/>
    <col min="10" max="10" width="42.375" customWidth="1"/>
  </cols>
  <sheetData>
    <row r="1" spans="1:13" ht="15.75" thickBot="1">
      <c r="A1" s="3169" t="s">
        <v>3406</v>
      </c>
      <c r="B1" s="3170" t="s">
        <v>3407</v>
      </c>
      <c r="C1" s="3170" t="s">
        <v>4852</v>
      </c>
      <c r="D1" s="3170" t="s">
        <v>3408</v>
      </c>
      <c r="E1" s="3172" t="s">
        <v>3410</v>
      </c>
      <c r="F1" s="3173" t="s">
        <v>668</v>
      </c>
      <c r="H1" s="3169" t="s">
        <v>3406</v>
      </c>
      <c r="I1" s="3170" t="s">
        <v>3407</v>
      </c>
      <c r="J1" s="3170" t="s">
        <v>4852</v>
      </c>
      <c r="K1" s="3170" t="s">
        <v>3408</v>
      </c>
      <c r="L1" s="3172" t="s">
        <v>3410</v>
      </c>
      <c r="M1" s="3173" t="s">
        <v>668</v>
      </c>
    </row>
    <row r="2" spans="1:13" ht="15.75" thickBot="1">
      <c r="A2" s="3169">
        <v>127</v>
      </c>
      <c r="B2" s="3170" t="s">
        <v>3411</v>
      </c>
      <c r="C2" s="3170" t="s">
        <v>4785</v>
      </c>
      <c r="D2" s="3170" t="s">
        <v>3412</v>
      </c>
      <c r="E2" s="3172">
        <v>272.99</v>
      </c>
      <c r="F2" s="3173" t="s">
        <v>3387</v>
      </c>
      <c r="H2" s="3169">
        <v>138</v>
      </c>
      <c r="I2" s="3170" t="s">
        <v>3441</v>
      </c>
      <c r="J2" s="3170" t="s">
        <v>4785</v>
      </c>
      <c r="K2" s="3170" t="s">
        <v>3442</v>
      </c>
      <c r="L2" s="3172">
        <v>42.4</v>
      </c>
      <c r="M2" s="3173" t="s">
        <v>3317</v>
      </c>
    </row>
    <row r="3" spans="1:13" ht="15.75" thickBot="1">
      <c r="A3" s="3169">
        <v>128</v>
      </c>
      <c r="B3" s="3170" t="s">
        <v>3414</v>
      </c>
      <c r="C3" s="3170" t="s">
        <v>4785</v>
      </c>
      <c r="D3" s="3170" t="s">
        <v>3415</v>
      </c>
      <c r="E3" s="3172">
        <v>271.81</v>
      </c>
      <c r="F3" s="3173" t="s">
        <v>3387</v>
      </c>
      <c r="H3" s="3169">
        <v>139</v>
      </c>
      <c r="I3" s="3170" t="s">
        <v>3444</v>
      </c>
      <c r="J3" s="3170" t="s">
        <v>4785</v>
      </c>
      <c r="K3" s="3170" t="s">
        <v>3445</v>
      </c>
      <c r="L3" s="3172">
        <v>47.18</v>
      </c>
      <c r="M3" s="3173" t="s">
        <v>3317</v>
      </c>
    </row>
    <row r="4" spans="1:13" ht="15.75" thickBot="1">
      <c r="A4" s="3169">
        <v>129</v>
      </c>
      <c r="B4" s="3170" t="s">
        <v>4853</v>
      </c>
      <c r="C4" s="3170" t="s">
        <v>4785</v>
      </c>
      <c r="D4" s="3170" t="s">
        <v>3417</v>
      </c>
      <c r="E4" s="3172">
        <v>273.05</v>
      </c>
      <c r="F4" s="3173" t="s">
        <v>3387</v>
      </c>
      <c r="H4" s="3169">
        <v>140</v>
      </c>
      <c r="I4" s="3170" t="s">
        <v>3447</v>
      </c>
      <c r="J4" s="3170" t="s">
        <v>4785</v>
      </c>
      <c r="K4" s="3170" t="s">
        <v>3448</v>
      </c>
      <c r="L4" s="3172">
        <v>62.35</v>
      </c>
      <c r="M4" s="3173" t="s">
        <v>3317</v>
      </c>
    </row>
    <row r="5" spans="1:13" ht="15.75" thickBot="1">
      <c r="A5" s="3169">
        <v>130</v>
      </c>
      <c r="B5" s="3170" t="s">
        <v>4854</v>
      </c>
      <c r="C5" s="3170" t="s">
        <v>4785</v>
      </c>
      <c r="D5" s="3170" t="s">
        <v>3419</v>
      </c>
      <c r="E5" s="3172">
        <v>271.88</v>
      </c>
      <c r="F5" s="3173" t="s">
        <v>3387</v>
      </c>
      <c r="H5" s="3169">
        <v>141</v>
      </c>
      <c r="I5" s="3170" t="s">
        <v>3450</v>
      </c>
      <c r="J5" s="3170" t="s">
        <v>4785</v>
      </c>
      <c r="K5" s="3170" t="s">
        <v>3451</v>
      </c>
      <c r="L5" s="3172">
        <v>61.39</v>
      </c>
      <c r="M5" s="3173" t="s">
        <v>3317</v>
      </c>
    </row>
    <row r="6" spans="1:13" ht="15.75" thickBot="1">
      <c r="A6" s="3169">
        <v>131</v>
      </c>
      <c r="B6" s="3170" t="s">
        <v>3421</v>
      </c>
      <c r="C6" s="3170" t="s">
        <v>4785</v>
      </c>
      <c r="D6" s="3170" t="s">
        <v>3422</v>
      </c>
      <c r="E6" s="3172">
        <v>271.88</v>
      </c>
      <c r="F6" s="3173" t="s">
        <v>3387</v>
      </c>
      <c r="H6" s="3169">
        <v>142</v>
      </c>
      <c r="I6" s="3170" t="s">
        <v>3453</v>
      </c>
      <c r="J6" s="3170" t="s">
        <v>4785</v>
      </c>
      <c r="K6" s="3170" t="s">
        <v>3454</v>
      </c>
      <c r="L6" s="3172">
        <v>61.39</v>
      </c>
      <c r="M6" s="3173" t="s">
        <v>3317</v>
      </c>
    </row>
    <row r="7" spans="1:13" ht="15.75" thickBot="1">
      <c r="A7" s="3169">
        <v>132</v>
      </c>
      <c r="B7" s="3170" t="s">
        <v>3424</v>
      </c>
      <c r="C7" s="3170" t="s">
        <v>4785</v>
      </c>
      <c r="D7" s="3170" t="s">
        <v>3425</v>
      </c>
      <c r="E7" s="3172">
        <v>271.88</v>
      </c>
      <c r="F7" s="3173" t="s">
        <v>3387</v>
      </c>
      <c r="H7" s="3169">
        <v>143</v>
      </c>
      <c r="I7" s="3170" t="s">
        <v>3456</v>
      </c>
      <c r="J7" s="3170" t="s">
        <v>4785</v>
      </c>
      <c r="K7" s="3170" t="s">
        <v>3457</v>
      </c>
      <c r="L7" s="3172">
        <v>62.35</v>
      </c>
      <c r="M7" s="3173" t="s">
        <v>3317</v>
      </c>
    </row>
    <row r="8" spans="1:13" ht="15.75" thickBot="1">
      <c r="A8" s="3169">
        <v>133</v>
      </c>
      <c r="B8" s="3170" t="s">
        <v>3427</v>
      </c>
      <c r="C8" s="3170" t="s">
        <v>4785</v>
      </c>
      <c r="D8" s="3170" t="s">
        <v>3428</v>
      </c>
      <c r="E8" s="3172">
        <v>271.81</v>
      </c>
      <c r="F8" s="3173" t="s">
        <v>3387</v>
      </c>
      <c r="H8" s="3169">
        <v>144</v>
      </c>
      <c r="I8" s="3170" t="s">
        <v>3459</v>
      </c>
      <c r="J8" s="3170" t="s">
        <v>4785</v>
      </c>
      <c r="K8" s="3170" t="s">
        <v>3460</v>
      </c>
      <c r="L8" s="3172">
        <v>47.18</v>
      </c>
      <c r="M8" s="3173" t="s">
        <v>3317</v>
      </c>
    </row>
    <row r="9" spans="1:13" ht="15.75" thickBot="1">
      <c r="A9" s="3169">
        <v>134</v>
      </c>
      <c r="B9" s="3170" t="s">
        <v>3430</v>
      </c>
      <c r="C9" s="3170" t="s">
        <v>4785</v>
      </c>
      <c r="D9" s="3170" t="s">
        <v>3431</v>
      </c>
      <c r="E9" s="3172">
        <v>272.99</v>
      </c>
      <c r="F9" s="3173" t="s">
        <v>3387</v>
      </c>
      <c r="H9" s="3169">
        <v>145</v>
      </c>
      <c r="I9" s="3170" t="s">
        <v>3462</v>
      </c>
      <c r="J9" s="3170" t="s">
        <v>4785</v>
      </c>
      <c r="K9" s="3170" t="s">
        <v>3463</v>
      </c>
      <c r="L9" s="3172">
        <v>42.77</v>
      </c>
      <c r="M9" s="3173" t="s">
        <v>3317</v>
      </c>
    </row>
    <row r="10" spans="1:13" ht="15.75" thickBot="1">
      <c r="A10" s="3169">
        <v>135</v>
      </c>
      <c r="B10" s="3170" t="s">
        <v>4855</v>
      </c>
      <c r="C10" s="3170" t="s">
        <v>4785</v>
      </c>
      <c r="D10" s="3170" t="s">
        <v>3433</v>
      </c>
      <c r="E10" s="3172">
        <v>271.88</v>
      </c>
      <c r="F10" s="3173" t="s">
        <v>3387</v>
      </c>
      <c r="H10" s="3169">
        <v>146</v>
      </c>
      <c r="I10" s="3170" t="s">
        <v>3465</v>
      </c>
      <c r="J10" s="3170" t="s">
        <v>4785</v>
      </c>
      <c r="K10" s="3170" t="s">
        <v>3466</v>
      </c>
      <c r="L10" s="3172">
        <v>42.77</v>
      </c>
      <c r="M10" s="3173" t="s">
        <v>3317</v>
      </c>
    </row>
    <row r="11" spans="1:13" ht="15.75" thickBot="1">
      <c r="A11" s="3169">
        <v>136</v>
      </c>
      <c r="B11" s="3170" t="s">
        <v>3435</v>
      </c>
      <c r="C11" s="3170" t="s">
        <v>4785</v>
      </c>
      <c r="D11" s="3170" t="s">
        <v>3436</v>
      </c>
      <c r="E11" s="3172">
        <v>271.88</v>
      </c>
      <c r="F11" s="3173" t="s">
        <v>3387</v>
      </c>
      <c r="H11" s="3169">
        <v>147</v>
      </c>
      <c r="I11" s="3170" t="s">
        <v>3468</v>
      </c>
      <c r="J11" s="3170" t="s">
        <v>4785</v>
      </c>
      <c r="K11" s="3170" t="s">
        <v>3469</v>
      </c>
      <c r="L11" s="3172">
        <v>47.18</v>
      </c>
      <c r="M11" s="3173" t="s">
        <v>3317</v>
      </c>
    </row>
    <row r="12" spans="1:13" ht="15.75" thickBot="1">
      <c r="A12" s="3169">
        <v>137</v>
      </c>
      <c r="B12" s="3170" t="s">
        <v>3438</v>
      </c>
      <c r="C12" s="3170" t="s">
        <v>4785</v>
      </c>
      <c r="D12" s="3170" t="s">
        <v>3439</v>
      </c>
      <c r="E12" s="3172">
        <v>271.88</v>
      </c>
      <c r="F12" s="3173" t="s">
        <v>3387</v>
      </c>
      <c r="H12" s="3169">
        <v>148</v>
      </c>
      <c r="I12" s="3170" t="s">
        <v>3471</v>
      </c>
      <c r="J12" s="3170" t="s">
        <v>4785</v>
      </c>
      <c r="K12" s="3170" t="s">
        <v>3472</v>
      </c>
      <c r="L12" s="3172">
        <v>62.35</v>
      </c>
      <c r="M12" s="3173" t="s">
        <v>3317</v>
      </c>
    </row>
    <row r="13" spans="1:13" ht="15.75" thickBot="1">
      <c r="A13" s="3169">
        <v>159</v>
      </c>
      <c r="B13" s="3170" t="s">
        <v>4856</v>
      </c>
      <c r="C13" s="3170" t="s">
        <v>4785</v>
      </c>
      <c r="D13" s="3170" t="s">
        <v>3504</v>
      </c>
      <c r="E13" s="3172">
        <v>230.81</v>
      </c>
      <c r="F13" s="3173" t="s">
        <v>3387</v>
      </c>
      <c r="H13" s="3169">
        <v>149</v>
      </c>
      <c r="I13" s="3170" t="s">
        <v>3474</v>
      </c>
      <c r="J13" s="3170" t="s">
        <v>4785</v>
      </c>
      <c r="K13" s="3170" t="s">
        <v>3475</v>
      </c>
      <c r="L13" s="3172">
        <v>61.39</v>
      </c>
      <c r="M13" s="3173" t="s">
        <v>3317</v>
      </c>
    </row>
    <row r="14" spans="1:13" ht="15.75" thickBot="1">
      <c r="A14" s="3169">
        <v>161</v>
      </c>
      <c r="B14" s="3170" t="s">
        <v>4857</v>
      </c>
      <c r="C14" s="3170" t="s">
        <v>4785</v>
      </c>
      <c r="D14" s="3170" t="s">
        <v>4858</v>
      </c>
      <c r="E14" s="3172">
        <v>272.83</v>
      </c>
      <c r="F14" s="3173" t="s">
        <v>3387</v>
      </c>
      <c r="H14" s="3169">
        <v>150</v>
      </c>
      <c r="I14" s="3170" t="s">
        <v>3477</v>
      </c>
      <c r="J14" s="3170" t="s">
        <v>4785</v>
      </c>
      <c r="K14" s="3170" t="s">
        <v>3478</v>
      </c>
      <c r="L14" s="3172">
        <v>61.39</v>
      </c>
      <c r="M14" s="3173" t="s">
        <v>3317</v>
      </c>
    </row>
    <row r="15" spans="1:13" ht="15.75" thickBot="1">
      <c r="A15" s="3169">
        <v>167</v>
      </c>
      <c r="B15" s="3170" t="s">
        <v>3525</v>
      </c>
      <c r="C15" s="3170" t="s">
        <v>3524</v>
      </c>
      <c r="D15" s="3170" t="s">
        <v>3526</v>
      </c>
      <c r="E15" s="3172">
        <v>192.35</v>
      </c>
      <c r="F15" s="3173" t="s">
        <v>3387</v>
      </c>
      <c r="H15" s="3169">
        <v>151</v>
      </c>
      <c r="I15" s="3170" t="s">
        <v>3480</v>
      </c>
      <c r="J15" s="3170" t="s">
        <v>4785</v>
      </c>
      <c r="K15" s="3170" t="s">
        <v>3481</v>
      </c>
      <c r="L15" s="3172">
        <v>62.35</v>
      </c>
      <c r="M15" s="3173" t="s">
        <v>3317</v>
      </c>
    </row>
    <row r="16" spans="1:13" ht="15.75" thickBot="1">
      <c r="A16" s="3169">
        <v>168</v>
      </c>
      <c r="B16" s="3170" t="s">
        <v>3528</v>
      </c>
      <c r="C16" s="3170" t="s">
        <v>3524</v>
      </c>
      <c r="D16" s="3170" t="s">
        <v>3529</v>
      </c>
      <c r="E16" s="3172">
        <v>161.68</v>
      </c>
      <c r="F16" s="3173" t="s">
        <v>3387</v>
      </c>
      <c r="H16" s="3169">
        <v>152</v>
      </c>
      <c r="I16" s="3170" t="s">
        <v>3483</v>
      </c>
      <c r="J16" s="3170" t="s">
        <v>4785</v>
      </c>
      <c r="K16" s="3170" t="s">
        <v>3484</v>
      </c>
      <c r="L16" s="3172">
        <v>47.18</v>
      </c>
      <c r="M16" s="3173" t="s">
        <v>3317</v>
      </c>
    </row>
    <row r="17" spans="1:13" ht="15.75" thickBot="1">
      <c r="A17" s="3169">
        <v>169</v>
      </c>
      <c r="B17" s="3170" t="s">
        <v>3531</v>
      </c>
      <c r="C17" s="3170" t="s">
        <v>3524</v>
      </c>
      <c r="D17" s="3170" t="s">
        <v>3532</v>
      </c>
      <c r="E17" s="3172">
        <v>192.37</v>
      </c>
      <c r="F17" s="3173" t="s">
        <v>3387</v>
      </c>
      <c r="H17" s="3169">
        <v>153</v>
      </c>
      <c r="I17" s="3170" t="s">
        <v>3486</v>
      </c>
      <c r="J17" s="3170" t="s">
        <v>4785</v>
      </c>
      <c r="K17" s="3170" t="s">
        <v>3487</v>
      </c>
      <c r="L17" s="3172">
        <v>54.43</v>
      </c>
      <c r="M17" s="3173" t="s">
        <v>3317</v>
      </c>
    </row>
    <row r="18" spans="1:13" ht="15.75" thickBot="1">
      <c r="A18" s="3169">
        <v>170</v>
      </c>
      <c r="B18" s="3170" t="s">
        <v>3534</v>
      </c>
      <c r="C18" s="3170" t="s">
        <v>3524</v>
      </c>
      <c r="D18" s="3170" t="s">
        <v>3535</v>
      </c>
      <c r="E18" s="3172">
        <v>184.32</v>
      </c>
      <c r="F18" s="3173" t="s">
        <v>3387</v>
      </c>
      <c r="H18" s="3169">
        <v>154</v>
      </c>
      <c r="I18" s="3170" t="s">
        <v>3489</v>
      </c>
      <c r="J18" s="3170" t="s">
        <v>4785</v>
      </c>
      <c r="K18" s="3170" t="s">
        <v>3490</v>
      </c>
      <c r="L18" s="3172">
        <v>15.15</v>
      </c>
      <c r="M18" s="3173" t="s">
        <v>3317</v>
      </c>
    </row>
    <row r="19" spans="1:13" ht="15.75" thickBot="1">
      <c r="A19" s="3169">
        <v>171</v>
      </c>
      <c r="B19" s="3170" t="s">
        <v>3537</v>
      </c>
      <c r="C19" s="3170" t="s">
        <v>3524</v>
      </c>
      <c r="D19" s="3170" t="s">
        <v>3538</v>
      </c>
      <c r="E19" s="3172">
        <v>161.68</v>
      </c>
      <c r="F19" s="3173" t="s">
        <v>3387</v>
      </c>
      <c r="H19" s="3169">
        <v>155</v>
      </c>
      <c r="I19" s="3170" t="s">
        <v>3492</v>
      </c>
      <c r="J19" s="3170" t="s">
        <v>4785</v>
      </c>
      <c r="K19" s="3170" t="s">
        <v>3493</v>
      </c>
      <c r="L19" s="3172">
        <v>22.9</v>
      </c>
      <c r="M19" s="3173" t="s">
        <v>3317</v>
      </c>
    </row>
    <row r="20" spans="1:13" ht="15.75" thickBot="1">
      <c r="A20" s="3169">
        <v>172</v>
      </c>
      <c r="B20" s="3170" t="s">
        <v>3540</v>
      </c>
      <c r="C20" s="3170" t="s">
        <v>3524</v>
      </c>
      <c r="D20" s="3170" t="s">
        <v>3541</v>
      </c>
      <c r="E20" s="3172">
        <v>184.78</v>
      </c>
      <c r="F20" s="3173" t="s">
        <v>3387</v>
      </c>
      <c r="H20" s="3169">
        <v>156</v>
      </c>
      <c r="I20" s="3170" t="s">
        <v>3495</v>
      </c>
      <c r="J20" s="3170" t="s">
        <v>4785</v>
      </c>
      <c r="K20" s="3170" t="s">
        <v>3496</v>
      </c>
      <c r="L20" s="3172">
        <v>22.9</v>
      </c>
      <c r="M20" s="3173" t="s">
        <v>3317</v>
      </c>
    </row>
    <row r="21" spans="1:13" ht="15.75" thickBot="1">
      <c r="A21" s="3169">
        <v>173</v>
      </c>
      <c r="B21" s="3170" t="s">
        <v>3543</v>
      </c>
      <c r="C21" s="3170" t="s">
        <v>3524</v>
      </c>
      <c r="D21" s="3170" t="s">
        <v>3544</v>
      </c>
      <c r="E21" s="3172">
        <v>184.32</v>
      </c>
      <c r="F21" s="3173" t="s">
        <v>3387</v>
      </c>
      <c r="H21" s="3169">
        <v>157</v>
      </c>
      <c r="I21" s="3170" t="s">
        <v>3498</v>
      </c>
      <c r="J21" s="3170" t="s">
        <v>4785</v>
      </c>
      <c r="K21" s="3170" t="s">
        <v>3499</v>
      </c>
      <c r="L21" s="3172">
        <v>22.9</v>
      </c>
      <c r="M21" s="3173" t="s">
        <v>3317</v>
      </c>
    </row>
    <row r="22" spans="1:13" ht="15.75" thickBot="1">
      <c r="A22" s="3169">
        <v>174</v>
      </c>
      <c r="B22" s="3170" t="s">
        <v>3546</v>
      </c>
      <c r="C22" s="3170" t="s">
        <v>3524</v>
      </c>
      <c r="D22" s="3170" t="s">
        <v>3547</v>
      </c>
      <c r="E22" s="3172">
        <v>184.82</v>
      </c>
      <c r="F22" s="3173" t="s">
        <v>3387</v>
      </c>
      <c r="H22" s="3169">
        <v>158</v>
      </c>
      <c r="I22" s="3170" t="s">
        <v>3501</v>
      </c>
      <c r="J22" s="3170" t="s">
        <v>4785</v>
      </c>
      <c r="K22" s="3170" t="s">
        <v>3502</v>
      </c>
      <c r="L22" s="3172">
        <v>21.51</v>
      </c>
      <c r="M22" s="3173" t="s">
        <v>3317</v>
      </c>
    </row>
    <row r="23" spans="1:13" ht="15.75" thickBot="1">
      <c r="E23">
        <f>SUM(E2:E22)</f>
        <v>4943.8899999999994</v>
      </c>
      <c r="H23" s="3169">
        <v>160</v>
      </c>
      <c r="I23" s="3170" t="s">
        <v>3506</v>
      </c>
      <c r="J23" s="3170" t="s">
        <v>4785</v>
      </c>
      <c r="K23" s="3170" t="s">
        <v>3507</v>
      </c>
      <c r="L23" s="3172">
        <v>30.17</v>
      </c>
      <c r="M23" s="3173" t="s">
        <v>3317</v>
      </c>
    </row>
    <row r="24" spans="1:13" ht="15.75" thickBot="1">
      <c r="H24" s="3169">
        <v>162</v>
      </c>
      <c r="I24" s="3170" t="s">
        <v>3509</v>
      </c>
      <c r="J24" s="3170" t="s">
        <v>4785</v>
      </c>
      <c r="K24" s="3170" t="s">
        <v>3510</v>
      </c>
      <c r="L24" s="3172">
        <v>61.69</v>
      </c>
      <c r="M24" s="3173" t="s">
        <v>3317</v>
      </c>
    </row>
    <row r="25" spans="1:13" ht="15.75" thickBot="1">
      <c r="H25" s="3169">
        <v>163</v>
      </c>
      <c r="I25" s="3170" t="s">
        <v>3512</v>
      </c>
      <c r="J25" s="3170" t="s">
        <v>4785</v>
      </c>
      <c r="K25" s="3170" t="s">
        <v>3513</v>
      </c>
      <c r="L25" s="3172">
        <v>62.66</v>
      </c>
      <c r="M25" s="3173" t="s">
        <v>3317</v>
      </c>
    </row>
    <row r="26" spans="1:13" ht="15.75" thickBot="1">
      <c r="D26" s="1405" t="s">
        <v>2537</v>
      </c>
      <c r="E26">
        <f>E23</f>
        <v>4943.8899999999994</v>
      </c>
      <c r="F26" s="1405" t="s">
        <v>4883</v>
      </c>
      <c r="G26">
        <f>L29</f>
        <v>1238.9499999999998</v>
      </c>
      <c r="H26" s="3169">
        <v>164</v>
      </c>
      <c r="I26" s="3170" t="s">
        <v>3515</v>
      </c>
      <c r="J26" s="3170" t="s">
        <v>4785</v>
      </c>
      <c r="K26" s="3170" t="s">
        <v>3516</v>
      </c>
      <c r="L26" s="3172">
        <v>47.41</v>
      </c>
      <c r="M26" s="3173" t="s">
        <v>3317</v>
      </c>
    </row>
    <row r="27" spans="1:13" ht="15.75" thickBot="1">
      <c r="E27">
        <f>E131</f>
        <v>20781.320000000014</v>
      </c>
      <c r="G27">
        <f>L355</f>
        <v>11077.259999999998</v>
      </c>
      <c r="H27" s="3169">
        <v>165</v>
      </c>
      <c r="I27" s="3170" t="s">
        <v>3518</v>
      </c>
      <c r="J27" s="3170" t="s">
        <v>4785</v>
      </c>
      <c r="K27" s="3170" t="s">
        <v>3519</v>
      </c>
      <c r="L27" s="3172">
        <v>42.6</v>
      </c>
      <c r="M27" s="3173" t="s">
        <v>3317</v>
      </c>
    </row>
    <row r="28" spans="1:13" ht="15.75" thickBot="1">
      <c r="E28">
        <f>SUM(E26:E27)</f>
        <v>25725.210000000014</v>
      </c>
      <c r="G28">
        <f>SUM(G26:G27)</f>
        <v>12316.21</v>
      </c>
      <c r="H28" s="3169">
        <v>166</v>
      </c>
      <c r="I28" s="3170" t="s">
        <v>3521</v>
      </c>
      <c r="J28" s="3170" t="s">
        <v>4785</v>
      </c>
      <c r="K28" s="3170" t="s">
        <v>3522</v>
      </c>
      <c r="L28" s="3172">
        <v>23.01</v>
      </c>
      <c r="M28" s="3173" t="s">
        <v>3317</v>
      </c>
    </row>
    <row r="29" spans="1:13">
      <c r="D29" s="1405" t="s">
        <v>4884</v>
      </c>
      <c r="E29">
        <f>E28+G28</f>
        <v>38041.420000000013</v>
      </c>
      <c r="L29">
        <f>SUM(L2:L28)</f>
        <v>1238.9499999999998</v>
      </c>
    </row>
    <row r="32" spans="1:13" ht="15.75" thickBot="1">
      <c r="A32" s="3169" t="s">
        <v>3406</v>
      </c>
      <c r="B32" s="3170" t="s">
        <v>3407</v>
      </c>
      <c r="C32" s="3170" t="s">
        <v>4852</v>
      </c>
      <c r="D32" s="3170" t="s">
        <v>3408</v>
      </c>
      <c r="E32" s="3172" t="s">
        <v>3410</v>
      </c>
      <c r="F32" s="3173" t="s">
        <v>668</v>
      </c>
      <c r="H32" s="3169" t="s">
        <v>3406</v>
      </c>
      <c r="I32" s="3170" t="s">
        <v>3407</v>
      </c>
      <c r="J32" s="3170" t="s">
        <v>4852</v>
      </c>
      <c r="K32" s="3170" t="s">
        <v>3408</v>
      </c>
      <c r="L32" s="3172" t="s">
        <v>3410</v>
      </c>
      <c r="M32" s="3173" t="s">
        <v>668</v>
      </c>
    </row>
    <row r="33" spans="1:13" ht="15.75" thickBot="1">
      <c r="A33" s="3169">
        <v>198</v>
      </c>
      <c r="B33" s="3170" t="s">
        <v>3618</v>
      </c>
      <c r="C33" s="3170" t="s">
        <v>3524</v>
      </c>
      <c r="D33" s="3170" t="s">
        <v>3619</v>
      </c>
      <c r="E33" s="3172">
        <v>161.83000000000001</v>
      </c>
      <c r="F33" s="3173" t="s">
        <v>3387</v>
      </c>
      <c r="H33" s="3169">
        <v>175</v>
      </c>
      <c r="I33" s="3170" t="s">
        <v>3549</v>
      </c>
      <c r="J33" s="3170" t="s">
        <v>3524</v>
      </c>
      <c r="K33" s="3170" t="s">
        <v>3550</v>
      </c>
      <c r="L33" s="3172">
        <v>30.97</v>
      </c>
      <c r="M33" s="3173" t="s">
        <v>3317</v>
      </c>
    </row>
    <row r="34" spans="1:13" ht="15.75" thickBot="1">
      <c r="A34" s="3169">
        <v>199</v>
      </c>
      <c r="B34" s="3170" t="s">
        <v>3621</v>
      </c>
      <c r="C34" s="3170" t="s">
        <v>3524</v>
      </c>
      <c r="D34" s="3170" t="s">
        <v>3622</v>
      </c>
      <c r="E34" s="3172">
        <v>192.55</v>
      </c>
      <c r="F34" s="3173" t="s">
        <v>3387</v>
      </c>
      <c r="H34" s="3169">
        <v>176</v>
      </c>
      <c r="I34" s="3170" t="s">
        <v>3552</v>
      </c>
      <c r="J34" s="3170" t="s">
        <v>3524</v>
      </c>
      <c r="K34" s="3170" t="s">
        <v>3553</v>
      </c>
      <c r="L34" s="3172">
        <v>16.05</v>
      </c>
      <c r="M34" s="3173" t="s">
        <v>3317</v>
      </c>
    </row>
    <row r="35" spans="1:13" ht="15.75" thickBot="1">
      <c r="A35" s="3169">
        <v>200</v>
      </c>
      <c r="B35" s="3170" t="s">
        <v>3624</v>
      </c>
      <c r="C35" s="3170" t="s">
        <v>3524</v>
      </c>
      <c r="D35" s="3170" t="s">
        <v>3625</v>
      </c>
      <c r="E35" s="3172">
        <v>161.83000000000001</v>
      </c>
      <c r="F35" s="3173" t="s">
        <v>3387</v>
      </c>
      <c r="H35" s="3169">
        <v>177</v>
      </c>
      <c r="I35" s="3170" t="s">
        <v>3555</v>
      </c>
      <c r="J35" s="3170" t="s">
        <v>3524</v>
      </c>
      <c r="K35" s="3170" t="s">
        <v>3556</v>
      </c>
      <c r="L35" s="3172">
        <v>46.63</v>
      </c>
      <c r="M35" s="3173" t="s">
        <v>3317</v>
      </c>
    </row>
    <row r="36" spans="1:13" ht="15.75" thickBot="1">
      <c r="A36" s="3169">
        <v>201</v>
      </c>
      <c r="B36" s="3170" t="s">
        <v>3627</v>
      </c>
      <c r="C36" s="3170" t="s">
        <v>3524</v>
      </c>
      <c r="D36" s="3170" t="s">
        <v>3628</v>
      </c>
      <c r="E36" s="3172">
        <v>184.45</v>
      </c>
      <c r="F36" s="3173" t="s">
        <v>3387</v>
      </c>
      <c r="H36" s="3169">
        <v>178</v>
      </c>
      <c r="I36" s="3170" t="s">
        <v>3558</v>
      </c>
      <c r="J36" s="3170" t="s">
        <v>3524</v>
      </c>
      <c r="K36" s="3170" t="s">
        <v>3559</v>
      </c>
      <c r="L36" s="3172">
        <v>53.66</v>
      </c>
      <c r="M36" s="3173" t="s">
        <v>3317</v>
      </c>
    </row>
    <row r="37" spans="1:13" ht="15.75" thickBot="1">
      <c r="A37" s="3169">
        <v>202</v>
      </c>
      <c r="B37" s="3170" t="s">
        <v>3630</v>
      </c>
      <c r="C37" s="3170" t="s">
        <v>3524</v>
      </c>
      <c r="D37" s="3170" t="s">
        <v>3631</v>
      </c>
      <c r="E37" s="3172">
        <v>184.49</v>
      </c>
      <c r="F37" s="3173" t="s">
        <v>3387</v>
      </c>
      <c r="H37" s="3169">
        <v>179</v>
      </c>
      <c r="I37" s="3170" t="s">
        <v>3561</v>
      </c>
      <c r="J37" s="3170" t="s">
        <v>3524</v>
      </c>
      <c r="K37" s="3170" t="s">
        <v>3562</v>
      </c>
      <c r="L37" s="3172">
        <v>23.61</v>
      </c>
      <c r="M37" s="3173" t="s">
        <v>3317</v>
      </c>
    </row>
    <row r="38" spans="1:13" ht="15.75" thickBot="1">
      <c r="A38" s="3169">
        <v>203</v>
      </c>
      <c r="B38" s="3170" t="s">
        <v>3633</v>
      </c>
      <c r="C38" s="3170" t="s">
        <v>3524</v>
      </c>
      <c r="D38" s="3170" t="s">
        <v>3634</v>
      </c>
      <c r="E38" s="3172">
        <v>161.83000000000001</v>
      </c>
      <c r="F38" s="3173" t="s">
        <v>3387</v>
      </c>
      <c r="H38" s="3169">
        <v>180</v>
      </c>
      <c r="I38" s="3170" t="s">
        <v>3564</v>
      </c>
      <c r="J38" s="3170" t="s">
        <v>3524</v>
      </c>
      <c r="K38" s="3170" t="s">
        <v>3565</v>
      </c>
      <c r="L38" s="3172">
        <v>23.65</v>
      </c>
      <c r="M38" s="3173" t="s">
        <v>3317</v>
      </c>
    </row>
    <row r="39" spans="1:13" ht="15.75" thickBot="1">
      <c r="A39" s="3169">
        <v>204</v>
      </c>
      <c r="B39" s="3170" t="s">
        <v>3636</v>
      </c>
      <c r="C39" s="3170" t="s">
        <v>3524</v>
      </c>
      <c r="D39" s="3170" t="s">
        <v>3637</v>
      </c>
      <c r="E39" s="3172">
        <v>184.95</v>
      </c>
      <c r="F39" s="3173" t="s">
        <v>3387</v>
      </c>
      <c r="H39" s="3169">
        <v>181</v>
      </c>
      <c r="I39" s="3170" t="s">
        <v>3567</v>
      </c>
      <c r="J39" s="3170" t="s">
        <v>3524</v>
      </c>
      <c r="K39" s="3170" t="s">
        <v>3568</v>
      </c>
      <c r="L39" s="3172">
        <v>56.63</v>
      </c>
      <c r="M39" s="3173" t="s">
        <v>3317</v>
      </c>
    </row>
    <row r="40" spans="1:13" ht="15.75" thickBot="1">
      <c r="A40" s="3169">
        <v>205</v>
      </c>
      <c r="B40" s="3170" t="s">
        <v>4859</v>
      </c>
      <c r="C40" s="3170" t="s">
        <v>3524</v>
      </c>
      <c r="D40" s="3170" t="s">
        <v>3639</v>
      </c>
      <c r="E40" s="3172">
        <v>184.49</v>
      </c>
      <c r="F40" s="3173" t="s">
        <v>3387</v>
      </c>
      <c r="H40" s="3169">
        <v>182</v>
      </c>
      <c r="I40" s="3170" t="s">
        <v>3570</v>
      </c>
      <c r="J40" s="3170" t="s">
        <v>3524</v>
      </c>
      <c r="K40" s="3170" t="s">
        <v>3571</v>
      </c>
      <c r="L40" s="3172">
        <v>41.07</v>
      </c>
      <c r="M40" s="3173" t="s">
        <v>3317</v>
      </c>
    </row>
    <row r="41" spans="1:13" ht="15.75" thickBot="1">
      <c r="A41" s="3169">
        <v>206</v>
      </c>
      <c r="B41" s="3170" t="s">
        <v>4860</v>
      </c>
      <c r="C41" s="3170" t="s">
        <v>3524</v>
      </c>
      <c r="D41" s="3170" t="s">
        <v>3641</v>
      </c>
      <c r="E41" s="3172">
        <v>184.99</v>
      </c>
      <c r="F41" s="3173" t="s">
        <v>3387</v>
      </c>
      <c r="H41" s="3169">
        <v>183</v>
      </c>
      <c r="I41" s="3170" t="s">
        <v>3573</v>
      </c>
      <c r="J41" s="3170" t="s">
        <v>3524</v>
      </c>
      <c r="K41" s="3170" t="s">
        <v>3574</v>
      </c>
      <c r="L41" s="3172">
        <v>23.65</v>
      </c>
      <c r="M41" s="3173" t="s">
        <v>3317</v>
      </c>
    </row>
    <row r="42" spans="1:13" ht="15.75" thickBot="1">
      <c r="A42" s="3169">
        <v>207</v>
      </c>
      <c r="B42" s="3170" t="s">
        <v>3643</v>
      </c>
      <c r="C42" s="3170" t="s">
        <v>3524</v>
      </c>
      <c r="D42" s="3170" t="s">
        <v>3644</v>
      </c>
      <c r="E42" s="3172">
        <v>184.49</v>
      </c>
      <c r="F42" s="3173" t="s">
        <v>3387</v>
      </c>
      <c r="H42" s="3169">
        <v>184</v>
      </c>
      <c r="I42" s="3170" t="s">
        <v>3576</v>
      </c>
      <c r="J42" s="3170" t="s">
        <v>3524</v>
      </c>
      <c r="K42" s="3170" t="s">
        <v>3577</v>
      </c>
      <c r="L42" s="3172">
        <v>23.61</v>
      </c>
      <c r="M42" s="3173" t="s">
        <v>3317</v>
      </c>
    </row>
    <row r="43" spans="1:13" ht="15.75" thickBot="1">
      <c r="A43" s="3169">
        <v>208</v>
      </c>
      <c r="B43" s="3170" t="s">
        <v>3646</v>
      </c>
      <c r="C43" s="3170" t="s">
        <v>3524</v>
      </c>
      <c r="D43" s="3170" t="s">
        <v>3647</v>
      </c>
      <c r="E43" s="3172">
        <v>184.49</v>
      </c>
      <c r="F43" s="3173" t="s">
        <v>3387</v>
      </c>
      <c r="H43" s="3169">
        <v>185</v>
      </c>
      <c r="I43" s="3170" t="s">
        <v>3579</v>
      </c>
      <c r="J43" s="3170" t="s">
        <v>3524</v>
      </c>
      <c r="K43" s="3170" t="s">
        <v>3580</v>
      </c>
      <c r="L43" s="3172">
        <v>49.57</v>
      </c>
      <c r="M43" s="3173" t="s">
        <v>3317</v>
      </c>
    </row>
    <row r="44" spans="1:13" ht="15.75" thickBot="1">
      <c r="A44" s="3169">
        <v>236</v>
      </c>
      <c r="B44" s="3170" t="s">
        <v>3730</v>
      </c>
      <c r="C44" s="3170" t="s">
        <v>3524</v>
      </c>
      <c r="D44" s="3170" t="s">
        <v>3731</v>
      </c>
      <c r="E44" s="3172">
        <v>168.11</v>
      </c>
      <c r="F44" s="3173" t="s">
        <v>3387</v>
      </c>
      <c r="H44" s="3169">
        <v>186</v>
      </c>
      <c r="I44" s="3170" t="s">
        <v>3582</v>
      </c>
      <c r="J44" s="3170" t="s">
        <v>3524</v>
      </c>
      <c r="K44" s="3170" t="s">
        <v>3583</v>
      </c>
      <c r="L44" s="3172">
        <v>47.94</v>
      </c>
      <c r="M44" s="3173" t="s">
        <v>3317</v>
      </c>
    </row>
    <row r="45" spans="1:13" ht="15.75" thickBot="1">
      <c r="A45" s="3169">
        <v>248</v>
      </c>
      <c r="B45" s="3170" t="s">
        <v>3766</v>
      </c>
      <c r="C45" s="3170" t="s">
        <v>3524</v>
      </c>
      <c r="D45" s="3170" t="s">
        <v>3767</v>
      </c>
      <c r="E45" s="3172">
        <v>192.38</v>
      </c>
      <c r="F45" s="3173" t="s">
        <v>3387</v>
      </c>
      <c r="H45" s="3169">
        <v>187</v>
      </c>
      <c r="I45" s="3170" t="s">
        <v>3585</v>
      </c>
      <c r="J45" s="3170" t="s">
        <v>3524</v>
      </c>
      <c r="K45" s="3170" t="s">
        <v>3586</v>
      </c>
      <c r="L45" s="3172">
        <v>22.6</v>
      </c>
      <c r="M45" s="3173" t="s">
        <v>3317</v>
      </c>
    </row>
    <row r="46" spans="1:13" ht="15.75" thickBot="1">
      <c r="A46" s="3169">
        <v>249</v>
      </c>
      <c r="B46" s="3170" t="s">
        <v>4861</v>
      </c>
      <c r="C46" s="3170" t="s">
        <v>3524</v>
      </c>
      <c r="D46" s="3170" t="s">
        <v>3769</v>
      </c>
      <c r="E46" s="3172">
        <v>192.4</v>
      </c>
      <c r="F46" s="3173" t="s">
        <v>3387</v>
      </c>
      <c r="H46" s="3169">
        <v>188</v>
      </c>
      <c r="I46" s="3170" t="s">
        <v>3588</v>
      </c>
      <c r="J46" s="3170" t="s">
        <v>3524</v>
      </c>
      <c r="K46" s="3170" t="s">
        <v>3589</v>
      </c>
      <c r="L46" s="3172">
        <v>27.96</v>
      </c>
      <c r="M46" s="3173" t="s">
        <v>3317</v>
      </c>
    </row>
    <row r="47" spans="1:13" ht="15.75" thickBot="1">
      <c r="A47" s="3169">
        <v>250</v>
      </c>
      <c r="B47" s="3170" t="s">
        <v>3771</v>
      </c>
      <c r="C47" s="3170" t="s">
        <v>3524</v>
      </c>
      <c r="D47" s="3170" t="s">
        <v>3772</v>
      </c>
      <c r="E47" s="3172">
        <v>192.4</v>
      </c>
      <c r="F47" s="3173" t="s">
        <v>3387</v>
      </c>
      <c r="H47" s="3169">
        <v>189</v>
      </c>
      <c r="I47" s="3170" t="s">
        <v>3591</v>
      </c>
      <c r="J47" s="3170" t="s">
        <v>3524</v>
      </c>
      <c r="K47" s="3170" t="s">
        <v>3592</v>
      </c>
      <c r="L47" s="3172">
        <v>27.55</v>
      </c>
      <c r="M47" s="3173" t="s">
        <v>3317</v>
      </c>
    </row>
    <row r="48" spans="1:13" ht="15.75" thickBot="1">
      <c r="A48" s="3169">
        <v>251</v>
      </c>
      <c r="B48" s="3170" t="s">
        <v>3774</v>
      </c>
      <c r="C48" s="3170" t="s">
        <v>3524</v>
      </c>
      <c r="D48" s="3170" t="s">
        <v>3775</v>
      </c>
      <c r="E48" s="3172">
        <v>184.35</v>
      </c>
      <c r="F48" s="3173" t="s">
        <v>3387</v>
      </c>
      <c r="H48" s="3169">
        <v>190</v>
      </c>
      <c r="I48" s="3170" t="s">
        <v>3594</v>
      </c>
      <c r="J48" s="3170" t="s">
        <v>3524</v>
      </c>
      <c r="K48" s="3170" t="s">
        <v>3595</v>
      </c>
      <c r="L48" s="3172">
        <v>19.11</v>
      </c>
      <c r="M48" s="3173" t="s">
        <v>3317</v>
      </c>
    </row>
    <row r="49" spans="1:13" ht="15.75" thickBot="1">
      <c r="A49" s="3169">
        <v>252</v>
      </c>
      <c r="B49" s="3170" t="s">
        <v>3777</v>
      </c>
      <c r="C49" s="3170" t="s">
        <v>3524</v>
      </c>
      <c r="D49" s="3170" t="s">
        <v>3778</v>
      </c>
      <c r="E49" s="3172">
        <v>167.95</v>
      </c>
      <c r="F49" s="3173" t="s">
        <v>3387</v>
      </c>
      <c r="H49" s="3169">
        <v>191</v>
      </c>
      <c r="I49" s="3170" t="s">
        <v>3597</v>
      </c>
      <c r="J49" s="3170" t="s">
        <v>3524</v>
      </c>
      <c r="K49" s="3170" t="s">
        <v>3598</v>
      </c>
      <c r="L49" s="3172">
        <v>19.11</v>
      </c>
      <c r="M49" s="3173" t="s">
        <v>3317</v>
      </c>
    </row>
    <row r="50" spans="1:13" ht="15.75" thickBot="1">
      <c r="A50" s="3169">
        <v>267</v>
      </c>
      <c r="B50" s="3170" t="s">
        <v>4862</v>
      </c>
      <c r="C50" s="3170" t="s">
        <v>3524</v>
      </c>
      <c r="D50" s="3170" t="s">
        <v>3822</v>
      </c>
      <c r="E50" s="3172">
        <v>184.92</v>
      </c>
      <c r="F50" s="3173" t="s">
        <v>3387</v>
      </c>
      <c r="H50" s="3169">
        <v>192</v>
      </c>
      <c r="I50" s="3170" t="s">
        <v>3600</v>
      </c>
      <c r="J50" s="3170" t="s">
        <v>3524</v>
      </c>
      <c r="K50" s="3170" t="s">
        <v>3601</v>
      </c>
      <c r="L50" s="3172">
        <v>27.55</v>
      </c>
      <c r="M50" s="3173" t="s">
        <v>3317</v>
      </c>
    </row>
    <row r="51" spans="1:13" ht="15.75" thickBot="1">
      <c r="A51" s="3169">
        <v>268</v>
      </c>
      <c r="B51" s="3170" t="s">
        <v>4863</v>
      </c>
      <c r="C51" s="3170" t="s">
        <v>3524</v>
      </c>
      <c r="D51" s="3170" t="s">
        <v>3824</v>
      </c>
      <c r="E51" s="3172">
        <v>168.05</v>
      </c>
      <c r="F51" s="3173" t="s">
        <v>3387</v>
      </c>
      <c r="H51" s="3169">
        <v>193</v>
      </c>
      <c r="I51" s="3170" t="s">
        <v>3603</v>
      </c>
      <c r="J51" s="3170" t="s">
        <v>3524</v>
      </c>
      <c r="K51" s="3170" t="s">
        <v>3604</v>
      </c>
      <c r="L51" s="3172">
        <v>15.83</v>
      </c>
      <c r="M51" s="3173" t="s">
        <v>3317</v>
      </c>
    </row>
    <row r="52" spans="1:13" ht="15.75" thickBot="1">
      <c r="A52" s="3169">
        <v>269</v>
      </c>
      <c r="B52" s="3170" t="s">
        <v>4864</v>
      </c>
      <c r="C52" s="3170" t="s">
        <v>3524</v>
      </c>
      <c r="D52" s="3170" t="s">
        <v>3826</v>
      </c>
      <c r="E52" s="3172">
        <v>184.96</v>
      </c>
      <c r="F52" s="3173" t="s">
        <v>3387</v>
      </c>
      <c r="H52" s="3169">
        <v>194</v>
      </c>
      <c r="I52" s="3170" t="s">
        <v>3606</v>
      </c>
      <c r="J52" s="3170" t="s">
        <v>3524</v>
      </c>
      <c r="K52" s="3170" t="s">
        <v>3607</v>
      </c>
      <c r="L52" s="3172">
        <v>18.32</v>
      </c>
      <c r="M52" s="3173" t="s">
        <v>3317</v>
      </c>
    </row>
    <row r="53" spans="1:13" ht="15.75" thickBot="1">
      <c r="A53" s="3169">
        <v>284</v>
      </c>
      <c r="B53" s="3170" t="s">
        <v>3870</v>
      </c>
      <c r="C53" s="3170" t="s">
        <v>3524</v>
      </c>
      <c r="D53" s="3170" t="s">
        <v>3871</v>
      </c>
      <c r="E53" s="3172">
        <v>168.04</v>
      </c>
      <c r="F53" s="3173" t="s">
        <v>3387</v>
      </c>
      <c r="H53" s="3169">
        <v>195</v>
      </c>
      <c r="I53" s="3170" t="s">
        <v>3609</v>
      </c>
      <c r="J53" s="3170" t="s">
        <v>3524</v>
      </c>
      <c r="K53" s="3170" t="s">
        <v>3610</v>
      </c>
      <c r="L53" s="3172">
        <v>16.329999999999998</v>
      </c>
      <c r="M53" s="3173" t="s">
        <v>3317</v>
      </c>
    </row>
    <row r="54" spans="1:13" ht="15.75" thickBot="1">
      <c r="A54" s="3169">
        <v>285</v>
      </c>
      <c r="B54" s="3170" t="s">
        <v>3873</v>
      </c>
      <c r="C54" s="3170" t="s">
        <v>3524</v>
      </c>
      <c r="D54" s="3170" t="s">
        <v>3874</v>
      </c>
      <c r="E54" s="3172">
        <v>168.04</v>
      </c>
      <c r="F54" s="3173" t="s">
        <v>3387</v>
      </c>
      <c r="H54" s="3169">
        <v>196</v>
      </c>
      <c r="I54" s="3170" t="s">
        <v>3612</v>
      </c>
      <c r="J54" s="3170" t="s">
        <v>3524</v>
      </c>
      <c r="K54" s="3170" t="s">
        <v>3613</v>
      </c>
      <c r="L54" s="3172">
        <v>12.38</v>
      </c>
      <c r="M54" s="3173" t="s">
        <v>3317</v>
      </c>
    </row>
    <row r="55" spans="1:13" ht="15.75" thickBot="1">
      <c r="A55" s="3169">
        <v>286</v>
      </c>
      <c r="B55" s="3170" t="s">
        <v>3876</v>
      </c>
      <c r="C55" s="3170" t="s">
        <v>3524</v>
      </c>
      <c r="D55" s="3170" t="s">
        <v>3877</v>
      </c>
      <c r="E55" s="3172">
        <v>168.04</v>
      </c>
      <c r="F55" s="3173" t="s">
        <v>3387</v>
      </c>
      <c r="H55" s="3169">
        <v>197</v>
      </c>
      <c r="I55" s="3170" t="s">
        <v>3615</v>
      </c>
      <c r="J55" s="3170" t="s">
        <v>3524</v>
      </c>
      <c r="K55" s="3170" t="s">
        <v>3616</v>
      </c>
      <c r="L55" s="3172">
        <v>17.010000000000002</v>
      </c>
      <c r="M55" s="3173" t="s">
        <v>3317</v>
      </c>
    </row>
    <row r="56" spans="1:13" ht="15.75" thickBot="1">
      <c r="A56" s="3169">
        <v>304</v>
      </c>
      <c r="B56" s="3170" t="s">
        <v>3930</v>
      </c>
      <c r="C56" s="3170" t="s">
        <v>3524</v>
      </c>
      <c r="D56" s="3170" t="s">
        <v>3931</v>
      </c>
      <c r="E56" s="3172">
        <v>192.5</v>
      </c>
      <c r="F56" s="3173" t="s">
        <v>3387</v>
      </c>
      <c r="H56" s="3169">
        <v>209</v>
      </c>
      <c r="I56" s="3170" t="s">
        <v>3649</v>
      </c>
      <c r="J56" s="3170" t="s">
        <v>3524</v>
      </c>
      <c r="K56" s="3170" t="s">
        <v>3650</v>
      </c>
      <c r="L56" s="3172">
        <v>56.8</v>
      </c>
      <c r="M56" s="3173" t="s">
        <v>3317</v>
      </c>
    </row>
    <row r="57" spans="1:13" ht="15.75" thickBot="1">
      <c r="A57" s="3169">
        <v>305</v>
      </c>
      <c r="B57" s="3170" t="s">
        <v>3933</v>
      </c>
      <c r="C57" s="3170" t="s">
        <v>3524</v>
      </c>
      <c r="D57" s="3170" t="s">
        <v>3934</v>
      </c>
      <c r="E57" s="3172">
        <v>161.81</v>
      </c>
      <c r="F57" s="3173" t="s">
        <v>3387</v>
      </c>
      <c r="H57" s="3169">
        <v>210</v>
      </c>
      <c r="I57" s="3170" t="s">
        <v>3652</v>
      </c>
      <c r="J57" s="3170" t="s">
        <v>3524</v>
      </c>
      <c r="K57" s="3170" t="s">
        <v>3653</v>
      </c>
      <c r="L57" s="3172">
        <v>41.51</v>
      </c>
      <c r="M57" s="3173" t="s">
        <v>3317</v>
      </c>
    </row>
    <row r="58" spans="1:13" ht="15.75" thickBot="1">
      <c r="A58" s="3169">
        <v>306</v>
      </c>
      <c r="B58" s="3170" t="s">
        <v>4865</v>
      </c>
      <c r="C58" s="3170" t="s">
        <v>3524</v>
      </c>
      <c r="D58" s="3170" t="s">
        <v>3936</v>
      </c>
      <c r="E58" s="3172">
        <v>192.52</v>
      </c>
      <c r="F58" s="3173" t="s">
        <v>3387</v>
      </c>
      <c r="H58" s="3169">
        <v>211</v>
      </c>
      <c r="I58" s="3170" t="s">
        <v>3655</v>
      </c>
      <c r="J58" s="3170" t="s">
        <v>3524</v>
      </c>
      <c r="K58" s="3170" t="s">
        <v>3656</v>
      </c>
      <c r="L58" s="3172">
        <v>41.51</v>
      </c>
      <c r="M58" s="3173" t="s">
        <v>3317</v>
      </c>
    </row>
    <row r="59" spans="1:13" ht="15.75" thickBot="1">
      <c r="A59" s="3169">
        <v>307</v>
      </c>
      <c r="B59" s="3170" t="s">
        <v>4866</v>
      </c>
      <c r="C59" s="3170" t="s">
        <v>3524</v>
      </c>
      <c r="D59" s="3170" t="s">
        <v>3938</v>
      </c>
      <c r="E59" s="3172">
        <v>184.46</v>
      </c>
      <c r="F59" s="3173" t="s">
        <v>3387</v>
      </c>
      <c r="H59" s="3169">
        <v>212</v>
      </c>
      <c r="I59" s="3170" t="s">
        <v>3658</v>
      </c>
      <c r="J59" s="3170" t="s">
        <v>3524</v>
      </c>
      <c r="K59" s="3170" t="s">
        <v>3659</v>
      </c>
      <c r="L59" s="3172">
        <v>56.8</v>
      </c>
      <c r="M59" s="3173" t="s">
        <v>3317</v>
      </c>
    </row>
    <row r="60" spans="1:13" ht="15.75" thickBot="1">
      <c r="A60" s="3169">
        <v>308</v>
      </c>
      <c r="B60" s="3170" t="s">
        <v>3940</v>
      </c>
      <c r="C60" s="3170" t="s">
        <v>3524</v>
      </c>
      <c r="D60" s="3170" t="s">
        <v>3941</v>
      </c>
      <c r="E60" s="3172">
        <v>192.52</v>
      </c>
      <c r="F60" s="3173" t="s">
        <v>3387</v>
      </c>
      <c r="H60" s="3169">
        <v>213</v>
      </c>
      <c r="I60" s="3170" t="s">
        <v>3661</v>
      </c>
      <c r="J60" s="3170" t="s">
        <v>3524</v>
      </c>
      <c r="K60" s="3170" t="s">
        <v>3662</v>
      </c>
      <c r="L60" s="3172">
        <v>23.72</v>
      </c>
      <c r="M60" s="3173" t="s">
        <v>3317</v>
      </c>
    </row>
    <row r="61" spans="1:13" ht="15.75" thickBot="1">
      <c r="A61" s="3169">
        <v>309</v>
      </c>
      <c r="B61" s="3170" t="s">
        <v>3943</v>
      </c>
      <c r="C61" s="3170" t="s">
        <v>3524</v>
      </c>
      <c r="D61" s="3170" t="s">
        <v>3944</v>
      </c>
      <c r="E61" s="3172">
        <v>192.52</v>
      </c>
      <c r="F61" s="3173" t="s">
        <v>3387</v>
      </c>
      <c r="H61" s="3169">
        <v>214</v>
      </c>
      <c r="I61" s="3170" t="s">
        <v>3664</v>
      </c>
      <c r="J61" s="3170" t="s">
        <v>3524</v>
      </c>
      <c r="K61" s="3170" t="s">
        <v>3665</v>
      </c>
      <c r="L61" s="3172">
        <v>23.69</v>
      </c>
      <c r="M61" s="3173" t="s">
        <v>3317</v>
      </c>
    </row>
    <row r="62" spans="1:13" ht="15.75" thickBot="1">
      <c r="A62" s="3169">
        <v>310</v>
      </c>
      <c r="B62" s="3170" t="s">
        <v>3946</v>
      </c>
      <c r="C62" s="3170" t="s">
        <v>3524</v>
      </c>
      <c r="D62" s="3170" t="s">
        <v>3947</v>
      </c>
      <c r="E62" s="3172">
        <v>184.46</v>
      </c>
      <c r="F62" s="3173" t="s">
        <v>3387</v>
      </c>
      <c r="H62" s="3169">
        <v>215</v>
      </c>
      <c r="I62" s="3170" t="s">
        <v>3667</v>
      </c>
      <c r="J62" s="3170" t="s">
        <v>3524</v>
      </c>
      <c r="K62" s="3170" t="s">
        <v>3668</v>
      </c>
      <c r="L62" s="3172">
        <v>56.76</v>
      </c>
      <c r="M62" s="3173" t="s">
        <v>3317</v>
      </c>
    </row>
    <row r="63" spans="1:13" ht="15.75" thickBot="1">
      <c r="A63" s="3169">
        <v>311</v>
      </c>
      <c r="B63" s="3170" t="s">
        <v>3949</v>
      </c>
      <c r="C63" s="3170" t="s">
        <v>3524</v>
      </c>
      <c r="D63" s="3170" t="s">
        <v>3950</v>
      </c>
      <c r="E63" s="3172">
        <v>161.81</v>
      </c>
      <c r="F63" s="3173" t="s">
        <v>3387</v>
      </c>
      <c r="H63" s="3169">
        <v>216</v>
      </c>
      <c r="I63" s="3170" t="s">
        <v>3670</v>
      </c>
      <c r="J63" s="3170" t="s">
        <v>3524</v>
      </c>
      <c r="K63" s="3170" t="s">
        <v>3671</v>
      </c>
      <c r="L63" s="3172">
        <v>41.2</v>
      </c>
      <c r="M63" s="3173" t="s">
        <v>3317</v>
      </c>
    </row>
    <row r="64" spans="1:13" ht="15.75" thickBot="1">
      <c r="A64" s="3169">
        <v>312</v>
      </c>
      <c r="B64" s="3170" t="s">
        <v>3952</v>
      </c>
      <c r="C64" s="3170" t="s">
        <v>3524</v>
      </c>
      <c r="D64" s="3170" t="s">
        <v>3953</v>
      </c>
      <c r="E64" s="3172">
        <v>184.92</v>
      </c>
      <c r="F64" s="3173" t="s">
        <v>3387</v>
      </c>
      <c r="H64" s="3169">
        <v>217</v>
      </c>
      <c r="I64" s="3170" t="s">
        <v>3673</v>
      </c>
      <c r="J64" s="3170" t="s">
        <v>3524</v>
      </c>
      <c r="K64" s="3170" t="s">
        <v>3674</v>
      </c>
      <c r="L64" s="3172">
        <v>41.2</v>
      </c>
      <c r="M64" s="3173" t="s">
        <v>3317</v>
      </c>
    </row>
    <row r="65" spans="1:13" ht="15.75" thickBot="1">
      <c r="A65" s="3169">
        <v>313</v>
      </c>
      <c r="B65" s="3170" t="s">
        <v>3955</v>
      </c>
      <c r="C65" s="3170" t="s">
        <v>3524</v>
      </c>
      <c r="D65" s="3170" t="s">
        <v>3956</v>
      </c>
      <c r="E65" s="3172">
        <v>184.46</v>
      </c>
      <c r="F65" s="3173" t="s">
        <v>3387</v>
      </c>
      <c r="H65" s="3169">
        <v>218</v>
      </c>
      <c r="I65" s="3170" t="s">
        <v>3676</v>
      </c>
      <c r="J65" s="3170" t="s">
        <v>3524</v>
      </c>
      <c r="K65" s="3170" t="s">
        <v>3677</v>
      </c>
      <c r="L65" s="3172">
        <v>23.72</v>
      </c>
      <c r="M65" s="3173" t="s">
        <v>3317</v>
      </c>
    </row>
    <row r="66" spans="1:13" ht="15.75" thickBot="1">
      <c r="A66" s="3169">
        <v>335</v>
      </c>
      <c r="B66" s="3170" t="s">
        <v>4021</v>
      </c>
      <c r="C66" s="3170" t="s">
        <v>3524</v>
      </c>
      <c r="D66" s="3170" t="s">
        <v>4022</v>
      </c>
      <c r="E66" s="3172">
        <v>184.9</v>
      </c>
      <c r="F66" s="3173" t="s">
        <v>3387</v>
      </c>
      <c r="H66" s="3169">
        <v>219</v>
      </c>
      <c r="I66" s="3170" t="s">
        <v>3679</v>
      </c>
      <c r="J66" s="3170" t="s">
        <v>3524</v>
      </c>
      <c r="K66" s="3170" t="s">
        <v>3680</v>
      </c>
      <c r="L66" s="3172">
        <v>23.69</v>
      </c>
      <c r="M66" s="3173" t="s">
        <v>3317</v>
      </c>
    </row>
    <row r="67" spans="1:13" ht="15.75" thickBot="1">
      <c r="A67" s="3169">
        <v>336</v>
      </c>
      <c r="B67" s="3170" t="s">
        <v>4024</v>
      </c>
      <c r="C67" s="3170" t="s">
        <v>3524</v>
      </c>
      <c r="D67" s="3170" t="s">
        <v>4025</v>
      </c>
      <c r="E67" s="3172">
        <v>184.94</v>
      </c>
      <c r="F67" s="3173" t="s">
        <v>3387</v>
      </c>
      <c r="H67" s="3169">
        <v>220</v>
      </c>
      <c r="I67" s="3170" t="s">
        <v>3682</v>
      </c>
      <c r="J67" s="3170" t="s">
        <v>3524</v>
      </c>
      <c r="K67" s="3170" t="s">
        <v>3683</v>
      </c>
      <c r="L67" s="3172">
        <v>49.72</v>
      </c>
      <c r="M67" s="3173" t="s">
        <v>3317</v>
      </c>
    </row>
    <row r="68" spans="1:13" ht="15.75" thickBot="1">
      <c r="A68" s="3169">
        <v>337</v>
      </c>
      <c r="B68" s="3170" t="s">
        <v>4027</v>
      </c>
      <c r="C68" s="3170" t="s">
        <v>3524</v>
      </c>
      <c r="D68" s="3170" t="s">
        <v>4028</v>
      </c>
      <c r="E68" s="3172">
        <v>161.79</v>
      </c>
      <c r="F68" s="3173" t="s">
        <v>3387</v>
      </c>
      <c r="H68" s="3169">
        <v>221</v>
      </c>
      <c r="I68" s="3170" t="s">
        <v>3685</v>
      </c>
      <c r="J68" s="3170" t="s">
        <v>3524</v>
      </c>
      <c r="K68" s="3170" t="s">
        <v>3686</v>
      </c>
      <c r="L68" s="3172">
        <v>48.09</v>
      </c>
      <c r="M68" s="3173" t="s">
        <v>3317</v>
      </c>
    </row>
    <row r="69" spans="1:13" ht="15.75" thickBot="1">
      <c r="A69" s="3169">
        <v>351</v>
      </c>
      <c r="B69" s="3170" t="s">
        <v>4069</v>
      </c>
      <c r="C69" s="3170" t="s">
        <v>3524</v>
      </c>
      <c r="D69" s="3170" t="s">
        <v>4070</v>
      </c>
      <c r="E69" s="3172">
        <v>168.09</v>
      </c>
      <c r="F69" s="3173" t="s">
        <v>3387</v>
      </c>
      <c r="H69" s="3169">
        <v>222</v>
      </c>
      <c r="I69" s="3170" t="s">
        <v>3688</v>
      </c>
      <c r="J69" s="3170" t="s">
        <v>3524</v>
      </c>
      <c r="K69" s="3170" t="s">
        <v>3689</v>
      </c>
      <c r="L69" s="3172">
        <v>22.84</v>
      </c>
      <c r="M69" s="3173" t="s">
        <v>3317</v>
      </c>
    </row>
    <row r="70" spans="1:13" ht="15.75" thickBot="1">
      <c r="A70" s="3169">
        <v>363</v>
      </c>
      <c r="B70" s="3170" t="s">
        <v>4105</v>
      </c>
      <c r="C70" s="3170" t="s">
        <v>3524</v>
      </c>
      <c r="D70" s="3170" t="s">
        <v>4106</v>
      </c>
      <c r="E70" s="3172">
        <v>210.98</v>
      </c>
      <c r="F70" s="3173" t="s">
        <v>3387</v>
      </c>
      <c r="H70" s="3169">
        <v>223</v>
      </c>
      <c r="I70" s="3170" t="s">
        <v>3691</v>
      </c>
      <c r="J70" s="3170" t="s">
        <v>3524</v>
      </c>
      <c r="K70" s="3170" t="s">
        <v>3692</v>
      </c>
      <c r="L70" s="3172">
        <v>28.04</v>
      </c>
      <c r="M70" s="3173" t="s">
        <v>3317</v>
      </c>
    </row>
    <row r="71" spans="1:13" ht="15.75" thickBot="1">
      <c r="A71" s="3169">
        <v>364</v>
      </c>
      <c r="B71" s="3170" t="s">
        <v>4867</v>
      </c>
      <c r="C71" s="3170" t="s">
        <v>3524</v>
      </c>
      <c r="D71" s="3170" t="s">
        <v>4108</v>
      </c>
      <c r="E71" s="3172">
        <v>221.84</v>
      </c>
      <c r="F71" s="3173" t="s">
        <v>3387</v>
      </c>
      <c r="H71" s="3169">
        <v>224</v>
      </c>
      <c r="I71" s="3170" t="s">
        <v>3694</v>
      </c>
      <c r="J71" s="3170" t="s">
        <v>3524</v>
      </c>
      <c r="K71" s="3170" t="s">
        <v>3695</v>
      </c>
      <c r="L71" s="3172">
        <v>27.64</v>
      </c>
      <c r="M71" s="3173" t="s">
        <v>3317</v>
      </c>
    </row>
    <row r="72" spans="1:13" ht="15.75" thickBot="1">
      <c r="A72" s="3169">
        <v>365</v>
      </c>
      <c r="B72" s="3170" t="s">
        <v>4110</v>
      </c>
      <c r="C72" s="3170" t="s">
        <v>3524</v>
      </c>
      <c r="D72" s="3170" t="s">
        <v>4111</v>
      </c>
      <c r="E72" s="3172">
        <v>221.84</v>
      </c>
      <c r="F72" s="3173" t="s">
        <v>3387</v>
      </c>
      <c r="H72" s="3169">
        <v>225</v>
      </c>
      <c r="I72" s="3170" t="s">
        <v>3697</v>
      </c>
      <c r="J72" s="3170" t="s">
        <v>3524</v>
      </c>
      <c r="K72" s="3170" t="s">
        <v>3698</v>
      </c>
      <c r="L72" s="3172">
        <v>19.170000000000002</v>
      </c>
      <c r="M72" s="3173" t="s">
        <v>3317</v>
      </c>
    </row>
    <row r="73" spans="1:13" ht="15.75" thickBot="1">
      <c r="A73" s="3169">
        <v>366</v>
      </c>
      <c r="B73" s="3170" t="s">
        <v>4113</v>
      </c>
      <c r="C73" s="3170" t="s">
        <v>3524</v>
      </c>
      <c r="D73" s="3170" t="s">
        <v>4114</v>
      </c>
      <c r="E73" s="3172">
        <v>210.98</v>
      </c>
      <c r="F73" s="3173" t="s">
        <v>3387</v>
      </c>
      <c r="H73" s="3169">
        <v>226</v>
      </c>
      <c r="I73" s="3170" t="s">
        <v>3700</v>
      </c>
      <c r="J73" s="3170" t="s">
        <v>3524</v>
      </c>
      <c r="K73" s="3170" t="s">
        <v>3701</v>
      </c>
      <c r="L73" s="3172">
        <v>19.170000000000002</v>
      </c>
      <c r="M73" s="3173" t="s">
        <v>3317</v>
      </c>
    </row>
    <row r="74" spans="1:13" ht="15.75" thickBot="1">
      <c r="A74" s="3169">
        <v>367</v>
      </c>
      <c r="B74" s="3170" t="s">
        <v>4116</v>
      </c>
      <c r="C74" s="3170" t="s">
        <v>3524</v>
      </c>
      <c r="D74" s="3170" t="s">
        <v>4117</v>
      </c>
      <c r="E74" s="3172">
        <v>210.98</v>
      </c>
      <c r="F74" s="3173" t="s">
        <v>3387</v>
      </c>
      <c r="H74" s="3169">
        <v>227</v>
      </c>
      <c r="I74" s="3170" t="s">
        <v>3703</v>
      </c>
      <c r="J74" s="3170" t="s">
        <v>3524</v>
      </c>
      <c r="K74" s="3170" t="s">
        <v>3704</v>
      </c>
      <c r="L74" s="3172">
        <v>27.82</v>
      </c>
      <c r="M74" s="3173" t="s">
        <v>3317</v>
      </c>
    </row>
    <row r="75" spans="1:13" ht="15.75" thickBot="1">
      <c r="A75" s="3169">
        <v>368</v>
      </c>
      <c r="B75" s="3170" t="s">
        <v>4868</v>
      </c>
      <c r="C75" s="3170" t="s">
        <v>3524</v>
      </c>
      <c r="D75" s="3170" t="s">
        <v>4119</v>
      </c>
      <c r="E75" s="3172">
        <v>221.84</v>
      </c>
      <c r="F75" s="3173" t="s">
        <v>3387</v>
      </c>
      <c r="H75" s="3169">
        <v>228</v>
      </c>
      <c r="I75" s="3170" t="s">
        <v>3706</v>
      </c>
      <c r="J75" s="3170" t="s">
        <v>3524</v>
      </c>
      <c r="K75" s="3170" t="s">
        <v>3707</v>
      </c>
      <c r="L75" s="3172">
        <v>27.64</v>
      </c>
      <c r="M75" s="3173" t="s">
        <v>3317</v>
      </c>
    </row>
    <row r="76" spans="1:13" ht="15.75" thickBot="1">
      <c r="A76" s="3169">
        <v>369</v>
      </c>
      <c r="B76" s="3170" t="s">
        <v>4869</v>
      </c>
      <c r="C76" s="3170" t="s">
        <v>3524</v>
      </c>
      <c r="D76" s="3170" t="s">
        <v>4121</v>
      </c>
      <c r="E76" s="3172">
        <v>221.84</v>
      </c>
      <c r="F76" s="3173" t="s">
        <v>3387</v>
      </c>
      <c r="H76" s="3169">
        <v>229</v>
      </c>
      <c r="I76" s="3170" t="s">
        <v>3709</v>
      </c>
      <c r="J76" s="3170" t="s">
        <v>3524</v>
      </c>
      <c r="K76" s="3170" t="s">
        <v>3710</v>
      </c>
      <c r="L76" s="3172">
        <v>19.809999999999999</v>
      </c>
      <c r="M76" s="3173" t="s">
        <v>3317</v>
      </c>
    </row>
    <row r="77" spans="1:13" ht="15.75" thickBot="1">
      <c r="A77" s="3169">
        <v>370</v>
      </c>
      <c r="B77" s="3170" t="s">
        <v>4123</v>
      </c>
      <c r="C77" s="3170" t="s">
        <v>3524</v>
      </c>
      <c r="D77" s="3170" t="s">
        <v>4124</v>
      </c>
      <c r="E77" s="3172">
        <v>221.84</v>
      </c>
      <c r="F77" s="3173" t="s">
        <v>3387</v>
      </c>
      <c r="H77" s="3169">
        <v>230</v>
      </c>
      <c r="I77" s="3170" t="s">
        <v>3712</v>
      </c>
      <c r="J77" s="3170" t="s">
        <v>3524</v>
      </c>
      <c r="K77" s="3170" t="s">
        <v>3713</v>
      </c>
      <c r="L77" s="3172">
        <v>19.809999999999999</v>
      </c>
      <c r="M77" s="3173" t="s">
        <v>3317</v>
      </c>
    </row>
    <row r="78" spans="1:13" ht="15.75" thickBot="1">
      <c r="A78" s="3169">
        <v>371</v>
      </c>
      <c r="B78" s="3170" t="s">
        <v>4126</v>
      </c>
      <c r="C78" s="3170" t="s">
        <v>3524</v>
      </c>
      <c r="D78" s="3170" t="s">
        <v>4127</v>
      </c>
      <c r="E78" s="3172">
        <v>221.84</v>
      </c>
      <c r="F78" s="3173" t="s">
        <v>3387</v>
      </c>
      <c r="H78" s="3169">
        <v>231</v>
      </c>
      <c r="I78" s="3170" t="s">
        <v>3715</v>
      </c>
      <c r="J78" s="3170" t="s">
        <v>3524</v>
      </c>
      <c r="K78" s="3170" t="s">
        <v>3716</v>
      </c>
      <c r="L78" s="3172">
        <v>27.64</v>
      </c>
      <c r="M78" s="3173" t="s">
        <v>3317</v>
      </c>
    </row>
    <row r="79" spans="1:13" ht="15.75" thickBot="1">
      <c r="A79" s="3169">
        <v>372</v>
      </c>
      <c r="B79" s="3170" t="s">
        <v>4129</v>
      </c>
      <c r="C79" s="3170" t="s">
        <v>3524</v>
      </c>
      <c r="D79" s="3170" t="s">
        <v>4130</v>
      </c>
      <c r="E79" s="3172">
        <v>221.84</v>
      </c>
      <c r="F79" s="3173" t="s">
        <v>3387</v>
      </c>
      <c r="H79" s="3169">
        <v>232</v>
      </c>
      <c r="I79" s="3170" t="s">
        <v>3718</v>
      </c>
      <c r="J79" s="3170" t="s">
        <v>3524</v>
      </c>
      <c r="K79" s="3170" t="s">
        <v>3719</v>
      </c>
      <c r="L79" s="3172">
        <v>16.38</v>
      </c>
      <c r="M79" s="3173" t="s">
        <v>3317</v>
      </c>
    </row>
    <row r="80" spans="1:13" ht="15.75" thickBot="1">
      <c r="A80" s="3169">
        <v>373</v>
      </c>
      <c r="B80" s="3170" t="s">
        <v>4132</v>
      </c>
      <c r="C80" s="3170" t="s">
        <v>3524</v>
      </c>
      <c r="D80" s="3170" t="s">
        <v>4133</v>
      </c>
      <c r="E80" s="3172">
        <v>221.84</v>
      </c>
      <c r="F80" s="3173" t="s">
        <v>3387</v>
      </c>
      <c r="H80" s="3169">
        <v>233</v>
      </c>
      <c r="I80" s="3170" t="s">
        <v>3721</v>
      </c>
      <c r="J80" s="3170" t="s">
        <v>3524</v>
      </c>
      <c r="K80" s="3170" t="s">
        <v>3722</v>
      </c>
      <c r="L80" s="3172">
        <v>16.38</v>
      </c>
      <c r="M80" s="3173" t="s">
        <v>3317</v>
      </c>
    </row>
    <row r="81" spans="1:13" ht="15.75" thickBot="1">
      <c r="A81" s="3169">
        <v>374</v>
      </c>
      <c r="B81" s="3170" t="s">
        <v>4135</v>
      </c>
      <c r="C81" s="3170" t="s">
        <v>3524</v>
      </c>
      <c r="D81" s="3170" t="s">
        <v>4136</v>
      </c>
      <c r="E81" s="3172">
        <v>210.98</v>
      </c>
      <c r="F81" s="3173" t="s">
        <v>3387</v>
      </c>
      <c r="H81" s="3169">
        <v>234</v>
      </c>
      <c r="I81" s="3170" t="s">
        <v>3724</v>
      </c>
      <c r="J81" s="3170" t="s">
        <v>3524</v>
      </c>
      <c r="K81" s="3170" t="s">
        <v>3725</v>
      </c>
      <c r="L81" s="3172">
        <v>16.38</v>
      </c>
      <c r="M81" s="3173" t="s">
        <v>3317</v>
      </c>
    </row>
    <row r="82" spans="1:13" ht="15.75" thickBot="1">
      <c r="A82" s="3169">
        <v>375</v>
      </c>
      <c r="B82" s="3170" t="s">
        <v>4138</v>
      </c>
      <c r="C82" s="3170" t="s">
        <v>3524</v>
      </c>
      <c r="D82" s="3170" t="s">
        <v>4139</v>
      </c>
      <c r="E82" s="3172">
        <v>212.29</v>
      </c>
      <c r="F82" s="3173" t="s">
        <v>3387</v>
      </c>
      <c r="H82" s="3169">
        <v>235</v>
      </c>
      <c r="I82" s="3170" t="s">
        <v>3727</v>
      </c>
      <c r="J82" s="3170" t="s">
        <v>3524</v>
      </c>
      <c r="K82" s="3170" t="s">
        <v>3728</v>
      </c>
      <c r="L82" s="3172">
        <v>17.059999999999999</v>
      </c>
      <c r="M82" s="3173" t="s">
        <v>3317</v>
      </c>
    </row>
    <row r="83" spans="1:13" ht="15.75" thickBot="1">
      <c r="A83" s="3169">
        <v>376</v>
      </c>
      <c r="B83" s="3170" t="s">
        <v>4870</v>
      </c>
      <c r="C83" s="3170" t="s">
        <v>3524</v>
      </c>
      <c r="D83" s="3170" t="s">
        <v>4141</v>
      </c>
      <c r="E83" s="3172">
        <v>221.84</v>
      </c>
      <c r="F83" s="3173" t="s">
        <v>3387</v>
      </c>
      <c r="H83" s="3169">
        <v>237</v>
      </c>
      <c r="I83" s="3170" t="s">
        <v>3733</v>
      </c>
      <c r="J83" s="3170" t="s">
        <v>3524</v>
      </c>
      <c r="K83" s="3170" t="s">
        <v>3734</v>
      </c>
      <c r="L83" s="3172">
        <v>41.46</v>
      </c>
      <c r="M83" s="3173" t="s">
        <v>3317</v>
      </c>
    </row>
    <row r="84" spans="1:13" ht="15.75" thickBot="1">
      <c r="A84" s="3169">
        <v>377</v>
      </c>
      <c r="B84" s="3170" t="s">
        <v>4871</v>
      </c>
      <c r="C84" s="3170" t="s">
        <v>3524</v>
      </c>
      <c r="D84" s="3170" t="s">
        <v>4143</v>
      </c>
      <c r="E84" s="3172">
        <v>223.15</v>
      </c>
      <c r="F84" s="3173" t="s">
        <v>3387</v>
      </c>
      <c r="H84" s="3169">
        <v>238</v>
      </c>
      <c r="I84" s="3170" t="s">
        <v>3736</v>
      </c>
      <c r="J84" s="3170" t="s">
        <v>3524</v>
      </c>
      <c r="K84" s="3170" t="s">
        <v>3737</v>
      </c>
      <c r="L84" s="3172">
        <v>56.7</v>
      </c>
      <c r="M84" s="3173" t="s">
        <v>3317</v>
      </c>
    </row>
    <row r="85" spans="1:13" ht="15.75" thickBot="1">
      <c r="A85" s="3169">
        <v>378</v>
      </c>
      <c r="B85" s="3170" t="s">
        <v>4145</v>
      </c>
      <c r="C85" s="3170" t="s">
        <v>3524</v>
      </c>
      <c r="D85" s="3170" t="s">
        <v>4146</v>
      </c>
      <c r="E85" s="3172">
        <v>221.84</v>
      </c>
      <c r="F85" s="3173" t="s">
        <v>3387</v>
      </c>
      <c r="H85" s="3169">
        <v>239</v>
      </c>
      <c r="I85" s="3170" t="s">
        <v>3739</v>
      </c>
      <c r="J85" s="3170" t="s">
        <v>3524</v>
      </c>
      <c r="K85" s="3170" t="s">
        <v>3740</v>
      </c>
      <c r="L85" s="3172">
        <v>23.66</v>
      </c>
      <c r="M85" s="3173" t="s">
        <v>3317</v>
      </c>
    </row>
    <row r="86" spans="1:13" ht="15.75" thickBot="1">
      <c r="A86" s="3169">
        <v>379</v>
      </c>
      <c r="B86" s="3170" t="s">
        <v>4148</v>
      </c>
      <c r="C86" s="3170" t="s">
        <v>3524</v>
      </c>
      <c r="D86" s="3170" t="s">
        <v>4149</v>
      </c>
      <c r="E86" s="3172">
        <v>223.15</v>
      </c>
      <c r="F86" s="3173" t="s">
        <v>3387</v>
      </c>
      <c r="H86" s="3169">
        <v>240</v>
      </c>
      <c r="I86" s="3170" t="s">
        <v>3742</v>
      </c>
      <c r="J86" s="3170" t="s">
        <v>3524</v>
      </c>
      <c r="K86" s="3170" t="s">
        <v>3743</v>
      </c>
      <c r="L86" s="3172">
        <v>27.61</v>
      </c>
      <c r="M86" s="3173" t="s">
        <v>3317</v>
      </c>
    </row>
    <row r="87" spans="1:13" ht="15.75" thickBot="1">
      <c r="A87" s="3169">
        <v>380</v>
      </c>
      <c r="B87" s="3170" t="s">
        <v>4151</v>
      </c>
      <c r="C87" s="3170" t="s">
        <v>3524</v>
      </c>
      <c r="D87" s="3170" t="s">
        <v>4152</v>
      </c>
      <c r="E87" s="3172">
        <v>221.84</v>
      </c>
      <c r="F87" s="3173" t="s">
        <v>3387</v>
      </c>
      <c r="H87" s="3169">
        <v>241</v>
      </c>
      <c r="I87" s="3170" t="s">
        <v>3745</v>
      </c>
      <c r="J87" s="3170" t="s">
        <v>3524</v>
      </c>
      <c r="K87" s="3170" t="s">
        <v>3746</v>
      </c>
      <c r="L87" s="3172">
        <v>19.149999999999999</v>
      </c>
      <c r="M87" s="3173" t="s">
        <v>3317</v>
      </c>
    </row>
    <row r="88" spans="1:13" ht="15.75" thickBot="1">
      <c r="A88" s="3169">
        <v>407</v>
      </c>
      <c r="B88" s="3170" t="s">
        <v>4232</v>
      </c>
      <c r="C88" s="3170" t="s">
        <v>3524</v>
      </c>
      <c r="D88" s="3170" t="s">
        <v>4233</v>
      </c>
      <c r="E88" s="3172">
        <v>272.91000000000003</v>
      </c>
      <c r="F88" s="3173" t="s">
        <v>3387</v>
      </c>
      <c r="H88" s="3169">
        <v>242</v>
      </c>
      <c r="I88" s="3170" t="s">
        <v>3748</v>
      </c>
      <c r="J88" s="3170" t="s">
        <v>3524</v>
      </c>
      <c r="K88" s="3170" t="s">
        <v>3749</v>
      </c>
      <c r="L88" s="3172">
        <v>19.149999999999999</v>
      </c>
      <c r="M88" s="3173" t="s">
        <v>3317</v>
      </c>
    </row>
    <row r="89" spans="1:13" ht="15.75" thickBot="1">
      <c r="A89" s="3169">
        <v>408</v>
      </c>
      <c r="B89" s="3170" t="s">
        <v>4235</v>
      </c>
      <c r="C89" s="3170" t="s">
        <v>3524</v>
      </c>
      <c r="D89" s="3170" t="s">
        <v>4236</v>
      </c>
      <c r="E89" s="3172">
        <v>271.69</v>
      </c>
      <c r="F89" s="3173" t="s">
        <v>3387</v>
      </c>
      <c r="H89" s="3169">
        <v>243</v>
      </c>
      <c r="I89" s="3170" t="s">
        <v>3751</v>
      </c>
      <c r="J89" s="3170" t="s">
        <v>3524</v>
      </c>
      <c r="K89" s="3170" t="s">
        <v>3752</v>
      </c>
      <c r="L89" s="3172">
        <v>27.79</v>
      </c>
      <c r="M89" s="3173" t="s">
        <v>3317</v>
      </c>
    </row>
    <row r="90" spans="1:13" ht="15.75" thickBot="1">
      <c r="A90" s="3169">
        <v>409</v>
      </c>
      <c r="B90" s="3170" t="s">
        <v>4872</v>
      </c>
      <c r="C90" s="3170" t="s">
        <v>3524</v>
      </c>
      <c r="D90" s="3170" t="s">
        <v>4238</v>
      </c>
      <c r="E90" s="3172">
        <v>272.97000000000003</v>
      </c>
      <c r="F90" s="3173" t="s">
        <v>3387</v>
      </c>
      <c r="H90" s="3169">
        <v>244</v>
      </c>
      <c r="I90" s="3170" t="s">
        <v>3754</v>
      </c>
      <c r="J90" s="3170" t="s">
        <v>3524</v>
      </c>
      <c r="K90" s="3170" t="s">
        <v>3755</v>
      </c>
      <c r="L90" s="3172">
        <v>27.61</v>
      </c>
      <c r="M90" s="3173" t="s">
        <v>3317</v>
      </c>
    </row>
    <row r="91" spans="1:13" ht="15.75" thickBot="1">
      <c r="A91" s="3169">
        <v>410</v>
      </c>
      <c r="B91" s="3170" t="s">
        <v>4873</v>
      </c>
      <c r="C91" s="3170" t="s">
        <v>3524</v>
      </c>
      <c r="D91" s="3170" t="s">
        <v>4240</v>
      </c>
      <c r="E91" s="3172">
        <v>271.75</v>
      </c>
      <c r="F91" s="3173" t="s">
        <v>3387</v>
      </c>
      <c r="H91" s="3169">
        <v>245</v>
      </c>
      <c r="I91" s="3170" t="s">
        <v>3757</v>
      </c>
      <c r="J91" s="3170" t="s">
        <v>3524</v>
      </c>
      <c r="K91" s="3170" t="s">
        <v>3758</v>
      </c>
      <c r="L91" s="3172">
        <v>19.79</v>
      </c>
      <c r="M91" s="3173" t="s">
        <v>3317</v>
      </c>
    </row>
    <row r="92" spans="1:13" ht="15.75" thickBot="1">
      <c r="A92" s="3169">
        <v>411</v>
      </c>
      <c r="B92" s="3170" t="s">
        <v>4242</v>
      </c>
      <c r="C92" s="3170" t="s">
        <v>3524</v>
      </c>
      <c r="D92" s="3170" t="s">
        <v>4243</v>
      </c>
      <c r="E92" s="3172">
        <v>272.97000000000003</v>
      </c>
      <c r="F92" s="3173" t="s">
        <v>3387</v>
      </c>
      <c r="H92" s="3169">
        <v>246</v>
      </c>
      <c r="I92" s="3170" t="s">
        <v>3760</v>
      </c>
      <c r="J92" s="3170" t="s">
        <v>3524</v>
      </c>
      <c r="K92" s="3170" t="s">
        <v>3761</v>
      </c>
      <c r="L92" s="3172">
        <v>27.61</v>
      </c>
      <c r="M92" s="3173" t="s">
        <v>3317</v>
      </c>
    </row>
    <row r="93" spans="1:13" ht="15.75" thickBot="1">
      <c r="A93" s="3169">
        <v>412</v>
      </c>
      <c r="B93" s="3170" t="s">
        <v>4245</v>
      </c>
      <c r="C93" s="3170" t="s">
        <v>3524</v>
      </c>
      <c r="D93" s="3170" t="s">
        <v>4246</v>
      </c>
      <c r="E93" s="3172">
        <v>271.69</v>
      </c>
      <c r="F93" s="3173" t="s">
        <v>3387</v>
      </c>
      <c r="H93" s="3169">
        <v>247</v>
      </c>
      <c r="I93" s="3170" t="s">
        <v>3763</v>
      </c>
      <c r="J93" s="3170" t="s">
        <v>3524</v>
      </c>
      <c r="K93" s="3170" t="s">
        <v>3764</v>
      </c>
      <c r="L93" s="3172">
        <v>12.41</v>
      </c>
      <c r="M93" s="3173" t="s">
        <v>3317</v>
      </c>
    </row>
    <row r="94" spans="1:13" ht="15.75" thickBot="1">
      <c r="A94" s="3169">
        <v>413</v>
      </c>
      <c r="B94" s="3170" t="s">
        <v>4248</v>
      </c>
      <c r="C94" s="3170" t="s">
        <v>3524</v>
      </c>
      <c r="D94" s="3170" t="s">
        <v>4249</v>
      </c>
      <c r="E94" s="3172">
        <v>272.86</v>
      </c>
      <c r="F94" s="3173" t="s">
        <v>3387</v>
      </c>
      <c r="H94" s="3169">
        <v>253</v>
      </c>
      <c r="I94" s="3170" t="s">
        <v>3780</v>
      </c>
      <c r="J94" s="3170" t="s">
        <v>3524</v>
      </c>
      <c r="K94" s="3170" t="s">
        <v>3781</v>
      </c>
      <c r="L94" s="3172">
        <v>31.03</v>
      </c>
      <c r="M94" s="3173" t="s">
        <v>3317</v>
      </c>
    </row>
    <row r="95" spans="1:13" ht="15.75" thickBot="1">
      <c r="A95" s="3169">
        <v>436</v>
      </c>
      <c r="B95" s="3170" t="s">
        <v>4317</v>
      </c>
      <c r="C95" s="3170" t="s">
        <v>3524</v>
      </c>
      <c r="D95" s="3170" t="s">
        <v>4318</v>
      </c>
      <c r="E95" s="3172">
        <v>168.06</v>
      </c>
      <c r="F95" s="3173" t="s">
        <v>3387</v>
      </c>
      <c r="H95" s="3169">
        <v>254</v>
      </c>
      <c r="I95" s="3170" t="s">
        <v>3783</v>
      </c>
      <c r="J95" s="3170" t="s">
        <v>3524</v>
      </c>
      <c r="K95" s="3170" t="s">
        <v>3784</v>
      </c>
      <c r="L95" s="3172">
        <v>16.09</v>
      </c>
      <c r="M95" s="3173" t="s">
        <v>3317</v>
      </c>
    </row>
    <row r="96" spans="1:13" ht="15.75" thickBot="1">
      <c r="A96" s="3169">
        <v>437</v>
      </c>
      <c r="B96" s="3170" t="s">
        <v>4320</v>
      </c>
      <c r="C96" s="3170" t="s">
        <v>3524</v>
      </c>
      <c r="D96" s="3170" t="s">
        <v>4321</v>
      </c>
      <c r="E96" s="3172">
        <v>168.06</v>
      </c>
      <c r="F96" s="3173" t="s">
        <v>3387</v>
      </c>
      <c r="H96" s="3169">
        <v>255</v>
      </c>
      <c r="I96" s="3170" t="s">
        <v>3786</v>
      </c>
      <c r="J96" s="3170" t="s">
        <v>3524</v>
      </c>
      <c r="K96" s="3170" t="s">
        <v>3787</v>
      </c>
      <c r="L96" s="3172">
        <v>46.55</v>
      </c>
      <c r="M96" s="3173" t="s">
        <v>3317</v>
      </c>
    </row>
    <row r="97" spans="1:13" ht="15.75" thickBot="1">
      <c r="A97" s="3169">
        <v>438</v>
      </c>
      <c r="B97" s="3170" t="s">
        <v>4323</v>
      </c>
      <c r="C97" s="3170" t="s">
        <v>3524</v>
      </c>
      <c r="D97" s="3170" t="s">
        <v>4324</v>
      </c>
      <c r="E97" s="3172">
        <v>192.5</v>
      </c>
      <c r="F97" s="3173" t="s">
        <v>3387</v>
      </c>
      <c r="H97" s="3169">
        <v>256</v>
      </c>
      <c r="I97" s="3170" t="s">
        <v>3789</v>
      </c>
      <c r="J97" s="3170" t="s">
        <v>3524</v>
      </c>
      <c r="K97" s="3170" t="s">
        <v>3790</v>
      </c>
      <c r="L97" s="3172">
        <v>53.78</v>
      </c>
      <c r="M97" s="3173" t="s">
        <v>3317</v>
      </c>
    </row>
    <row r="98" spans="1:13" ht="15.75" thickBot="1">
      <c r="A98" s="3169">
        <v>439</v>
      </c>
      <c r="B98" s="3170" t="s">
        <v>4874</v>
      </c>
      <c r="C98" s="3170" t="s">
        <v>3524</v>
      </c>
      <c r="D98" s="3170" t="s">
        <v>4326</v>
      </c>
      <c r="E98" s="3172">
        <v>192.53</v>
      </c>
      <c r="F98" s="3173" t="s">
        <v>3387</v>
      </c>
      <c r="H98" s="3169">
        <v>257</v>
      </c>
      <c r="I98" s="3170" t="s">
        <v>3792</v>
      </c>
      <c r="J98" s="3170" t="s">
        <v>3524</v>
      </c>
      <c r="K98" s="3170" t="s">
        <v>3793</v>
      </c>
      <c r="L98" s="3172">
        <v>23.66</v>
      </c>
      <c r="M98" s="3173" t="s">
        <v>3317</v>
      </c>
    </row>
    <row r="99" spans="1:13" ht="15.75" thickBot="1">
      <c r="A99" s="3169">
        <v>461</v>
      </c>
      <c r="B99" s="3170" t="s">
        <v>4391</v>
      </c>
      <c r="C99" s="3170" t="s">
        <v>3524</v>
      </c>
      <c r="D99" s="3170" t="s">
        <v>4392</v>
      </c>
      <c r="E99" s="3172">
        <v>271.73</v>
      </c>
      <c r="F99" s="3173" t="s">
        <v>3387</v>
      </c>
      <c r="H99" s="3169">
        <v>258</v>
      </c>
      <c r="I99" s="3170" t="s">
        <v>3795</v>
      </c>
      <c r="J99" s="3170" t="s">
        <v>3524</v>
      </c>
      <c r="K99" s="3170" t="s">
        <v>3796</v>
      </c>
      <c r="L99" s="3172">
        <v>41.16</v>
      </c>
      <c r="M99" s="3173" t="s">
        <v>3317</v>
      </c>
    </row>
    <row r="100" spans="1:13" ht="15.75" thickBot="1">
      <c r="A100" s="3169">
        <v>462</v>
      </c>
      <c r="B100" s="3170" t="s">
        <v>4875</v>
      </c>
      <c r="C100" s="3170" t="s">
        <v>3524</v>
      </c>
      <c r="D100" s="3170" t="s">
        <v>4394</v>
      </c>
      <c r="E100" s="3172">
        <v>271.8</v>
      </c>
      <c r="F100" s="3173" t="s">
        <v>3387</v>
      </c>
      <c r="H100" s="3169">
        <v>259</v>
      </c>
      <c r="I100" s="3170" t="s">
        <v>3798</v>
      </c>
      <c r="J100" s="3170" t="s">
        <v>3524</v>
      </c>
      <c r="K100" s="3170" t="s">
        <v>3799</v>
      </c>
      <c r="L100" s="3172">
        <v>56.71</v>
      </c>
      <c r="M100" s="3173" t="s">
        <v>3317</v>
      </c>
    </row>
    <row r="101" spans="1:13" ht="15.75" thickBot="1">
      <c r="A101" s="3169">
        <v>463</v>
      </c>
      <c r="B101" s="3170" t="s">
        <v>4396</v>
      </c>
      <c r="C101" s="3170" t="s">
        <v>3524</v>
      </c>
      <c r="D101" s="3170" t="s">
        <v>4397</v>
      </c>
      <c r="E101" s="3172">
        <v>271.73</v>
      </c>
      <c r="F101" s="3173" t="s">
        <v>3387</v>
      </c>
      <c r="H101" s="3169">
        <v>260</v>
      </c>
      <c r="I101" s="3170" t="s">
        <v>3801</v>
      </c>
      <c r="J101" s="3170" t="s">
        <v>3524</v>
      </c>
      <c r="K101" s="3170" t="s">
        <v>3802</v>
      </c>
      <c r="L101" s="3172">
        <v>23.66</v>
      </c>
      <c r="M101" s="3173" t="s">
        <v>3317</v>
      </c>
    </row>
    <row r="102" spans="1:13" ht="15.75" thickBot="1">
      <c r="A102" s="3169">
        <v>464</v>
      </c>
      <c r="B102" s="3170" t="s">
        <v>4876</v>
      </c>
      <c r="C102" s="3170" t="s">
        <v>3524</v>
      </c>
      <c r="D102" s="3170" t="s">
        <v>4399</v>
      </c>
      <c r="E102" s="3172">
        <v>271.8</v>
      </c>
      <c r="F102" s="3173" t="s">
        <v>3387</v>
      </c>
      <c r="H102" s="3169">
        <v>261</v>
      </c>
      <c r="I102" s="3170" t="s">
        <v>3804</v>
      </c>
      <c r="J102" s="3170" t="s">
        <v>3524</v>
      </c>
      <c r="K102" s="3170" t="s">
        <v>3805</v>
      </c>
      <c r="L102" s="3172">
        <v>27.61</v>
      </c>
      <c r="M102" s="3173" t="s">
        <v>3317</v>
      </c>
    </row>
    <row r="103" spans="1:13" ht="15.75" thickBot="1">
      <c r="A103" s="3169">
        <v>476</v>
      </c>
      <c r="B103" s="3170" t="s">
        <v>4434</v>
      </c>
      <c r="C103" s="3170" t="s">
        <v>3524</v>
      </c>
      <c r="D103" s="3170" t="s">
        <v>4435</v>
      </c>
      <c r="E103" s="3172">
        <v>210.91</v>
      </c>
      <c r="F103" s="3173" t="s">
        <v>3387</v>
      </c>
      <c r="H103" s="3169">
        <v>262</v>
      </c>
      <c r="I103" s="3170" t="s">
        <v>3807</v>
      </c>
      <c r="J103" s="3170" t="s">
        <v>3524</v>
      </c>
      <c r="K103" s="3170" t="s">
        <v>3808</v>
      </c>
      <c r="L103" s="3172">
        <v>19.149999999999999</v>
      </c>
      <c r="M103" s="3173" t="s">
        <v>3317</v>
      </c>
    </row>
    <row r="104" spans="1:13" ht="15.75" thickBot="1">
      <c r="A104" s="3169">
        <v>477</v>
      </c>
      <c r="B104" s="3170" t="s">
        <v>4877</v>
      </c>
      <c r="C104" s="3170" t="s">
        <v>3524</v>
      </c>
      <c r="D104" s="3170" t="s">
        <v>4437</v>
      </c>
      <c r="E104" s="3172">
        <v>230.81</v>
      </c>
      <c r="F104" s="3173" t="s">
        <v>3387</v>
      </c>
      <c r="H104" s="3169">
        <v>263</v>
      </c>
      <c r="I104" s="3170" t="s">
        <v>3810</v>
      </c>
      <c r="J104" s="3170" t="s">
        <v>3524</v>
      </c>
      <c r="K104" s="3170" t="s">
        <v>3811</v>
      </c>
      <c r="L104" s="3172">
        <v>19.149999999999999</v>
      </c>
      <c r="M104" s="3173" t="s">
        <v>3317</v>
      </c>
    </row>
    <row r="105" spans="1:13" ht="15.75" thickBot="1">
      <c r="A105" s="3169">
        <v>478</v>
      </c>
      <c r="B105" s="3170" t="s">
        <v>4439</v>
      </c>
      <c r="C105" s="3170" t="s">
        <v>3524</v>
      </c>
      <c r="D105" s="3170" t="s">
        <v>4440</v>
      </c>
      <c r="E105" s="3172">
        <v>230.81</v>
      </c>
      <c r="F105" s="3173" t="s">
        <v>3387</v>
      </c>
      <c r="H105" s="3169">
        <v>264</v>
      </c>
      <c r="I105" s="3170" t="s">
        <v>3813</v>
      </c>
      <c r="J105" s="3170" t="s">
        <v>3524</v>
      </c>
      <c r="K105" s="3170" t="s">
        <v>3814</v>
      </c>
      <c r="L105" s="3172">
        <v>27.61</v>
      </c>
      <c r="M105" s="3173" t="s">
        <v>3317</v>
      </c>
    </row>
    <row r="106" spans="1:13" ht="15.75" thickBot="1">
      <c r="A106" s="3169">
        <v>483</v>
      </c>
      <c r="B106" s="3170" t="s">
        <v>4454</v>
      </c>
      <c r="C106" s="3170" t="s">
        <v>3524</v>
      </c>
      <c r="D106" s="3170" t="s">
        <v>4455</v>
      </c>
      <c r="E106" s="3172">
        <v>272.93</v>
      </c>
      <c r="F106" s="3173" t="s">
        <v>3387</v>
      </c>
      <c r="H106" s="3169">
        <v>265</v>
      </c>
      <c r="I106" s="3170" t="s">
        <v>3816</v>
      </c>
      <c r="J106" s="3170" t="s">
        <v>3524</v>
      </c>
      <c r="K106" s="3170" t="s">
        <v>3817</v>
      </c>
      <c r="L106" s="3172">
        <v>18.350000000000001</v>
      </c>
      <c r="M106" s="3173" t="s">
        <v>3317</v>
      </c>
    </row>
    <row r="107" spans="1:13" ht="15.75" thickBot="1">
      <c r="A107" s="3169">
        <v>484</v>
      </c>
      <c r="B107" s="3170" t="s">
        <v>4457</v>
      </c>
      <c r="C107" s="3170" t="s">
        <v>3524</v>
      </c>
      <c r="D107" s="3170" t="s">
        <v>4458</v>
      </c>
      <c r="E107" s="3172">
        <v>271.76</v>
      </c>
      <c r="F107" s="3173" t="s">
        <v>3387</v>
      </c>
      <c r="H107" s="3169">
        <v>266</v>
      </c>
      <c r="I107" s="3170" t="s">
        <v>3819</v>
      </c>
      <c r="J107" s="3170" t="s">
        <v>3524</v>
      </c>
      <c r="K107" s="3170" t="s">
        <v>3820</v>
      </c>
      <c r="L107" s="3172">
        <v>12.41</v>
      </c>
      <c r="M107" s="3173" t="s">
        <v>3317</v>
      </c>
    </row>
    <row r="108" spans="1:13" ht="15.75" thickBot="1">
      <c r="A108" s="3169">
        <v>485</v>
      </c>
      <c r="B108" s="3170" t="s">
        <v>4878</v>
      </c>
      <c r="C108" s="3170" t="s">
        <v>3524</v>
      </c>
      <c r="D108" s="3170" t="s">
        <v>4460</v>
      </c>
      <c r="E108" s="3172">
        <v>272.99</v>
      </c>
      <c r="F108" s="3173" t="s">
        <v>3387</v>
      </c>
      <c r="H108" s="3169">
        <v>270</v>
      </c>
      <c r="I108" s="3170" t="s">
        <v>3828</v>
      </c>
      <c r="J108" s="3170" t="s">
        <v>3524</v>
      </c>
      <c r="K108" s="3170" t="s">
        <v>3829</v>
      </c>
      <c r="L108" s="3172">
        <v>27.29</v>
      </c>
      <c r="M108" s="3173" t="s">
        <v>3317</v>
      </c>
    </row>
    <row r="109" spans="1:13" ht="15.75" thickBot="1">
      <c r="A109" s="3169">
        <v>486</v>
      </c>
      <c r="B109" s="3170" t="s">
        <v>4879</v>
      </c>
      <c r="C109" s="3170" t="s">
        <v>3524</v>
      </c>
      <c r="D109" s="3170" t="s">
        <v>4462</v>
      </c>
      <c r="E109" s="3172">
        <v>271.82</v>
      </c>
      <c r="F109" s="3173" t="s">
        <v>3387</v>
      </c>
      <c r="H109" s="3169">
        <v>271</v>
      </c>
      <c r="I109" s="3170" t="s">
        <v>3831</v>
      </c>
      <c r="J109" s="3170" t="s">
        <v>3524</v>
      </c>
      <c r="K109" s="3170" t="s">
        <v>3832</v>
      </c>
      <c r="L109" s="3172">
        <v>22.37</v>
      </c>
      <c r="M109" s="3173" t="s">
        <v>3317</v>
      </c>
    </row>
    <row r="110" spans="1:13" ht="15.75" thickBot="1">
      <c r="A110" s="3169">
        <v>487</v>
      </c>
      <c r="B110" s="3170" t="s">
        <v>4464</v>
      </c>
      <c r="C110" s="3170" t="s">
        <v>3524</v>
      </c>
      <c r="D110" s="3170" t="s">
        <v>4465</v>
      </c>
      <c r="E110" s="3172">
        <v>272.99</v>
      </c>
      <c r="F110" s="3173" t="s">
        <v>3387</v>
      </c>
      <c r="H110" s="3169">
        <v>272</v>
      </c>
      <c r="I110" s="3170" t="s">
        <v>3834</v>
      </c>
      <c r="J110" s="3170" t="s">
        <v>3524</v>
      </c>
      <c r="K110" s="3170" t="s">
        <v>3835</v>
      </c>
      <c r="L110" s="3172">
        <v>47.07</v>
      </c>
      <c r="M110" s="3173" t="s">
        <v>3317</v>
      </c>
    </row>
    <row r="111" spans="1:13" ht="15.75" thickBot="1">
      <c r="A111" s="3169">
        <v>488</v>
      </c>
      <c r="B111" s="3170" t="s">
        <v>4467</v>
      </c>
      <c r="C111" s="3170" t="s">
        <v>3524</v>
      </c>
      <c r="D111" s="3170" t="s">
        <v>4468</v>
      </c>
      <c r="E111" s="3172">
        <v>271.82</v>
      </c>
      <c r="F111" s="3173" t="s">
        <v>3387</v>
      </c>
      <c r="H111" s="3169">
        <v>273</v>
      </c>
      <c r="I111" s="3170" t="s">
        <v>3837</v>
      </c>
      <c r="J111" s="3170" t="s">
        <v>3524</v>
      </c>
      <c r="K111" s="3170" t="s">
        <v>3838</v>
      </c>
      <c r="L111" s="3172">
        <v>48.7</v>
      </c>
      <c r="M111" s="3173" t="s">
        <v>3317</v>
      </c>
    </row>
    <row r="112" spans="1:13" ht="15.75" thickBot="1">
      <c r="A112" s="3169">
        <v>489</v>
      </c>
      <c r="B112" s="3170" t="s">
        <v>4880</v>
      </c>
      <c r="C112" s="3170" t="s">
        <v>3524</v>
      </c>
      <c r="D112" s="3170" t="s">
        <v>4470</v>
      </c>
      <c r="E112" s="3172">
        <v>271.82</v>
      </c>
      <c r="F112" s="3173" t="s">
        <v>3387</v>
      </c>
      <c r="H112" s="3169">
        <v>274</v>
      </c>
      <c r="I112" s="3170" t="s">
        <v>3840</v>
      </c>
      <c r="J112" s="3170" t="s">
        <v>3524</v>
      </c>
      <c r="K112" s="3170" t="s">
        <v>3841</v>
      </c>
      <c r="L112" s="3172">
        <v>23.2</v>
      </c>
      <c r="M112" s="3173" t="s">
        <v>3317</v>
      </c>
    </row>
    <row r="113" spans="1:13" ht="15.75" thickBot="1">
      <c r="A113" s="3169">
        <v>502</v>
      </c>
      <c r="B113" s="3170" t="s">
        <v>4508</v>
      </c>
      <c r="C113" s="3170" t="s">
        <v>3524</v>
      </c>
      <c r="D113" s="3170" t="s">
        <v>4509</v>
      </c>
      <c r="E113" s="3172">
        <v>210.97</v>
      </c>
      <c r="F113" s="3173" t="s">
        <v>3387</v>
      </c>
      <c r="H113" s="3169">
        <v>275</v>
      </c>
      <c r="I113" s="3170" t="s">
        <v>3843</v>
      </c>
      <c r="J113" s="3170" t="s">
        <v>3524</v>
      </c>
      <c r="K113" s="3170" t="s">
        <v>3844</v>
      </c>
      <c r="L113" s="3172">
        <v>23.2</v>
      </c>
      <c r="M113" s="3173" t="s">
        <v>3317</v>
      </c>
    </row>
    <row r="114" spans="1:13" ht="15.75" thickBot="1">
      <c r="A114" s="3169">
        <v>503</v>
      </c>
      <c r="B114" s="3170" t="s">
        <v>4511</v>
      </c>
      <c r="C114" s="3170" t="s">
        <v>3524</v>
      </c>
      <c r="D114" s="3170" t="s">
        <v>4512</v>
      </c>
      <c r="E114" s="3172">
        <v>221.83</v>
      </c>
      <c r="F114" s="3173" t="s">
        <v>3387</v>
      </c>
      <c r="H114" s="3169">
        <v>276</v>
      </c>
      <c r="I114" s="3170" t="s">
        <v>3846</v>
      </c>
      <c r="J114" s="3170" t="s">
        <v>3524</v>
      </c>
      <c r="K114" s="3170" t="s">
        <v>3847</v>
      </c>
      <c r="L114" s="3172">
        <v>48.7</v>
      </c>
      <c r="M114" s="3173" t="s">
        <v>3317</v>
      </c>
    </row>
    <row r="115" spans="1:13" ht="15.75" thickBot="1">
      <c r="A115" s="3169">
        <v>504</v>
      </c>
      <c r="B115" s="3170" t="s">
        <v>4514</v>
      </c>
      <c r="C115" s="3170" t="s">
        <v>3524</v>
      </c>
      <c r="D115" s="3170" t="s">
        <v>4515</v>
      </c>
      <c r="E115" s="3172">
        <v>221.83</v>
      </c>
      <c r="F115" s="3173" t="s">
        <v>3387</v>
      </c>
      <c r="H115" s="3169">
        <v>277</v>
      </c>
      <c r="I115" s="3170" t="s">
        <v>3849</v>
      </c>
      <c r="J115" s="3170" t="s">
        <v>3524</v>
      </c>
      <c r="K115" s="3170" t="s">
        <v>3850</v>
      </c>
      <c r="L115" s="3172">
        <v>47.1</v>
      </c>
      <c r="M115" s="3173" t="s">
        <v>3317</v>
      </c>
    </row>
    <row r="116" spans="1:13" ht="15.75" thickBot="1">
      <c r="A116" s="3169">
        <v>505</v>
      </c>
      <c r="B116" s="3170" t="s">
        <v>4517</v>
      </c>
      <c r="C116" s="3170" t="s">
        <v>3524</v>
      </c>
      <c r="D116" s="3170" t="s">
        <v>4518</v>
      </c>
      <c r="E116" s="3172">
        <v>210.97</v>
      </c>
      <c r="F116" s="3173" t="s">
        <v>3387</v>
      </c>
      <c r="H116" s="3169">
        <v>278</v>
      </c>
      <c r="I116" s="3170" t="s">
        <v>3852</v>
      </c>
      <c r="J116" s="3170" t="s">
        <v>3524</v>
      </c>
      <c r="K116" s="3170" t="s">
        <v>3853</v>
      </c>
      <c r="L116" s="3172">
        <v>27.52</v>
      </c>
      <c r="M116" s="3173" t="s">
        <v>3317</v>
      </c>
    </row>
    <row r="117" spans="1:13" ht="15.75" thickBot="1">
      <c r="A117" s="3169">
        <v>506</v>
      </c>
      <c r="B117" s="3170" t="s">
        <v>4881</v>
      </c>
      <c r="C117" s="3170" t="s">
        <v>3524</v>
      </c>
      <c r="D117" s="3170" t="s">
        <v>4520</v>
      </c>
      <c r="E117" s="3172">
        <v>221.83</v>
      </c>
      <c r="F117" s="3173" t="s">
        <v>3387</v>
      </c>
      <c r="H117" s="3169">
        <v>279</v>
      </c>
      <c r="I117" s="3170" t="s">
        <v>3855</v>
      </c>
      <c r="J117" s="3170" t="s">
        <v>3524</v>
      </c>
      <c r="K117" s="3170" t="s">
        <v>3856</v>
      </c>
      <c r="L117" s="3172">
        <v>16.940000000000001</v>
      </c>
      <c r="M117" s="3173" t="s">
        <v>3317</v>
      </c>
    </row>
    <row r="118" spans="1:13" ht="15.75" thickBot="1">
      <c r="A118" s="3169">
        <v>507</v>
      </c>
      <c r="B118" s="3170" t="s">
        <v>4522</v>
      </c>
      <c r="C118" s="3170" t="s">
        <v>3524</v>
      </c>
      <c r="D118" s="3170" t="s">
        <v>4523</v>
      </c>
      <c r="E118" s="3172">
        <v>221.83</v>
      </c>
      <c r="F118" s="3173" t="s">
        <v>3387</v>
      </c>
      <c r="H118" s="3169">
        <v>280</v>
      </c>
      <c r="I118" s="3170" t="s">
        <v>3858</v>
      </c>
      <c r="J118" s="3170" t="s">
        <v>3524</v>
      </c>
      <c r="K118" s="3170" t="s">
        <v>3859</v>
      </c>
      <c r="L118" s="3172">
        <v>26.38</v>
      </c>
      <c r="M118" s="3173" t="s">
        <v>3317</v>
      </c>
    </row>
    <row r="119" spans="1:13" ht="15.75" thickBot="1">
      <c r="A119" s="3169">
        <v>508</v>
      </c>
      <c r="B119" s="3170" t="s">
        <v>4525</v>
      </c>
      <c r="C119" s="3170" t="s">
        <v>3524</v>
      </c>
      <c r="D119" s="3170" t="s">
        <v>4526</v>
      </c>
      <c r="E119" s="3172">
        <v>221.83</v>
      </c>
      <c r="F119" s="3173" t="s">
        <v>3387</v>
      </c>
      <c r="H119" s="3169">
        <v>281</v>
      </c>
      <c r="I119" s="3170" t="s">
        <v>3861</v>
      </c>
      <c r="J119" s="3170" t="s">
        <v>3524</v>
      </c>
      <c r="K119" s="3170" t="s">
        <v>3862</v>
      </c>
      <c r="L119" s="3172">
        <v>19.690000000000001</v>
      </c>
      <c r="M119" s="3173" t="s">
        <v>3317</v>
      </c>
    </row>
    <row r="120" spans="1:13" ht="15.75" thickBot="1">
      <c r="A120" s="3169">
        <v>527</v>
      </c>
      <c r="B120" s="3170" t="s">
        <v>4582</v>
      </c>
      <c r="C120" s="3170" t="s">
        <v>3524</v>
      </c>
      <c r="D120" s="3170" t="s">
        <v>4583</v>
      </c>
      <c r="E120" s="3172">
        <v>210.99</v>
      </c>
      <c r="F120" s="3173" t="s">
        <v>3387</v>
      </c>
      <c r="H120" s="3169">
        <v>282</v>
      </c>
      <c r="I120" s="3170" t="s">
        <v>3864</v>
      </c>
      <c r="J120" s="3170" t="s">
        <v>3524</v>
      </c>
      <c r="K120" s="3170" t="s">
        <v>3865</v>
      </c>
      <c r="L120" s="3172">
        <v>19.690000000000001</v>
      </c>
      <c r="M120" s="3173" t="s">
        <v>3317</v>
      </c>
    </row>
    <row r="121" spans="1:13" ht="15.75" thickBot="1">
      <c r="A121" s="3169">
        <v>528</v>
      </c>
      <c r="B121" s="3170" t="s">
        <v>4585</v>
      </c>
      <c r="C121" s="3170" t="s">
        <v>3524</v>
      </c>
      <c r="D121" s="3170" t="s">
        <v>4586</v>
      </c>
      <c r="E121" s="3172">
        <v>221.85</v>
      </c>
      <c r="F121" s="3173" t="s">
        <v>3387</v>
      </c>
      <c r="H121" s="3169">
        <v>283</v>
      </c>
      <c r="I121" s="3170" t="s">
        <v>3867</v>
      </c>
      <c r="J121" s="3170" t="s">
        <v>3524</v>
      </c>
      <c r="K121" s="3170" t="s">
        <v>3868</v>
      </c>
      <c r="L121" s="3172">
        <v>16.45</v>
      </c>
      <c r="M121" s="3173" t="s">
        <v>3317</v>
      </c>
    </row>
    <row r="122" spans="1:13" ht="15.75" thickBot="1">
      <c r="A122" s="3169">
        <v>529</v>
      </c>
      <c r="B122" s="3170" t="s">
        <v>4588</v>
      </c>
      <c r="C122" s="3170" t="s">
        <v>3524</v>
      </c>
      <c r="D122" s="3170" t="s">
        <v>4589</v>
      </c>
      <c r="E122" s="3172">
        <v>210.99</v>
      </c>
      <c r="F122" s="3173" t="s">
        <v>3387</v>
      </c>
      <c r="H122" s="3169">
        <v>287</v>
      </c>
      <c r="I122" s="3170" t="s">
        <v>3879</v>
      </c>
      <c r="J122" s="3170" t="s">
        <v>3524</v>
      </c>
      <c r="K122" s="3170" t="s">
        <v>3880</v>
      </c>
      <c r="L122" s="3172">
        <v>23.61</v>
      </c>
      <c r="M122" s="3173" t="s">
        <v>3317</v>
      </c>
    </row>
    <row r="123" spans="1:13" ht="15.75" thickBot="1">
      <c r="A123" s="3169">
        <v>530</v>
      </c>
      <c r="B123" s="3170" t="s">
        <v>4591</v>
      </c>
      <c r="C123" s="3170" t="s">
        <v>3524</v>
      </c>
      <c r="D123" s="3170" t="s">
        <v>4592</v>
      </c>
      <c r="E123" s="3172">
        <v>210.99</v>
      </c>
      <c r="F123" s="3173" t="s">
        <v>3387</v>
      </c>
      <c r="H123" s="3169">
        <v>288</v>
      </c>
      <c r="I123" s="3170" t="s">
        <v>3882</v>
      </c>
      <c r="J123" s="3170" t="s">
        <v>3524</v>
      </c>
      <c r="K123" s="3170" t="s">
        <v>3883</v>
      </c>
      <c r="L123" s="3172">
        <v>56.59</v>
      </c>
      <c r="M123" s="3173" t="s">
        <v>3317</v>
      </c>
    </row>
    <row r="124" spans="1:13" ht="15.75" thickBot="1">
      <c r="A124" s="3169">
        <v>531</v>
      </c>
      <c r="B124" s="3170" t="s">
        <v>4882</v>
      </c>
      <c r="C124" s="3170" t="s">
        <v>3524</v>
      </c>
      <c r="D124" s="3170" t="s">
        <v>4594</v>
      </c>
      <c r="E124" s="3172">
        <v>230.9</v>
      </c>
      <c r="F124" s="3173" t="s">
        <v>3387</v>
      </c>
      <c r="H124" s="3169">
        <v>289</v>
      </c>
      <c r="I124" s="3170" t="s">
        <v>3885</v>
      </c>
      <c r="J124" s="3170" t="s">
        <v>3524</v>
      </c>
      <c r="K124" s="3170" t="s">
        <v>3886</v>
      </c>
      <c r="L124" s="3172">
        <v>41.38</v>
      </c>
      <c r="M124" s="3173" t="s">
        <v>3317</v>
      </c>
    </row>
    <row r="125" spans="1:13" ht="15.75" thickBot="1">
      <c r="A125" s="3169">
        <v>532</v>
      </c>
      <c r="B125" s="3170" t="s">
        <v>4596</v>
      </c>
      <c r="C125" s="3170" t="s">
        <v>3524</v>
      </c>
      <c r="D125" s="3170" t="s">
        <v>4597</v>
      </c>
      <c r="E125" s="3172">
        <v>221.85</v>
      </c>
      <c r="F125" s="3173" t="s">
        <v>3387</v>
      </c>
      <c r="H125" s="3169">
        <v>290</v>
      </c>
      <c r="I125" s="3170" t="s">
        <v>3888</v>
      </c>
      <c r="J125" s="3170" t="s">
        <v>3524</v>
      </c>
      <c r="K125" s="3170" t="s">
        <v>3889</v>
      </c>
      <c r="L125" s="3172">
        <v>41.38</v>
      </c>
      <c r="M125" s="3173" t="s">
        <v>3317</v>
      </c>
    </row>
    <row r="126" spans="1:13" ht="15.75" thickBot="1">
      <c r="A126" s="3169">
        <v>557</v>
      </c>
      <c r="B126" s="3170" t="s">
        <v>4671</v>
      </c>
      <c r="C126" s="3170" t="s">
        <v>3524</v>
      </c>
      <c r="D126" s="3170" t="s">
        <v>4672</v>
      </c>
      <c r="E126" s="3172">
        <v>217.74</v>
      </c>
      <c r="F126" s="3173" t="s">
        <v>3387</v>
      </c>
      <c r="H126" s="3169">
        <v>291</v>
      </c>
      <c r="I126" s="3170" t="s">
        <v>3891</v>
      </c>
      <c r="J126" s="3170" t="s">
        <v>3524</v>
      </c>
      <c r="K126" s="3170" t="s">
        <v>3892</v>
      </c>
      <c r="L126" s="3172">
        <v>56.59</v>
      </c>
      <c r="M126" s="3173" t="s">
        <v>3317</v>
      </c>
    </row>
    <row r="127" spans="1:13" ht="15.75" thickBot="1">
      <c r="A127" s="3169">
        <v>558</v>
      </c>
      <c r="B127" s="3170" t="s">
        <v>4674</v>
      </c>
      <c r="C127" s="3170" t="s">
        <v>3524</v>
      </c>
      <c r="D127" s="3170" t="s">
        <v>4675</v>
      </c>
      <c r="E127" s="3172">
        <v>209.66</v>
      </c>
      <c r="F127" s="3173" t="s">
        <v>3387</v>
      </c>
      <c r="H127" s="3169">
        <v>292</v>
      </c>
      <c r="I127" s="3170" t="s">
        <v>3894</v>
      </c>
      <c r="J127" s="3170" t="s">
        <v>3524</v>
      </c>
      <c r="K127" s="3170" t="s">
        <v>3895</v>
      </c>
      <c r="L127" s="3172">
        <v>23.61</v>
      </c>
      <c r="M127" s="3173" t="s">
        <v>3317</v>
      </c>
    </row>
    <row r="128" spans="1:13" ht="15.75" thickBot="1">
      <c r="A128" s="3169">
        <v>559</v>
      </c>
      <c r="B128" s="3170" t="s">
        <v>4677</v>
      </c>
      <c r="C128" s="3170" t="s">
        <v>3524</v>
      </c>
      <c r="D128" s="3170" t="s">
        <v>4678</v>
      </c>
      <c r="E128" s="3172">
        <v>209.66</v>
      </c>
      <c r="F128" s="3173" t="s">
        <v>3387</v>
      </c>
      <c r="H128" s="3169">
        <v>293</v>
      </c>
      <c r="I128" s="3170" t="s">
        <v>3897</v>
      </c>
      <c r="J128" s="3170" t="s">
        <v>3524</v>
      </c>
      <c r="K128" s="3170" t="s">
        <v>3898</v>
      </c>
      <c r="L128" s="3172">
        <v>41.07</v>
      </c>
      <c r="M128" s="3173" t="s">
        <v>3317</v>
      </c>
    </row>
    <row r="129" spans="1:13" ht="15.75" thickBot="1">
      <c r="A129" s="3169">
        <v>560</v>
      </c>
      <c r="B129" s="3170" t="s">
        <v>4680</v>
      </c>
      <c r="C129" s="3170" t="s">
        <v>3524</v>
      </c>
      <c r="D129" s="3170" t="s">
        <v>4681</v>
      </c>
      <c r="E129" s="3172">
        <v>209.66</v>
      </c>
      <c r="F129" s="3173" t="s">
        <v>3387</v>
      </c>
      <c r="H129" s="3169">
        <v>294</v>
      </c>
      <c r="I129" s="3170" t="s">
        <v>3900</v>
      </c>
      <c r="J129" s="3170" t="s">
        <v>3524</v>
      </c>
      <c r="K129" s="3170" t="s">
        <v>3901</v>
      </c>
      <c r="L129" s="3172">
        <v>56.59</v>
      </c>
      <c r="M129" s="3173" t="s">
        <v>3317</v>
      </c>
    </row>
    <row r="130" spans="1:13" ht="15.75" thickBot="1">
      <c r="A130" s="3169">
        <v>585</v>
      </c>
      <c r="B130" s="3170" t="s">
        <v>4755</v>
      </c>
      <c r="C130" s="3170" t="s">
        <v>3524</v>
      </c>
      <c r="D130" s="3170" t="s">
        <v>4756</v>
      </c>
      <c r="E130" s="3172">
        <v>217.75</v>
      </c>
      <c r="F130" s="3173" t="s">
        <v>3387</v>
      </c>
      <c r="H130" s="3169">
        <v>295</v>
      </c>
      <c r="I130" s="3170" t="s">
        <v>3903</v>
      </c>
      <c r="J130" s="3170" t="s">
        <v>3524</v>
      </c>
      <c r="K130" s="3170" t="s">
        <v>3904</v>
      </c>
      <c r="L130" s="3172">
        <v>23.61</v>
      </c>
      <c r="M130" s="3173" t="s">
        <v>3317</v>
      </c>
    </row>
    <row r="131" spans="1:13" ht="15.75" thickBot="1">
      <c r="E131">
        <f>SUM(E33:E130)</f>
        <v>20781.320000000014</v>
      </c>
      <c r="H131" s="3169">
        <v>296</v>
      </c>
      <c r="I131" s="3170" t="s">
        <v>3906</v>
      </c>
      <c r="J131" s="3170" t="s">
        <v>3524</v>
      </c>
      <c r="K131" s="3170" t="s">
        <v>3907</v>
      </c>
      <c r="L131" s="3172">
        <v>27.55</v>
      </c>
      <c r="M131" s="3173" t="s">
        <v>3317</v>
      </c>
    </row>
    <row r="132" spans="1:13" ht="15.75" thickBot="1">
      <c r="H132" s="3169">
        <v>297</v>
      </c>
      <c r="I132" s="3170" t="s">
        <v>3909</v>
      </c>
      <c r="J132" s="3170" t="s">
        <v>3524</v>
      </c>
      <c r="K132" s="3170" t="s">
        <v>3910</v>
      </c>
      <c r="L132" s="3172">
        <v>19.11</v>
      </c>
      <c r="M132" s="3173" t="s">
        <v>3317</v>
      </c>
    </row>
    <row r="133" spans="1:13" ht="15.75" thickBot="1">
      <c r="H133" s="3169">
        <v>298</v>
      </c>
      <c r="I133" s="3170" t="s">
        <v>3912</v>
      </c>
      <c r="J133" s="3170" t="s">
        <v>3524</v>
      </c>
      <c r="K133" s="3170" t="s">
        <v>3913</v>
      </c>
      <c r="L133" s="3172">
        <v>27.74</v>
      </c>
      <c r="M133" s="3173" t="s">
        <v>3317</v>
      </c>
    </row>
    <row r="134" spans="1:13" ht="15.75" thickBot="1">
      <c r="H134" s="3169">
        <v>299</v>
      </c>
      <c r="I134" s="3170" t="s">
        <v>3915</v>
      </c>
      <c r="J134" s="3170" t="s">
        <v>3524</v>
      </c>
      <c r="K134" s="3170" t="s">
        <v>3916</v>
      </c>
      <c r="L134" s="3172">
        <v>27.55</v>
      </c>
      <c r="M134" s="3173" t="s">
        <v>3317</v>
      </c>
    </row>
    <row r="135" spans="1:13" ht="15.75" thickBot="1">
      <c r="H135" s="3169">
        <v>300</v>
      </c>
      <c r="I135" s="3170" t="s">
        <v>3918</v>
      </c>
      <c r="J135" s="3170" t="s">
        <v>3524</v>
      </c>
      <c r="K135" s="3170" t="s">
        <v>3919</v>
      </c>
      <c r="L135" s="3172">
        <v>19.75</v>
      </c>
      <c r="M135" s="3173" t="s">
        <v>3317</v>
      </c>
    </row>
    <row r="136" spans="1:13" ht="15.75" thickBot="1">
      <c r="H136" s="3169">
        <v>301</v>
      </c>
      <c r="I136" s="3170" t="s">
        <v>3921</v>
      </c>
      <c r="J136" s="3170" t="s">
        <v>3524</v>
      </c>
      <c r="K136" s="3170" t="s">
        <v>3922</v>
      </c>
      <c r="L136" s="3172">
        <v>16.329999999999998</v>
      </c>
      <c r="M136" s="3173" t="s">
        <v>3317</v>
      </c>
    </row>
    <row r="137" spans="1:13" ht="15.75" thickBot="1">
      <c r="H137" s="3169">
        <v>302</v>
      </c>
      <c r="I137" s="3170" t="s">
        <v>3924</v>
      </c>
      <c r="J137" s="3170" t="s">
        <v>3524</v>
      </c>
      <c r="K137" s="3170" t="s">
        <v>3925</v>
      </c>
      <c r="L137" s="3172">
        <v>12.38</v>
      </c>
      <c r="M137" s="3173" t="s">
        <v>3317</v>
      </c>
    </row>
    <row r="138" spans="1:13" ht="15.75" thickBot="1">
      <c r="H138" s="3169">
        <v>303</v>
      </c>
      <c r="I138" s="3170" t="s">
        <v>3927</v>
      </c>
      <c r="J138" s="3170" t="s">
        <v>3524</v>
      </c>
      <c r="K138" s="3170" t="s">
        <v>3928</v>
      </c>
      <c r="L138" s="3172">
        <v>12.38</v>
      </c>
      <c r="M138" s="3173" t="s">
        <v>3317</v>
      </c>
    </row>
    <row r="139" spans="1:13" ht="15.75" thickBot="1">
      <c r="H139" s="3169">
        <v>314</v>
      </c>
      <c r="I139" s="3170" t="s">
        <v>3958</v>
      </c>
      <c r="J139" s="3170" t="s">
        <v>3524</v>
      </c>
      <c r="K139" s="3170" t="s">
        <v>3959</v>
      </c>
      <c r="L139" s="3172">
        <v>30.99</v>
      </c>
      <c r="M139" s="3173" t="s">
        <v>3317</v>
      </c>
    </row>
    <row r="140" spans="1:13" ht="15.75" thickBot="1">
      <c r="H140" s="3169">
        <v>315</v>
      </c>
      <c r="I140" s="3170" t="s">
        <v>3961</v>
      </c>
      <c r="J140" s="3170" t="s">
        <v>3524</v>
      </c>
      <c r="K140" s="3170" t="s">
        <v>3962</v>
      </c>
      <c r="L140" s="3172">
        <v>16.059999999999999</v>
      </c>
      <c r="M140" s="3173" t="s">
        <v>3317</v>
      </c>
    </row>
    <row r="141" spans="1:13" ht="15.75" thickBot="1">
      <c r="H141" s="3169">
        <v>316</v>
      </c>
      <c r="I141" s="3170" t="s">
        <v>3964</v>
      </c>
      <c r="J141" s="3170" t="s">
        <v>3524</v>
      </c>
      <c r="K141" s="3170" t="s">
        <v>3965</v>
      </c>
      <c r="L141" s="3172">
        <v>46.49</v>
      </c>
      <c r="M141" s="3173" t="s">
        <v>3317</v>
      </c>
    </row>
    <row r="142" spans="1:13" ht="15.75" thickBot="1">
      <c r="H142" s="3169">
        <v>317</v>
      </c>
      <c r="I142" s="3170" t="s">
        <v>3967</v>
      </c>
      <c r="J142" s="3170" t="s">
        <v>3524</v>
      </c>
      <c r="K142" s="3170" t="s">
        <v>3968</v>
      </c>
      <c r="L142" s="3172">
        <v>53.7</v>
      </c>
      <c r="M142" s="3173" t="s">
        <v>3317</v>
      </c>
    </row>
    <row r="143" spans="1:13" ht="15.75" thickBot="1">
      <c r="H143" s="3169">
        <v>318</v>
      </c>
      <c r="I143" s="3170" t="s">
        <v>3970</v>
      </c>
      <c r="J143" s="3170" t="s">
        <v>3524</v>
      </c>
      <c r="K143" s="3170" t="s">
        <v>3971</v>
      </c>
      <c r="L143" s="3172">
        <v>23.63</v>
      </c>
      <c r="M143" s="3173" t="s">
        <v>3317</v>
      </c>
    </row>
    <row r="144" spans="1:13" ht="15.75" thickBot="1">
      <c r="H144" s="3169">
        <v>319</v>
      </c>
      <c r="I144" s="3170" t="s">
        <v>3973</v>
      </c>
      <c r="J144" s="3170" t="s">
        <v>3524</v>
      </c>
      <c r="K144" s="3170" t="s">
        <v>3974</v>
      </c>
      <c r="L144" s="3172">
        <v>56.67</v>
      </c>
      <c r="M144" s="3173" t="s">
        <v>3317</v>
      </c>
    </row>
    <row r="145" spans="8:13" ht="15.75" thickBot="1">
      <c r="H145" s="3169">
        <v>320</v>
      </c>
      <c r="I145" s="3170" t="s">
        <v>3976</v>
      </c>
      <c r="J145" s="3170" t="s">
        <v>3524</v>
      </c>
      <c r="K145" s="3170" t="s">
        <v>3977</v>
      </c>
      <c r="L145" s="3172">
        <v>41.1</v>
      </c>
      <c r="M145" s="3173" t="s">
        <v>3317</v>
      </c>
    </row>
    <row r="146" spans="8:13" ht="15.75" thickBot="1">
      <c r="H146" s="3169">
        <v>321</v>
      </c>
      <c r="I146" s="3170" t="s">
        <v>3979</v>
      </c>
      <c r="J146" s="3170" t="s">
        <v>3524</v>
      </c>
      <c r="K146" s="3170" t="s">
        <v>3980</v>
      </c>
      <c r="L146" s="3172">
        <v>41.1</v>
      </c>
      <c r="M146" s="3173" t="s">
        <v>3317</v>
      </c>
    </row>
    <row r="147" spans="8:13" ht="15.75" thickBot="1">
      <c r="H147" s="3169">
        <v>322</v>
      </c>
      <c r="I147" s="3170" t="s">
        <v>3982</v>
      </c>
      <c r="J147" s="3170" t="s">
        <v>3524</v>
      </c>
      <c r="K147" s="3170" t="s">
        <v>3983</v>
      </c>
      <c r="L147" s="3172">
        <v>56.67</v>
      </c>
      <c r="M147" s="3173" t="s">
        <v>3317</v>
      </c>
    </row>
    <row r="148" spans="8:13" ht="15.75" thickBot="1">
      <c r="H148" s="3169">
        <v>323</v>
      </c>
      <c r="I148" s="3170" t="s">
        <v>3985</v>
      </c>
      <c r="J148" s="3170" t="s">
        <v>3524</v>
      </c>
      <c r="K148" s="3170" t="s">
        <v>3986</v>
      </c>
      <c r="L148" s="3172">
        <v>23.63</v>
      </c>
      <c r="M148" s="3173" t="s">
        <v>3317</v>
      </c>
    </row>
    <row r="149" spans="8:13" ht="15.75" thickBot="1">
      <c r="H149" s="3169">
        <v>324</v>
      </c>
      <c r="I149" s="3170" t="s">
        <v>3988</v>
      </c>
      <c r="J149" s="3170" t="s">
        <v>3524</v>
      </c>
      <c r="K149" s="3170" t="s">
        <v>3989</v>
      </c>
      <c r="L149" s="3172">
        <v>49.6</v>
      </c>
      <c r="M149" s="3173" t="s">
        <v>3317</v>
      </c>
    </row>
    <row r="150" spans="8:13" ht="15.75" thickBot="1">
      <c r="H150" s="3169">
        <v>325</v>
      </c>
      <c r="I150" s="3170" t="s">
        <v>3991</v>
      </c>
      <c r="J150" s="3170" t="s">
        <v>3524</v>
      </c>
      <c r="K150" s="3170" t="s">
        <v>3992</v>
      </c>
      <c r="L150" s="3172">
        <v>47.97</v>
      </c>
      <c r="M150" s="3173" t="s">
        <v>3317</v>
      </c>
    </row>
    <row r="151" spans="8:13" ht="15.75" thickBot="1">
      <c r="H151" s="3169">
        <v>326</v>
      </c>
      <c r="I151" s="3170" t="s">
        <v>3994</v>
      </c>
      <c r="J151" s="3170" t="s">
        <v>3524</v>
      </c>
      <c r="K151" s="3170" t="s">
        <v>3995</v>
      </c>
      <c r="L151" s="3172">
        <v>22.61</v>
      </c>
      <c r="M151" s="3173" t="s">
        <v>3317</v>
      </c>
    </row>
    <row r="152" spans="8:13" ht="15.75" thickBot="1">
      <c r="H152" s="3169">
        <v>327</v>
      </c>
      <c r="I152" s="3170" t="s">
        <v>3997</v>
      </c>
      <c r="J152" s="3170" t="s">
        <v>3524</v>
      </c>
      <c r="K152" s="3170" t="s">
        <v>3998</v>
      </c>
      <c r="L152" s="3172">
        <v>27.98</v>
      </c>
      <c r="M152" s="3173" t="s">
        <v>3317</v>
      </c>
    </row>
    <row r="153" spans="8:13" ht="15.75" thickBot="1">
      <c r="H153" s="3169">
        <v>328</v>
      </c>
      <c r="I153" s="3170" t="s">
        <v>4000</v>
      </c>
      <c r="J153" s="3170" t="s">
        <v>3524</v>
      </c>
      <c r="K153" s="3170" t="s">
        <v>4001</v>
      </c>
      <c r="L153" s="3172">
        <v>27.57</v>
      </c>
      <c r="M153" s="3173" t="s">
        <v>3317</v>
      </c>
    </row>
    <row r="154" spans="8:13" ht="15.75" thickBot="1">
      <c r="H154" s="3169">
        <v>329</v>
      </c>
      <c r="I154" s="3170" t="s">
        <v>4003</v>
      </c>
      <c r="J154" s="3170" t="s">
        <v>3524</v>
      </c>
      <c r="K154" s="3170" t="s">
        <v>4004</v>
      </c>
      <c r="L154" s="3172">
        <v>19.13</v>
      </c>
      <c r="M154" s="3173" t="s">
        <v>3317</v>
      </c>
    </row>
    <row r="155" spans="8:13" ht="15.75" thickBot="1">
      <c r="H155" s="3169">
        <v>330</v>
      </c>
      <c r="I155" s="3170" t="s">
        <v>4006</v>
      </c>
      <c r="J155" s="3170" t="s">
        <v>3524</v>
      </c>
      <c r="K155" s="3170" t="s">
        <v>4007</v>
      </c>
      <c r="L155" s="3172">
        <v>19.13</v>
      </c>
      <c r="M155" s="3173" t="s">
        <v>3317</v>
      </c>
    </row>
    <row r="156" spans="8:13" ht="15.75" thickBot="1">
      <c r="H156" s="3169">
        <v>331</v>
      </c>
      <c r="I156" s="3170" t="s">
        <v>4009</v>
      </c>
      <c r="J156" s="3170" t="s">
        <v>3524</v>
      </c>
      <c r="K156" s="3170" t="s">
        <v>4010</v>
      </c>
      <c r="L156" s="3172">
        <v>27.57</v>
      </c>
      <c r="M156" s="3173" t="s">
        <v>3317</v>
      </c>
    </row>
    <row r="157" spans="8:13" ht="15.75" thickBot="1">
      <c r="H157" s="3169">
        <v>332</v>
      </c>
      <c r="I157" s="3170" t="s">
        <v>4012</v>
      </c>
      <c r="J157" s="3170" t="s">
        <v>3524</v>
      </c>
      <c r="K157" s="3170" t="s">
        <v>4013</v>
      </c>
      <c r="L157" s="3172">
        <v>18.329999999999998</v>
      </c>
      <c r="M157" s="3173" t="s">
        <v>3317</v>
      </c>
    </row>
    <row r="158" spans="8:13" ht="15.75" thickBot="1">
      <c r="H158" s="3169">
        <v>333</v>
      </c>
      <c r="I158" s="3170" t="s">
        <v>4015</v>
      </c>
      <c r="J158" s="3170" t="s">
        <v>3524</v>
      </c>
      <c r="K158" s="3170" t="s">
        <v>4016</v>
      </c>
      <c r="L158" s="3172">
        <v>16.350000000000001</v>
      </c>
      <c r="M158" s="3173" t="s">
        <v>3317</v>
      </c>
    </row>
    <row r="159" spans="8:13" ht="15.75" thickBot="1">
      <c r="H159" s="3169">
        <v>334</v>
      </c>
      <c r="I159" s="3170" t="s">
        <v>4018</v>
      </c>
      <c r="J159" s="3170" t="s">
        <v>3524</v>
      </c>
      <c r="K159" s="3170" t="s">
        <v>4019</v>
      </c>
      <c r="L159" s="3172">
        <v>17.02</v>
      </c>
      <c r="M159" s="3173" t="s">
        <v>3317</v>
      </c>
    </row>
    <row r="160" spans="8:13" ht="15.75" thickBot="1">
      <c r="H160" s="3169">
        <v>338</v>
      </c>
      <c r="I160" s="3170" t="s">
        <v>4030</v>
      </c>
      <c r="J160" s="3170" t="s">
        <v>3524</v>
      </c>
      <c r="K160" s="3170" t="s">
        <v>4031</v>
      </c>
      <c r="L160" s="3172">
        <v>27.99</v>
      </c>
      <c r="M160" s="3173" t="s">
        <v>3317</v>
      </c>
    </row>
    <row r="161" spans="8:13" ht="15.75" thickBot="1">
      <c r="H161" s="3169">
        <v>339</v>
      </c>
      <c r="I161" s="3170" t="s">
        <v>4033</v>
      </c>
      <c r="J161" s="3170" t="s">
        <v>3524</v>
      </c>
      <c r="K161" s="3170" t="s">
        <v>4034</v>
      </c>
      <c r="L161" s="3172">
        <v>22.8</v>
      </c>
      <c r="M161" s="3173" t="s">
        <v>3317</v>
      </c>
    </row>
    <row r="162" spans="8:13" ht="15.75" thickBot="1">
      <c r="H162" s="3169">
        <v>340</v>
      </c>
      <c r="I162" s="3170" t="s">
        <v>4036</v>
      </c>
      <c r="J162" s="3170" t="s">
        <v>3524</v>
      </c>
      <c r="K162" s="3170" t="s">
        <v>4037</v>
      </c>
      <c r="L162" s="3172">
        <v>48</v>
      </c>
      <c r="M162" s="3173" t="s">
        <v>3317</v>
      </c>
    </row>
    <row r="163" spans="8:13" ht="15.75" thickBot="1">
      <c r="H163" s="3169">
        <v>341</v>
      </c>
      <c r="I163" s="3170" t="s">
        <v>4039</v>
      </c>
      <c r="J163" s="3170" t="s">
        <v>3524</v>
      </c>
      <c r="K163" s="3170" t="s">
        <v>4040</v>
      </c>
      <c r="L163" s="3172">
        <v>49.63</v>
      </c>
      <c r="M163" s="3173" t="s">
        <v>3317</v>
      </c>
    </row>
    <row r="164" spans="8:13" ht="15.75" thickBot="1">
      <c r="H164" s="3169">
        <v>342</v>
      </c>
      <c r="I164" s="3170" t="s">
        <v>4042</v>
      </c>
      <c r="J164" s="3170" t="s">
        <v>3524</v>
      </c>
      <c r="K164" s="3170" t="s">
        <v>4043</v>
      </c>
      <c r="L164" s="3172">
        <v>23.64</v>
      </c>
      <c r="M164" s="3173" t="s">
        <v>3317</v>
      </c>
    </row>
    <row r="165" spans="8:13" ht="15.75" thickBot="1">
      <c r="H165" s="3169">
        <v>343</v>
      </c>
      <c r="I165" s="3170" t="s">
        <v>4045</v>
      </c>
      <c r="J165" s="3170" t="s">
        <v>3524</v>
      </c>
      <c r="K165" s="3170" t="s">
        <v>4046</v>
      </c>
      <c r="L165" s="3172">
        <v>56.69</v>
      </c>
      <c r="M165" s="3173" t="s">
        <v>3317</v>
      </c>
    </row>
    <row r="166" spans="8:13" ht="15.75" thickBot="1">
      <c r="H166" s="3169">
        <v>344</v>
      </c>
      <c r="I166" s="3170" t="s">
        <v>4048</v>
      </c>
      <c r="J166" s="3170" t="s">
        <v>3524</v>
      </c>
      <c r="K166" s="3170" t="s">
        <v>4049</v>
      </c>
      <c r="L166" s="3172">
        <v>41.12</v>
      </c>
      <c r="M166" s="3173" t="s">
        <v>3317</v>
      </c>
    </row>
    <row r="167" spans="8:13" ht="15.75" thickBot="1">
      <c r="H167" s="3169">
        <v>345</v>
      </c>
      <c r="I167" s="3170" t="s">
        <v>4051</v>
      </c>
      <c r="J167" s="3170" t="s">
        <v>3524</v>
      </c>
      <c r="K167" s="3170" t="s">
        <v>4052</v>
      </c>
      <c r="L167" s="3172">
        <v>41.12</v>
      </c>
      <c r="M167" s="3173" t="s">
        <v>3317</v>
      </c>
    </row>
    <row r="168" spans="8:13" ht="15.75" thickBot="1">
      <c r="H168" s="3169">
        <v>346</v>
      </c>
      <c r="I168" s="3170" t="s">
        <v>4054</v>
      </c>
      <c r="J168" s="3170" t="s">
        <v>3524</v>
      </c>
      <c r="K168" s="3170" t="s">
        <v>4055</v>
      </c>
      <c r="L168" s="3172">
        <v>56.69</v>
      </c>
      <c r="M168" s="3173" t="s">
        <v>3317</v>
      </c>
    </row>
    <row r="169" spans="8:13" ht="15.75" thickBot="1">
      <c r="H169" s="3169">
        <v>347</v>
      </c>
      <c r="I169" s="3170" t="s">
        <v>4057</v>
      </c>
      <c r="J169" s="3170" t="s">
        <v>3524</v>
      </c>
      <c r="K169" s="3170" t="s">
        <v>4058</v>
      </c>
      <c r="L169" s="3172">
        <v>19.13</v>
      </c>
      <c r="M169" s="3173" t="s">
        <v>3317</v>
      </c>
    </row>
    <row r="170" spans="8:13" ht="15.75" thickBot="1">
      <c r="H170" s="3169">
        <v>348</v>
      </c>
      <c r="I170" s="3170" t="s">
        <v>4060</v>
      </c>
      <c r="J170" s="3170" t="s">
        <v>3524</v>
      </c>
      <c r="K170" s="3170" t="s">
        <v>4061</v>
      </c>
      <c r="L170" s="3172">
        <v>27.59</v>
      </c>
      <c r="M170" s="3173" t="s">
        <v>3317</v>
      </c>
    </row>
    <row r="171" spans="8:13" ht="15.75" thickBot="1">
      <c r="H171" s="3169">
        <v>349</v>
      </c>
      <c r="I171" s="3170" t="s">
        <v>4063</v>
      </c>
      <c r="J171" s="3170" t="s">
        <v>3524</v>
      </c>
      <c r="K171" s="3170" t="s">
        <v>4064</v>
      </c>
      <c r="L171" s="3172">
        <v>16.350000000000001</v>
      </c>
      <c r="M171" s="3173" t="s">
        <v>3317</v>
      </c>
    </row>
    <row r="172" spans="8:13" ht="15.75" thickBot="1">
      <c r="H172" s="3169">
        <v>350</v>
      </c>
      <c r="I172" s="3170" t="s">
        <v>4066</v>
      </c>
      <c r="J172" s="3170" t="s">
        <v>3524</v>
      </c>
      <c r="K172" s="3170" t="s">
        <v>4067</v>
      </c>
      <c r="L172" s="3172">
        <v>17.78</v>
      </c>
      <c r="M172" s="3173" t="s">
        <v>3317</v>
      </c>
    </row>
    <row r="173" spans="8:13" ht="15.75" thickBot="1">
      <c r="H173" s="3169">
        <v>352</v>
      </c>
      <c r="I173" s="3170" t="s">
        <v>4072</v>
      </c>
      <c r="J173" s="3170" t="s">
        <v>3524</v>
      </c>
      <c r="K173" s="3170" t="s">
        <v>4073</v>
      </c>
      <c r="L173" s="3172">
        <v>41.52</v>
      </c>
      <c r="M173" s="3173" t="s">
        <v>3317</v>
      </c>
    </row>
    <row r="174" spans="8:13" ht="15.75" thickBot="1">
      <c r="H174" s="3169">
        <v>353</v>
      </c>
      <c r="I174" s="3170" t="s">
        <v>4075</v>
      </c>
      <c r="J174" s="3170" t="s">
        <v>3524</v>
      </c>
      <c r="K174" s="3170" t="s">
        <v>4076</v>
      </c>
      <c r="L174" s="3172">
        <v>56.78</v>
      </c>
      <c r="M174" s="3173" t="s">
        <v>3317</v>
      </c>
    </row>
    <row r="175" spans="8:13" ht="15.75" thickBot="1">
      <c r="H175" s="3169">
        <v>354</v>
      </c>
      <c r="I175" s="3170" t="s">
        <v>4078</v>
      </c>
      <c r="J175" s="3170" t="s">
        <v>3524</v>
      </c>
      <c r="K175" s="3170" t="s">
        <v>4079</v>
      </c>
      <c r="L175" s="3172">
        <v>23.7</v>
      </c>
      <c r="M175" s="3173" t="s">
        <v>3317</v>
      </c>
    </row>
    <row r="176" spans="8:13" ht="15.75" thickBot="1">
      <c r="H176" s="3169">
        <v>355</v>
      </c>
      <c r="I176" s="3170" t="s">
        <v>4081</v>
      </c>
      <c r="J176" s="3170" t="s">
        <v>3524</v>
      </c>
      <c r="K176" s="3170" t="s">
        <v>4082</v>
      </c>
      <c r="L176" s="3172">
        <v>27.65</v>
      </c>
      <c r="M176" s="3173" t="s">
        <v>3317</v>
      </c>
    </row>
    <row r="177" spans="8:13" ht="15.75" thickBot="1">
      <c r="H177" s="3169">
        <v>356</v>
      </c>
      <c r="I177" s="3170" t="s">
        <v>4084</v>
      </c>
      <c r="J177" s="3170" t="s">
        <v>3524</v>
      </c>
      <c r="K177" s="3170" t="s">
        <v>4085</v>
      </c>
      <c r="L177" s="3172">
        <v>19.18</v>
      </c>
      <c r="M177" s="3173" t="s">
        <v>3317</v>
      </c>
    </row>
    <row r="178" spans="8:13" ht="15.75" thickBot="1">
      <c r="H178" s="3169">
        <v>357</v>
      </c>
      <c r="I178" s="3170" t="s">
        <v>4087</v>
      </c>
      <c r="J178" s="3170" t="s">
        <v>3524</v>
      </c>
      <c r="K178" s="3170" t="s">
        <v>4088</v>
      </c>
      <c r="L178" s="3172">
        <v>19.18</v>
      </c>
      <c r="M178" s="3173" t="s">
        <v>3317</v>
      </c>
    </row>
    <row r="179" spans="8:13" ht="15.75" thickBot="1">
      <c r="H179" s="3169">
        <v>358</v>
      </c>
      <c r="I179" s="3170" t="s">
        <v>4090</v>
      </c>
      <c r="J179" s="3170" t="s">
        <v>3524</v>
      </c>
      <c r="K179" s="3170" t="s">
        <v>4091</v>
      </c>
      <c r="L179" s="3172">
        <v>27.65</v>
      </c>
      <c r="M179" s="3173" t="s">
        <v>3317</v>
      </c>
    </row>
    <row r="180" spans="8:13" ht="15.75" thickBot="1">
      <c r="H180" s="3169">
        <v>359</v>
      </c>
      <c r="I180" s="3170" t="s">
        <v>4093</v>
      </c>
      <c r="J180" s="3170" t="s">
        <v>3524</v>
      </c>
      <c r="K180" s="3170" t="s">
        <v>4094</v>
      </c>
      <c r="L180" s="3172">
        <v>19.82</v>
      </c>
      <c r="M180" s="3173" t="s">
        <v>3317</v>
      </c>
    </row>
    <row r="181" spans="8:13" ht="15.75" thickBot="1">
      <c r="H181" s="3169">
        <v>360</v>
      </c>
      <c r="I181" s="3170" t="s">
        <v>4096</v>
      </c>
      <c r="J181" s="3170" t="s">
        <v>3524</v>
      </c>
      <c r="K181" s="3170" t="s">
        <v>4097</v>
      </c>
      <c r="L181" s="3172">
        <v>19.82</v>
      </c>
      <c r="M181" s="3173" t="s">
        <v>3317</v>
      </c>
    </row>
    <row r="182" spans="8:13" ht="15.75" thickBot="1">
      <c r="H182" s="3169">
        <v>361</v>
      </c>
      <c r="I182" s="3170" t="s">
        <v>4099</v>
      </c>
      <c r="J182" s="3170" t="s">
        <v>3524</v>
      </c>
      <c r="K182" s="3170" t="s">
        <v>4100</v>
      </c>
      <c r="L182" s="3172">
        <v>27.65</v>
      </c>
      <c r="M182" s="3173" t="s">
        <v>3317</v>
      </c>
    </row>
    <row r="183" spans="8:13" ht="15.75" thickBot="1">
      <c r="H183" s="3169">
        <v>362</v>
      </c>
      <c r="I183" s="3170" t="s">
        <v>4102</v>
      </c>
      <c r="J183" s="3170" t="s">
        <v>3524</v>
      </c>
      <c r="K183" s="3170" t="s">
        <v>4103</v>
      </c>
      <c r="L183" s="3172">
        <v>12.43</v>
      </c>
      <c r="M183" s="3173" t="s">
        <v>3317</v>
      </c>
    </row>
    <row r="184" spans="8:13" ht="15.75" thickBot="1">
      <c r="H184" s="3169">
        <v>381</v>
      </c>
      <c r="I184" s="3170" t="s">
        <v>4154</v>
      </c>
      <c r="J184" s="3170" t="s">
        <v>3524</v>
      </c>
      <c r="K184" s="3170" t="s">
        <v>4155</v>
      </c>
      <c r="L184" s="3172">
        <v>34.11</v>
      </c>
      <c r="M184" s="3173" t="s">
        <v>3317</v>
      </c>
    </row>
    <row r="185" spans="8:13" ht="15.75" thickBot="1">
      <c r="H185" s="3169">
        <v>382</v>
      </c>
      <c r="I185" s="3170" t="s">
        <v>4157</v>
      </c>
      <c r="J185" s="3170" t="s">
        <v>3524</v>
      </c>
      <c r="K185" s="3170" t="s">
        <v>4158</v>
      </c>
      <c r="L185" s="3172">
        <v>62.51</v>
      </c>
      <c r="M185" s="3173" t="s">
        <v>3317</v>
      </c>
    </row>
    <row r="186" spans="8:13" ht="15.75" thickBot="1">
      <c r="H186" s="3169">
        <v>383</v>
      </c>
      <c r="I186" s="3170" t="s">
        <v>4160</v>
      </c>
      <c r="J186" s="3170" t="s">
        <v>3524</v>
      </c>
      <c r="K186" s="3170" t="s">
        <v>4161</v>
      </c>
      <c r="L186" s="3172">
        <v>47.4</v>
      </c>
      <c r="M186" s="3173" t="s">
        <v>3317</v>
      </c>
    </row>
    <row r="187" spans="8:13" ht="15.75" thickBot="1">
      <c r="H187" s="3169">
        <v>384</v>
      </c>
      <c r="I187" s="3170" t="s">
        <v>4163</v>
      </c>
      <c r="J187" s="3170" t="s">
        <v>3524</v>
      </c>
      <c r="K187" s="3170" t="s">
        <v>4164</v>
      </c>
      <c r="L187" s="3172">
        <v>47.4</v>
      </c>
      <c r="M187" s="3173" t="s">
        <v>3317</v>
      </c>
    </row>
    <row r="188" spans="8:13" ht="15.75" thickBot="1">
      <c r="H188" s="3169">
        <v>385</v>
      </c>
      <c r="I188" s="3170" t="s">
        <v>4166</v>
      </c>
      <c r="J188" s="3170" t="s">
        <v>3524</v>
      </c>
      <c r="K188" s="3170" t="s">
        <v>4167</v>
      </c>
      <c r="L188" s="3172">
        <v>62.51</v>
      </c>
      <c r="M188" s="3173" t="s">
        <v>3317</v>
      </c>
    </row>
    <row r="189" spans="8:13" ht="15.75" thickBot="1">
      <c r="H189" s="3169">
        <v>386</v>
      </c>
      <c r="I189" s="3170" t="s">
        <v>4169</v>
      </c>
      <c r="J189" s="3170" t="s">
        <v>3524</v>
      </c>
      <c r="K189" s="3170" t="s">
        <v>4170</v>
      </c>
      <c r="L189" s="3172">
        <v>34.11</v>
      </c>
      <c r="M189" s="3173" t="s">
        <v>3317</v>
      </c>
    </row>
    <row r="190" spans="8:13" ht="15.75" thickBot="1">
      <c r="H190" s="3169">
        <v>387</v>
      </c>
      <c r="I190" s="3170" t="s">
        <v>4172</v>
      </c>
      <c r="J190" s="3170" t="s">
        <v>3524</v>
      </c>
      <c r="K190" s="3170" t="s">
        <v>4173</v>
      </c>
      <c r="L190" s="3172">
        <v>34.11</v>
      </c>
      <c r="M190" s="3173" t="s">
        <v>3317</v>
      </c>
    </row>
    <row r="191" spans="8:13" ht="15.75" thickBot="1">
      <c r="H191" s="3169">
        <v>388</v>
      </c>
      <c r="I191" s="3170" t="s">
        <v>4175</v>
      </c>
      <c r="J191" s="3170" t="s">
        <v>3524</v>
      </c>
      <c r="K191" s="3170" t="s">
        <v>4176</v>
      </c>
      <c r="L191" s="3172">
        <v>62.51</v>
      </c>
      <c r="M191" s="3173" t="s">
        <v>3317</v>
      </c>
    </row>
    <row r="192" spans="8:13" ht="15.75" thickBot="1">
      <c r="H192" s="3169">
        <v>389</v>
      </c>
      <c r="I192" s="3170" t="s">
        <v>4178</v>
      </c>
      <c r="J192" s="3170" t="s">
        <v>3524</v>
      </c>
      <c r="K192" s="3170" t="s">
        <v>4179</v>
      </c>
      <c r="L192" s="3172">
        <v>47.07</v>
      </c>
      <c r="M192" s="3173" t="s">
        <v>3317</v>
      </c>
    </row>
    <row r="193" spans="8:13" ht="15.75" thickBot="1">
      <c r="H193" s="3169">
        <v>390</v>
      </c>
      <c r="I193" s="3170" t="s">
        <v>4181</v>
      </c>
      <c r="J193" s="3170" t="s">
        <v>3524</v>
      </c>
      <c r="K193" s="3170" t="s">
        <v>4182</v>
      </c>
      <c r="L193" s="3172">
        <v>47.07</v>
      </c>
      <c r="M193" s="3173" t="s">
        <v>3317</v>
      </c>
    </row>
    <row r="194" spans="8:13" ht="15.75" thickBot="1">
      <c r="H194" s="3169">
        <v>391</v>
      </c>
      <c r="I194" s="3170" t="s">
        <v>4184</v>
      </c>
      <c r="J194" s="3170" t="s">
        <v>3524</v>
      </c>
      <c r="K194" s="3170" t="s">
        <v>4185</v>
      </c>
      <c r="L194" s="3172">
        <v>62.51</v>
      </c>
      <c r="M194" s="3173" t="s">
        <v>3317</v>
      </c>
    </row>
    <row r="195" spans="8:13" ht="15.75" thickBot="1">
      <c r="H195" s="3169">
        <v>392</v>
      </c>
      <c r="I195" s="3170" t="s">
        <v>4187</v>
      </c>
      <c r="J195" s="3170" t="s">
        <v>3524</v>
      </c>
      <c r="K195" s="3170" t="s">
        <v>4188</v>
      </c>
      <c r="L195" s="3172">
        <v>34.11</v>
      </c>
      <c r="M195" s="3173" t="s">
        <v>3317</v>
      </c>
    </row>
    <row r="196" spans="8:13" ht="15.75" thickBot="1">
      <c r="H196" s="3169">
        <v>393</v>
      </c>
      <c r="I196" s="3170" t="s">
        <v>4190</v>
      </c>
      <c r="J196" s="3170" t="s">
        <v>3524</v>
      </c>
      <c r="K196" s="3170" t="s">
        <v>4191</v>
      </c>
      <c r="L196" s="3172">
        <v>34.11</v>
      </c>
      <c r="M196" s="3173" t="s">
        <v>3317</v>
      </c>
    </row>
    <row r="197" spans="8:13" ht="15.75" thickBot="1">
      <c r="H197" s="3169">
        <v>394</v>
      </c>
      <c r="I197" s="3170" t="s">
        <v>4193</v>
      </c>
      <c r="J197" s="3170" t="s">
        <v>3524</v>
      </c>
      <c r="K197" s="3170" t="s">
        <v>4194</v>
      </c>
      <c r="L197" s="3172">
        <v>62.51</v>
      </c>
      <c r="M197" s="3173" t="s">
        <v>3317</v>
      </c>
    </row>
    <row r="198" spans="8:13" ht="15.75" thickBot="1">
      <c r="H198" s="3169">
        <v>395</v>
      </c>
      <c r="I198" s="3170" t="s">
        <v>4196</v>
      </c>
      <c r="J198" s="3170" t="s">
        <v>3524</v>
      </c>
      <c r="K198" s="3170" t="s">
        <v>4197</v>
      </c>
      <c r="L198" s="3172">
        <v>55.87</v>
      </c>
      <c r="M198" s="3173" t="s">
        <v>3317</v>
      </c>
    </row>
    <row r="199" spans="8:13" ht="15.75" thickBot="1">
      <c r="H199" s="3169">
        <v>396</v>
      </c>
      <c r="I199" s="3170" t="s">
        <v>4199</v>
      </c>
      <c r="J199" s="3170" t="s">
        <v>3524</v>
      </c>
      <c r="K199" s="3170" t="s">
        <v>4200</v>
      </c>
      <c r="L199" s="3172">
        <v>28.64</v>
      </c>
      <c r="M199" s="3173" t="s">
        <v>3317</v>
      </c>
    </row>
    <row r="200" spans="8:13" ht="15.75" thickBot="1">
      <c r="H200" s="3169">
        <v>397</v>
      </c>
      <c r="I200" s="3170" t="s">
        <v>4202</v>
      </c>
      <c r="J200" s="3170" t="s">
        <v>3524</v>
      </c>
      <c r="K200" s="3170" t="s">
        <v>4203</v>
      </c>
      <c r="L200" s="3172">
        <v>22.66</v>
      </c>
      <c r="M200" s="3173" t="s">
        <v>3317</v>
      </c>
    </row>
    <row r="201" spans="8:13" ht="15.75" thickBot="1">
      <c r="H201" s="3169">
        <v>398</v>
      </c>
      <c r="I201" s="3170" t="s">
        <v>4205</v>
      </c>
      <c r="J201" s="3170" t="s">
        <v>3524</v>
      </c>
      <c r="K201" s="3170" t="s">
        <v>4206</v>
      </c>
      <c r="L201" s="3172">
        <v>28.54</v>
      </c>
      <c r="M201" s="3173" t="s">
        <v>3317</v>
      </c>
    </row>
    <row r="202" spans="8:13" ht="15.75" thickBot="1">
      <c r="H202" s="3169">
        <v>399</v>
      </c>
      <c r="I202" s="3170" t="s">
        <v>4208</v>
      </c>
      <c r="J202" s="3170" t="s">
        <v>3524</v>
      </c>
      <c r="K202" s="3170" t="s">
        <v>4209</v>
      </c>
      <c r="L202" s="3172">
        <v>28.54</v>
      </c>
      <c r="M202" s="3173" t="s">
        <v>3317</v>
      </c>
    </row>
    <row r="203" spans="8:13" ht="15.75" thickBot="1">
      <c r="H203" s="3169">
        <v>400</v>
      </c>
      <c r="I203" s="3170" t="s">
        <v>4211</v>
      </c>
      <c r="J203" s="3170" t="s">
        <v>3524</v>
      </c>
      <c r="K203" s="3170" t="s">
        <v>4212</v>
      </c>
      <c r="L203" s="3172">
        <v>43.21</v>
      </c>
      <c r="M203" s="3173" t="s">
        <v>3317</v>
      </c>
    </row>
    <row r="204" spans="8:13" ht="15.75" thickBot="1">
      <c r="H204" s="3169">
        <v>401</v>
      </c>
      <c r="I204" s="3170" t="s">
        <v>4214</v>
      </c>
      <c r="J204" s="3170" t="s">
        <v>3524</v>
      </c>
      <c r="K204" s="3170" t="s">
        <v>4215</v>
      </c>
      <c r="L204" s="3172">
        <v>43.12</v>
      </c>
      <c r="M204" s="3173" t="s">
        <v>3317</v>
      </c>
    </row>
    <row r="205" spans="8:13" ht="15.75" thickBot="1">
      <c r="H205" s="3169">
        <v>402</v>
      </c>
      <c r="I205" s="3170" t="s">
        <v>4217</v>
      </c>
      <c r="J205" s="3170" t="s">
        <v>3524</v>
      </c>
      <c r="K205" s="3170" t="s">
        <v>4218</v>
      </c>
      <c r="L205" s="3172">
        <v>19.97</v>
      </c>
      <c r="M205" s="3173" t="s">
        <v>3317</v>
      </c>
    </row>
    <row r="206" spans="8:13" ht="15.75" thickBot="1">
      <c r="H206" s="3169">
        <v>403</v>
      </c>
      <c r="I206" s="3170" t="s">
        <v>4220</v>
      </c>
      <c r="J206" s="3170" t="s">
        <v>3524</v>
      </c>
      <c r="K206" s="3170" t="s">
        <v>4221</v>
      </c>
      <c r="L206" s="3172">
        <v>19.97</v>
      </c>
      <c r="M206" s="3173" t="s">
        <v>3317</v>
      </c>
    </row>
    <row r="207" spans="8:13" ht="15.75" thickBot="1">
      <c r="H207" s="3169">
        <v>404</v>
      </c>
      <c r="I207" s="3170" t="s">
        <v>4223</v>
      </c>
      <c r="J207" s="3170" t="s">
        <v>3524</v>
      </c>
      <c r="K207" s="3170" t="s">
        <v>4224</v>
      </c>
      <c r="L207" s="3172">
        <v>19.97</v>
      </c>
      <c r="M207" s="3173" t="s">
        <v>3317</v>
      </c>
    </row>
    <row r="208" spans="8:13" ht="15.75" thickBot="1">
      <c r="H208" s="3169">
        <v>405</v>
      </c>
      <c r="I208" s="3170" t="s">
        <v>4226</v>
      </c>
      <c r="J208" s="3170" t="s">
        <v>3524</v>
      </c>
      <c r="K208" s="3170" t="s">
        <v>4227</v>
      </c>
      <c r="L208" s="3172">
        <v>19.97</v>
      </c>
      <c r="M208" s="3173" t="s">
        <v>3317</v>
      </c>
    </row>
    <row r="209" spans="8:13" ht="15.75" thickBot="1">
      <c r="H209" s="3169">
        <v>406</v>
      </c>
      <c r="I209" s="3170" t="s">
        <v>4229</v>
      </c>
      <c r="J209" s="3170" t="s">
        <v>3524</v>
      </c>
      <c r="K209" s="3170" t="s">
        <v>4230</v>
      </c>
      <c r="L209" s="3172">
        <v>19.97</v>
      </c>
      <c r="M209" s="3173" t="s">
        <v>3317</v>
      </c>
    </row>
    <row r="210" spans="8:13" ht="15.75" thickBot="1">
      <c r="H210" s="3169">
        <v>414</v>
      </c>
      <c r="I210" s="3170" t="s">
        <v>4251</v>
      </c>
      <c r="J210" s="3170" t="s">
        <v>3524</v>
      </c>
      <c r="K210" s="3170" t="s">
        <v>4252</v>
      </c>
      <c r="L210" s="3172">
        <v>12.98</v>
      </c>
      <c r="M210" s="3173" t="s">
        <v>3317</v>
      </c>
    </row>
    <row r="211" spans="8:13" ht="15.75" thickBot="1">
      <c r="H211" s="3169">
        <v>415</v>
      </c>
      <c r="I211" s="3170" t="s">
        <v>4254</v>
      </c>
      <c r="J211" s="3170" t="s">
        <v>3524</v>
      </c>
      <c r="K211" s="3170" t="s">
        <v>4255</v>
      </c>
      <c r="L211" s="3172">
        <v>38.93</v>
      </c>
      <c r="M211" s="3173" t="s">
        <v>3317</v>
      </c>
    </row>
    <row r="212" spans="8:13" ht="15.75" thickBot="1">
      <c r="H212" s="3169">
        <v>416</v>
      </c>
      <c r="I212" s="3170" t="s">
        <v>4257</v>
      </c>
      <c r="J212" s="3170" t="s">
        <v>3524</v>
      </c>
      <c r="K212" s="3170" t="s">
        <v>4258</v>
      </c>
      <c r="L212" s="3172">
        <v>47.04</v>
      </c>
      <c r="M212" s="3173" t="s">
        <v>3317</v>
      </c>
    </row>
    <row r="213" spans="8:13" ht="15.75" thickBot="1">
      <c r="H213" s="3169">
        <v>417</v>
      </c>
      <c r="I213" s="3170" t="s">
        <v>4260</v>
      </c>
      <c r="J213" s="3170" t="s">
        <v>3524</v>
      </c>
      <c r="K213" s="3170" t="s">
        <v>4261</v>
      </c>
      <c r="L213" s="3172">
        <v>62.16</v>
      </c>
      <c r="M213" s="3173" t="s">
        <v>3317</v>
      </c>
    </row>
    <row r="214" spans="8:13" ht="15.75" thickBot="1">
      <c r="H214" s="3169">
        <v>418</v>
      </c>
      <c r="I214" s="3170" t="s">
        <v>4263</v>
      </c>
      <c r="J214" s="3170" t="s">
        <v>3524</v>
      </c>
      <c r="K214" s="3170" t="s">
        <v>4264</v>
      </c>
      <c r="L214" s="3172">
        <v>61.2</v>
      </c>
      <c r="M214" s="3173" t="s">
        <v>3317</v>
      </c>
    </row>
    <row r="215" spans="8:13" ht="15.75" thickBot="1">
      <c r="H215" s="3169">
        <v>419</v>
      </c>
      <c r="I215" s="3170" t="s">
        <v>4266</v>
      </c>
      <c r="J215" s="3170" t="s">
        <v>3524</v>
      </c>
      <c r="K215" s="3170" t="s">
        <v>4267</v>
      </c>
      <c r="L215" s="3172">
        <v>61.2</v>
      </c>
      <c r="M215" s="3173" t="s">
        <v>3317</v>
      </c>
    </row>
    <row r="216" spans="8:13" ht="15.75" thickBot="1">
      <c r="H216" s="3169">
        <v>420</v>
      </c>
      <c r="I216" s="3170" t="s">
        <v>4269</v>
      </c>
      <c r="J216" s="3170" t="s">
        <v>3524</v>
      </c>
      <c r="K216" s="3170" t="s">
        <v>4270</v>
      </c>
      <c r="L216" s="3172">
        <v>62.16</v>
      </c>
      <c r="M216" s="3173" t="s">
        <v>3317</v>
      </c>
    </row>
    <row r="217" spans="8:13" ht="15.75" thickBot="1">
      <c r="H217" s="3169">
        <v>421</v>
      </c>
      <c r="I217" s="3170" t="s">
        <v>4272</v>
      </c>
      <c r="J217" s="3170" t="s">
        <v>3524</v>
      </c>
      <c r="K217" s="3170" t="s">
        <v>4273</v>
      </c>
      <c r="L217" s="3172">
        <v>47.04</v>
      </c>
      <c r="M217" s="3173" t="s">
        <v>3317</v>
      </c>
    </row>
    <row r="218" spans="8:13" ht="15.75" thickBot="1">
      <c r="H218" s="3169">
        <v>422</v>
      </c>
      <c r="I218" s="3170" t="s">
        <v>4275</v>
      </c>
      <c r="J218" s="3170" t="s">
        <v>3524</v>
      </c>
      <c r="K218" s="3170" t="s">
        <v>4276</v>
      </c>
      <c r="L218" s="3172">
        <v>42.64</v>
      </c>
      <c r="M218" s="3173" t="s">
        <v>3317</v>
      </c>
    </row>
    <row r="219" spans="8:13" ht="15.75" thickBot="1">
      <c r="H219" s="3169">
        <v>423</v>
      </c>
      <c r="I219" s="3170" t="s">
        <v>4278</v>
      </c>
      <c r="J219" s="3170" t="s">
        <v>3524</v>
      </c>
      <c r="K219" s="3170" t="s">
        <v>4279</v>
      </c>
      <c r="L219" s="3172">
        <v>42.64</v>
      </c>
      <c r="M219" s="3173" t="s">
        <v>3317</v>
      </c>
    </row>
    <row r="220" spans="8:13" ht="15.75" thickBot="1">
      <c r="H220" s="3169">
        <v>424</v>
      </c>
      <c r="I220" s="3170" t="s">
        <v>4281</v>
      </c>
      <c r="J220" s="3170" t="s">
        <v>3524</v>
      </c>
      <c r="K220" s="3170" t="s">
        <v>4282</v>
      </c>
      <c r="L220" s="3172">
        <v>47.04</v>
      </c>
      <c r="M220" s="3173" t="s">
        <v>3317</v>
      </c>
    </row>
    <row r="221" spans="8:13" ht="15.75" thickBot="1">
      <c r="H221" s="3169">
        <v>425</v>
      </c>
      <c r="I221" s="3170" t="s">
        <v>4284</v>
      </c>
      <c r="J221" s="3170" t="s">
        <v>3524</v>
      </c>
      <c r="K221" s="3170" t="s">
        <v>4285</v>
      </c>
      <c r="L221" s="3172">
        <v>62.16</v>
      </c>
      <c r="M221" s="3173" t="s">
        <v>3317</v>
      </c>
    </row>
    <row r="222" spans="8:13" ht="15.75" thickBot="1">
      <c r="H222" s="3169">
        <v>426</v>
      </c>
      <c r="I222" s="3170" t="s">
        <v>4287</v>
      </c>
      <c r="J222" s="3170" t="s">
        <v>3524</v>
      </c>
      <c r="K222" s="3170" t="s">
        <v>4288</v>
      </c>
      <c r="L222" s="3172">
        <v>61.2</v>
      </c>
      <c r="M222" s="3173" t="s">
        <v>3317</v>
      </c>
    </row>
    <row r="223" spans="8:13" ht="15.75" thickBot="1">
      <c r="H223" s="3169">
        <v>427</v>
      </c>
      <c r="I223" s="3170" t="s">
        <v>4290</v>
      </c>
      <c r="J223" s="3170" t="s">
        <v>3524</v>
      </c>
      <c r="K223" s="3170" t="s">
        <v>4291</v>
      </c>
      <c r="L223" s="3172">
        <v>61.2</v>
      </c>
      <c r="M223" s="3173" t="s">
        <v>3317</v>
      </c>
    </row>
    <row r="224" spans="8:13" ht="15.75" thickBot="1">
      <c r="H224" s="3169">
        <v>428</v>
      </c>
      <c r="I224" s="3170" t="s">
        <v>4293</v>
      </c>
      <c r="J224" s="3170" t="s">
        <v>3524</v>
      </c>
      <c r="K224" s="3170" t="s">
        <v>4294</v>
      </c>
      <c r="L224" s="3172">
        <v>62.16</v>
      </c>
      <c r="M224" s="3173" t="s">
        <v>3317</v>
      </c>
    </row>
    <row r="225" spans="8:13" ht="15.75" thickBot="1">
      <c r="H225" s="3169">
        <v>429</v>
      </c>
      <c r="I225" s="3170" t="s">
        <v>4296</v>
      </c>
      <c r="J225" s="3170" t="s">
        <v>3524</v>
      </c>
      <c r="K225" s="3170" t="s">
        <v>4297</v>
      </c>
      <c r="L225" s="3172">
        <v>47.04</v>
      </c>
      <c r="M225" s="3173" t="s">
        <v>3317</v>
      </c>
    </row>
    <row r="226" spans="8:13" ht="15.75" thickBot="1">
      <c r="H226" s="3169">
        <v>430</v>
      </c>
      <c r="I226" s="3170" t="s">
        <v>4299</v>
      </c>
      <c r="J226" s="3170" t="s">
        <v>3524</v>
      </c>
      <c r="K226" s="3170" t="s">
        <v>4300</v>
      </c>
      <c r="L226" s="3172">
        <v>54.27</v>
      </c>
      <c r="M226" s="3173" t="s">
        <v>3317</v>
      </c>
    </row>
    <row r="227" spans="8:13" ht="15.75" thickBot="1">
      <c r="H227" s="3169">
        <v>431</v>
      </c>
      <c r="I227" s="3170" t="s">
        <v>4302</v>
      </c>
      <c r="J227" s="3170" t="s">
        <v>3524</v>
      </c>
      <c r="K227" s="3170" t="s">
        <v>4303</v>
      </c>
      <c r="L227" s="3172">
        <v>15.1</v>
      </c>
      <c r="M227" s="3173" t="s">
        <v>3317</v>
      </c>
    </row>
    <row r="228" spans="8:13" ht="15.75" thickBot="1">
      <c r="H228" s="3169">
        <v>432</v>
      </c>
      <c r="I228" s="3170" t="s">
        <v>4305</v>
      </c>
      <c r="J228" s="3170" t="s">
        <v>3524</v>
      </c>
      <c r="K228" s="3170" t="s">
        <v>4306</v>
      </c>
      <c r="L228" s="3172">
        <v>22.83</v>
      </c>
      <c r="M228" s="3173" t="s">
        <v>3317</v>
      </c>
    </row>
    <row r="229" spans="8:13" ht="15.75" thickBot="1">
      <c r="H229" s="3169">
        <v>433</v>
      </c>
      <c r="I229" s="3170" t="s">
        <v>4308</v>
      </c>
      <c r="J229" s="3170" t="s">
        <v>3524</v>
      </c>
      <c r="K229" s="3170" t="s">
        <v>4309</v>
      </c>
      <c r="L229" s="3172">
        <v>22.83</v>
      </c>
      <c r="M229" s="3173" t="s">
        <v>3317</v>
      </c>
    </row>
    <row r="230" spans="8:13" ht="15.75" thickBot="1">
      <c r="H230" s="3169">
        <v>434</v>
      </c>
      <c r="I230" s="3170" t="s">
        <v>4311</v>
      </c>
      <c r="J230" s="3170" t="s">
        <v>3524</v>
      </c>
      <c r="K230" s="3170" t="s">
        <v>4312</v>
      </c>
      <c r="L230" s="3172">
        <v>23.28</v>
      </c>
      <c r="M230" s="3173" t="s">
        <v>3317</v>
      </c>
    </row>
    <row r="231" spans="8:13" ht="15.75" thickBot="1">
      <c r="H231" s="3169">
        <v>435</v>
      </c>
      <c r="I231" s="3170" t="s">
        <v>4314</v>
      </c>
      <c r="J231" s="3170" t="s">
        <v>3524</v>
      </c>
      <c r="K231" s="3170" t="s">
        <v>4315</v>
      </c>
      <c r="L231" s="3172">
        <v>23.49</v>
      </c>
      <c r="M231" s="3173" t="s">
        <v>3317</v>
      </c>
    </row>
    <row r="232" spans="8:13" ht="15.75" thickBot="1">
      <c r="H232" s="3169">
        <v>440</v>
      </c>
      <c r="I232" s="3170" t="s">
        <v>4328</v>
      </c>
      <c r="J232" s="3170" t="s">
        <v>3524</v>
      </c>
      <c r="K232" s="3170" t="s">
        <v>4329</v>
      </c>
      <c r="L232" s="3172">
        <v>40.770000000000003</v>
      </c>
      <c r="M232" s="3173" t="s">
        <v>3317</v>
      </c>
    </row>
    <row r="233" spans="8:13" ht="15.75" thickBot="1">
      <c r="H233" s="3169">
        <v>441</v>
      </c>
      <c r="I233" s="3170" t="s">
        <v>4331</v>
      </c>
      <c r="J233" s="3170" t="s">
        <v>3524</v>
      </c>
      <c r="K233" s="3170" t="s">
        <v>4332</v>
      </c>
      <c r="L233" s="3172">
        <v>55.75</v>
      </c>
      <c r="M233" s="3173" t="s">
        <v>3317</v>
      </c>
    </row>
    <row r="234" spans="8:13" ht="15.75" thickBot="1">
      <c r="H234" s="3169">
        <v>442</v>
      </c>
      <c r="I234" s="3170" t="s">
        <v>4334</v>
      </c>
      <c r="J234" s="3170" t="s">
        <v>3524</v>
      </c>
      <c r="K234" s="3170" t="s">
        <v>4335</v>
      </c>
      <c r="L234" s="3172">
        <v>23.27</v>
      </c>
      <c r="M234" s="3173" t="s">
        <v>3317</v>
      </c>
    </row>
    <row r="235" spans="8:13" ht="15.75" thickBot="1">
      <c r="H235" s="3169">
        <v>443</v>
      </c>
      <c r="I235" s="3170" t="s">
        <v>4337</v>
      </c>
      <c r="J235" s="3170" t="s">
        <v>3524</v>
      </c>
      <c r="K235" s="3170" t="s">
        <v>4338</v>
      </c>
      <c r="L235" s="3172">
        <v>40.47</v>
      </c>
      <c r="M235" s="3173" t="s">
        <v>3317</v>
      </c>
    </row>
    <row r="236" spans="8:13" ht="15.75" thickBot="1">
      <c r="H236" s="3169">
        <v>444</v>
      </c>
      <c r="I236" s="3170" t="s">
        <v>4340</v>
      </c>
      <c r="J236" s="3170" t="s">
        <v>3524</v>
      </c>
      <c r="K236" s="3170" t="s">
        <v>4341</v>
      </c>
      <c r="L236" s="3172">
        <v>55.75</v>
      </c>
      <c r="M236" s="3173" t="s">
        <v>3317</v>
      </c>
    </row>
    <row r="237" spans="8:13" ht="15.75" thickBot="1">
      <c r="H237" s="3169">
        <v>445</v>
      </c>
      <c r="I237" s="3170" t="s">
        <v>4343</v>
      </c>
      <c r="J237" s="3170" t="s">
        <v>3524</v>
      </c>
      <c r="K237" s="3170" t="s">
        <v>4344</v>
      </c>
      <c r="L237" s="3172">
        <v>23.27</v>
      </c>
      <c r="M237" s="3173" t="s">
        <v>3317</v>
      </c>
    </row>
    <row r="238" spans="8:13" ht="15.75" thickBot="1">
      <c r="H238" s="3169">
        <v>446</v>
      </c>
      <c r="I238" s="3170" t="s">
        <v>4346</v>
      </c>
      <c r="J238" s="3170" t="s">
        <v>3524</v>
      </c>
      <c r="K238" s="3170" t="s">
        <v>4347</v>
      </c>
      <c r="L238" s="3172">
        <v>23.27</v>
      </c>
      <c r="M238" s="3173" t="s">
        <v>3317</v>
      </c>
    </row>
    <row r="239" spans="8:13" ht="15.75" thickBot="1">
      <c r="H239" s="3169">
        <v>447</v>
      </c>
      <c r="I239" s="3170" t="s">
        <v>4349</v>
      </c>
      <c r="J239" s="3170" t="s">
        <v>3524</v>
      </c>
      <c r="K239" s="3170" t="s">
        <v>4350</v>
      </c>
      <c r="L239" s="3172">
        <v>52.87</v>
      </c>
      <c r="M239" s="3173" t="s">
        <v>3317</v>
      </c>
    </row>
    <row r="240" spans="8:13" ht="15.75" thickBot="1">
      <c r="H240" s="3169">
        <v>448</v>
      </c>
      <c r="I240" s="3170" t="s">
        <v>4352</v>
      </c>
      <c r="J240" s="3170" t="s">
        <v>3524</v>
      </c>
      <c r="K240" s="3170" t="s">
        <v>4353</v>
      </c>
      <c r="L240" s="3172">
        <v>45.77</v>
      </c>
      <c r="M240" s="3173" t="s">
        <v>3317</v>
      </c>
    </row>
    <row r="241" spans="8:13" ht="15.75" thickBot="1">
      <c r="H241" s="3169">
        <v>449</v>
      </c>
      <c r="I241" s="3170" t="s">
        <v>4355</v>
      </c>
      <c r="J241" s="3170" t="s">
        <v>3524</v>
      </c>
      <c r="K241" s="3170" t="s">
        <v>4356</v>
      </c>
      <c r="L241" s="3172">
        <v>16.02</v>
      </c>
      <c r="M241" s="3173" t="s">
        <v>3317</v>
      </c>
    </row>
    <row r="242" spans="8:13" ht="15.75" thickBot="1">
      <c r="H242" s="3169">
        <v>450</v>
      </c>
      <c r="I242" s="3170" t="s">
        <v>4358</v>
      </c>
      <c r="J242" s="3170" t="s">
        <v>3524</v>
      </c>
      <c r="K242" s="3170" t="s">
        <v>4359</v>
      </c>
      <c r="L242" s="3172">
        <v>30.51</v>
      </c>
      <c r="M242" s="3173" t="s">
        <v>3317</v>
      </c>
    </row>
    <row r="243" spans="8:13" ht="15.75" thickBot="1">
      <c r="H243" s="3169">
        <v>451</v>
      </c>
      <c r="I243" s="3170" t="s">
        <v>4361</v>
      </c>
      <c r="J243" s="3170" t="s">
        <v>3524</v>
      </c>
      <c r="K243" s="3170" t="s">
        <v>4362</v>
      </c>
      <c r="L243" s="3172">
        <v>15.06</v>
      </c>
      <c r="M243" s="3173" t="s">
        <v>3317</v>
      </c>
    </row>
    <row r="244" spans="8:13" ht="15.75" thickBot="1">
      <c r="H244" s="3169">
        <v>452</v>
      </c>
      <c r="I244" s="3170" t="s">
        <v>4364</v>
      </c>
      <c r="J244" s="3170" t="s">
        <v>3524</v>
      </c>
      <c r="K244" s="3170" t="s">
        <v>4365</v>
      </c>
      <c r="L244" s="3172">
        <v>18.829999999999998</v>
      </c>
      <c r="M244" s="3173" t="s">
        <v>3317</v>
      </c>
    </row>
    <row r="245" spans="8:13" ht="15.75" thickBot="1">
      <c r="H245" s="3169">
        <v>453</v>
      </c>
      <c r="I245" s="3170" t="s">
        <v>4367</v>
      </c>
      <c r="J245" s="3170" t="s">
        <v>3524</v>
      </c>
      <c r="K245" s="3170" t="s">
        <v>4368</v>
      </c>
      <c r="L245" s="3172">
        <v>15.06</v>
      </c>
      <c r="M245" s="3173" t="s">
        <v>3317</v>
      </c>
    </row>
    <row r="246" spans="8:13" ht="15.75" thickBot="1">
      <c r="H246" s="3169">
        <v>454</v>
      </c>
      <c r="I246" s="3170" t="s">
        <v>4370</v>
      </c>
      <c r="J246" s="3170" t="s">
        <v>3524</v>
      </c>
      <c r="K246" s="3170" t="s">
        <v>4371</v>
      </c>
      <c r="L246" s="3172">
        <v>27.15</v>
      </c>
      <c r="M246" s="3173" t="s">
        <v>3317</v>
      </c>
    </row>
    <row r="247" spans="8:13" ht="15.75" thickBot="1">
      <c r="H247" s="3169">
        <v>455</v>
      </c>
      <c r="I247" s="3170" t="s">
        <v>4373</v>
      </c>
      <c r="J247" s="3170" t="s">
        <v>3524</v>
      </c>
      <c r="K247" s="3170" t="s">
        <v>4374</v>
      </c>
      <c r="L247" s="3172">
        <v>19.46</v>
      </c>
      <c r="M247" s="3173" t="s">
        <v>3317</v>
      </c>
    </row>
    <row r="248" spans="8:13" ht="15.75" thickBot="1">
      <c r="H248" s="3169">
        <v>456</v>
      </c>
      <c r="I248" s="3170" t="s">
        <v>4376</v>
      </c>
      <c r="J248" s="3170" t="s">
        <v>3524</v>
      </c>
      <c r="K248" s="3170" t="s">
        <v>4377</v>
      </c>
      <c r="L248" s="3172">
        <v>15.06</v>
      </c>
      <c r="M248" s="3173" t="s">
        <v>3317</v>
      </c>
    </row>
    <row r="249" spans="8:13" ht="15.75" thickBot="1">
      <c r="H249" s="3169">
        <v>457</v>
      </c>
      <c r="I249" s="3170" t="s">
        <v>4379</v>
      </c>
      <c r="J249" s="3170" t="s">
        <v>3524</v>
      </c>
      <c r="K249" s="3170" t="s">
        <v>4380</v>
      </c>
      <c r="L249" s="3172">
        <v>16.489999999999998</v>
      </c>
      <c r="M249" s="3173" t="s">
        <v>3317</v>
      </c>
    </row>
    <row r="250" spans="8:13" ht="15.75" thickBot="1">
      <c r="H250" s="3169">
        <v>458</v>
      </c>
      <c r="I250" s="3170" t="s">
        <v>4382</v>
      </c>
      <c r="J250" s="3170" t="s">
        <v>3524</v>
      </c>
      <c r="K250" s="3170" t="s">
        <v>4383</v>
      </c>
      <c r="L250" s="3172">
        <v>17.079999999999998</v>
      </c>
      <c r="M250" s="3173" t="s">
        <v>3317</v>
      </c>
    </row>
    <row r="251" spans="8:13" ht="15.75" thickBot="1">
      <c r="H251" s="3169">
        <v>459</v>
      </c>
      <c r="I251" s="3170" t="s">
        <v>4385</v>
      </c>
      <c r="J251" s="3170" t="s">
        <v>3524</v>
      </c>
      <c r="K251" s="3170" t="s">
        <v>4386</v>
      </c>
      <c r="L251" s="3172">
        <v>19.05</v>
      </c>
      <c r="M251" s="3173" t="s">
        <v>3317</v>
      </c>
    </row>
    <row r="252" spans="8:13" ht="15.75" thickBot="1">
      <c r="H252" s="3169">
        <v>460</v>
      </c>
      <c r="I252" s="3170" t="s">
        <v>4388</v>
      </c>
      <c r="J252" s="3170" t="s">
        <v>3524</v>
      </c>
      <c r="K252" s="3170" t="s">
        <v>4389</v>
      </c>
      <c r="L252" s="3172">
        <v>16.489999999999998</v>
      </c>
      <c r="M252" s="3173" t="s">
        <v>3317</v>
      </c>
    </row>
    <row r="253" spans="8:13" ht="15.75" thickBot="1">
      <c r="H253" s="3169">
        <v>465</v>
      </c>
      <c r="I253" s="3170" t="s">
        <v>4401</v>
      </c>
      <c r="J253" s="3170" t="s">
        <v>3524</v>
      </c>
      <c r="K253" s="3170" t="s">
        <v>4402</v>
      </c>
      <c r="L253" s="3172">
        <v>61.41</v>
      </c>
      <c r="M253" s="3173" t="s">
        <v>3317</v>
      </c>
    </row>
    <row r="254" spans="8:13" ht="15.75" thickBot="1">
      <c r="H254" s="3169">
        <v>466</v>
      </c>
      <c r="I254" s="3170" t="s">
        <v>4404</v>
      </c>
      <c r="J254" s="3170" t="s">
        <v>3524</v>
      </c>
      <c r="K254" s="3170" t="s">
        <v>4405</v>
      </c>
      <c r="L254" s="3172">
        <v>62.37</v>
      </c>
      <c r="M254" s="3173" t="s">
        <v>3317</v>
      </c>
    </row>
    <row r="255" spans="8:13" ht="15.75" thickBot="1">
      <c r="H255" s="3169">
        <v>467</v>
      </c>
      <c r="I255" s="3170" t="s">
        <v>4407</v>
      </c>
      <c r="J255" s="3170" t="s">
        <v>3524</v>
      </c>
      <c r="K255" s="3170" t="s">
        <v>4408</v>
      </c>
      <c r="L255" s="3172">
        <v>47.2</v>
      </c>
      <c r="M255" s="3173" t="s">
        <v>3317</v>
      </c>
    </row>
    <row r="256" spans="8:13" ht="15.75" thickBot="1">
      <c r="H256" s="3169">
        <v>468</v>
      </c>
      <c r="I256" s="3170" t="s">
        <v>4410</v>
      </c>
      <c r="J256" s="3170" t="s">
        <v>3524</v>
      </c>
      <c r="K256" s="3170" t="s">
        <v>4411</v>
      </c>
      <c r="L256" s="3172">
        <v>42.79</v>
      </c>
      <c r="M256" s="3173" t="s">
        <v>3317</v>
      </c>
    </row>
    <row r="257" spans="8:13" ht="15.75" thickBot="1">
      <c r="H257" s="3169">
        <v>469</v>
      </c>
      <c r="I257" s="3170" t="s">
        <v>4413</v>
      </c>
      <c r="J257" s="3170" t="s">
        <v>3524</v>
      </c>
      <c r="K257" s="3170" t="s">
        <v>4414</v>
      </c>
      <c r="L257" s="3172">
        <v>42.79</v>
      </c>
      <c r="M257" s="3173" t="s">
        <v>3317</v>
      </c>
    </row>
    <row r="258" spans="8:13" ht="15.75" thickBot="1">
      <c r="H258" s="3169">
        <v>470</v>
      </c>
      <c r="I258" s="3170" t="s">
        <v>4416</v>
      </c>
      <c r="J258" s="3170" t="s">
        <v>3524</v>
      </c>
      <c r="K258" s="3170" t="s">
        <v>4417</v>
      </c>
      <c r="L258" s="3172">
        <v>47.2</v>
      </c>
      <c r="M258" s="3173" t="s">
        <v>3317</v>
      </c>
    </row>
    <row r="259" spans="8:13" ht="15.75" thickBot="1">
      <c r="H259" s="3169">
        <v>471</v>
      </c>
      <c r="I259" s="3170" t="s">
        <v>4419</v>
      </c>
      <c r="J259" s="3170" t="s">
        <v>3524</v>
      </c>
      <c r="K259" s="3170" t="s">
        <v>4420</v>
      </c>
      <c r="L259" s="3172">
        <v>62.37</v>
      </c>
      <c r="M259" s="3173" t="s">
        <v>3317</v>
      </c>
    </row>
    <row r="260" spans="8:13" ht="15.75" thickBot="1">
      <c r="H260" s="3169">
        <v>472</v>
      </c>
      <c r="I260" s="3170" t="s">
        <v>4422</v>
      </c>
      <c r="J260" s="3170" t="s">
        <v>3524</v>
      </c>
      <c r="K260" s="3170" t="s">
        <v>4423</v>
      </c>
      <c r="L260" s="3172">
        <v>61.41</v>
      </c>
      <c r="M260" s="3173" t="s">
        <v>3317</v>
      </c>
    </row>
    <row r="261" spans="8:13" ht="15.75" thickBot="1">
      <c r="H261" s="3169">
        <v>473</v>
      </c>
      <c r="I261" s="3170" t="s">
        <v>4425</v>
      </c>
      <c r="J261" s="3170" t="s">
        <v>3524</v>
      </c>
      <c r="K261" s="3170" t="s">
        <v>4426</v>
      </c>
      <c r="L261" s="3172">
        <v>14.88</v>
      </c>
      <c r="M261" s="3173" t="s">
        <v>3317</v>
      </c>
    </row>
    <row r="262" spans="8:13" ht="15.75" thickBot="1">
      <c r="H262" s="3169">
        <v>474</v>
      </c>
      <c r="I262" s="3170" t="s">
        <v>4428</v>
      </c>
      <c r="J262" s="3170" t="s">
        <v>3524</v>
      </c>
      <c r="K262" s="3170" t="s">
        <v>4429</v>
      </c>
      <c r="L262" s="3172">
        <v>22.9</v>
      </c>
      <c r="M262" s="3173" t="s">
        <v>3317</v>
      </c>
    </row>
    <row r="263" spans="8:13" ht="15.75" thickBot="1">
      <c r="H263" s="3169">
        <v>475</v>
      </c>
      <c r="I263" s="3170" t="s">
        <v>4431</v>
      </c>
      <c r="J263" s="3170" t="s">
        <v>3524</v>
      </c>
      <c r="K263" s="3170" t="s">
        <v>4432</v>
      </c>
      <c r="L263" s="3172">
        <v>22.9</v>
      </c>
      <c r="M263" s="3173" t="s">
        <v>3317</v>
      </c>
    </row>
    <row r="264" spans="8:13" ht="15.75" thickBot="1">
      <c r="H264" s="3169">
        <v>479</v>
      </c>
      <c r="I264" s="3170" t="s">
        <v>4442</v>
      </c>
      <c r="J264" s="3170" t="s">
        <v>3524</v>
      </c>
      <c r="K264" s="3170" t="s">
        <v>4443</v>
      </c>
      <c r="L264" s="3172">
        <v>47.66</v>
      </c>
      <c r="M264" s="3173" t="s">
        <v>3317</v>
      </c>
    </row>
    <row r="265" spans="8:13" ht="15.75" thickBot="1">
      <c r="H265" s="3169">
        <v>480</v>
      </c>
      <c r="I265" s="3170" t="s">
        <v>4445</v>
      </c>
      <c r="J265" s="3170" t="s">
        <v>3524</v>
      </c>
      <c r="K265" s="3170" t="s">
        <v>4446</v>
      </c>
      <c r="L265" s="3172">
        <v>63.3</v>
      </c>
      <c r="M265" s="3173" t="s">
        <v>3317</v>
      </c>
    </row>
    <row r="266" spans="8:13" ht="15.75" thickBot="1">
      <c r="H266" s="3169">
        <v>481</v>
      </c>
      <c r="I266" s="3170" t="s">
        <v>4448</v>
      </c>
      <c r="J266" s="3170" t="s">
        <v>3524</v>
      </c>
      <c r="K266" s="3170" t="s">
        <v>4449</v>
      </c>
      <c r="L266" s="3172">
        <v>34.54</v>
      </c>
      <c r="M266" s="3173" t="s">
        <v>3317</v>
      </c>
    </row>
    <row r="267" spans="8:13" ht="15.75" thickBot="1">
      <c r="H267" s="3169">
        <v>482</v>
      </c>
      <c r="I267" s="3170" t="s">
        <v>4451</v>
      </c>
      <c r="J267" s="3170" t="s">
        <v>3524</v>
      </c>
      <c r="K267" s="3170" t="s">
        <v>4452</v>
      </c>
      <c r="L267" s="3172">
        <v>17.670000000000002</v>
      </c>
      <c r="M267" s="3173" t="s">
        <v>3317</v>
      </c>
    </row>
    <row r="268" spans="8:13" ht="15.75" thickBot="1">
      <c r="H268" s="3169">
        <v>490</v>
      </c>
      <c r="I268" s="3170" t="s">
        <v>4472</v>
      </c>
      <c r="J268" s="3170" t="s">
        <v>3524</v>
      </c>
      <c r="K268" s="3170" t="s">
        <v>4473</v>
      </c>
      <c r="L268" s="3172">
        <v>15.2</v>
      </c>
      <c r="M268" s="3173" t="s">
        <v>3317</v>
      </c>
    </row>
    <row r="269" spans="8:13" ht="15.75" thickBot="1">
      <c r="H269" s="3169">
        <v>491</v>
      </c>
      <c r="I269" s="3170" t="s">
        <v>4475</v>
      </c>
      <c r="J269" s="3170" t="s">
        <v>3524</v>
      </c>
      <c r="K269" s="3170" t="s">
        <v>4476</v>
      </c>
      <c r="L269" s="3172">
        <v>54.63</v>
      </c>
      <c r="M269" s="3173" t="s">
        <v>3317</v>
      </c>
    </row>
    <row r="270" spans="8:13" ht="15.75" thickBot="1">
      <c r="H270" s="3169">
        <v>492</v>
      </c>
      <c r="I270" s="3170" t="s">
        <v>4478</v>
      </c>
      <c r="J270" s="3170" t="s">
        <v>3524</v>
      </c>
      <c r="K270" s="3170" t="s">
        <v>4479</v>
      </c>
      <c r="L270" s="3172">
        <v>47.35</v>
      </c>
      <c r="M270" s="3173" t="s">
        <v>3317</v>
      </c>
    </row>
    <row r="271" spans="8:13" ht="15.75" thickBot="1">
      <c r="H271" s="3169">
        <v>493</v>
      </c>
      <c r="I271" s="3170" t="s">
        <v>4481</v>
      </c>
      <c r="J271" s="3170" t="s">
        <v>3524</v>
      </c>
      <c r="K271" s="3170" t="s">
        <v>4482</v>
      </c>
      <c r="L271" s="3172">
        <v>62.58</v>
      </c>
      <c r="M271" s="3173" t="s">
        <v>3317</v>
      </c>
    </row>
    <row r="272" spans="8:13" ht="15.75" thickBot="1">
      <c r="H272" s="3169">
        <v>494</v>
      </c>
      <c r="I272" s="3170" t="s">
        <v>4484</v>
      </c>
      <c r="J272" s="3170" t="s">
        <v>3524</v>
      </c>
      <c r="K272" s="3170" t="s">
        <v>4485</v>
      </c>
      <c r="L272" s="3172">
        <v>61.62</v>
      </c>
      <c r="M272" s="3173" t="s">
        <v>3317</v>
      </c>
    </row>
    <row r="273" spans="8:13" ht="15.75" thickBot="1">
      <c r="H273" s="3169">
        <v>495</v>
      </c>
      <c r="I273" s="3170" t="s">
        <v>4487</v>
      </c>
      <c r="J273" s="3170" t="s">
        <v>3524</v>
      </c>
      <c r="K273" s="3170" t="s">
        <v>4488</v>
      </c>
      <c r="L273" s="3172">
        <v>61.62</v>
      </c>
      <c r="M273" s="3173" t="s">
        <v>3317</v>
      </c>
    </row>
    <row r="274" spans="8:13" ht="15.75" thickBot="1">
      <c r="H274" s="3169">
        <v>496</v>
      </c>
      <c r="I274" s="3170" t="s">
        <v>4490</v>
      </c>
      <c r="J274" s="3170" t="s">
        <v>3524</v>
      </c>
      <c r="K274" s="3170" t="s">
        <v>4491</v>
      </c>
      <c r="L274" s="3172">
        <v>62.58</v>
      </c>
      <c r="M274" s="3173" t="s">
        <v>3317</v>
      </c>
    </row>
    <row r="275" spans="8:13" ht="15.75" thickBot="1">
      <c r="H275" s="3169">
        <v>497</v>
      </c>
      <c r="I275" s="3170" t="s">
        <v>4493</v>
      </c>
      <c r="J275" s="3170" t="s">
        <v>3524</v>
      </c>
      <c r="K275" s="3170" t="s">
        <v>4494</v>
      </c>
      <c r="L275" s="3172">
        <v>47.35</v>
      </c>
      <c r="M275" s="3173" t="s">
        <v>3317</v>
      </c>
    </row>
    <row r="276" spans="8:13" ht="15.75" thickBot="1">
      <c r="H276" s="3169">
        <v>498</v>
      </c>
      <c r="I276" s="3170" t="s">
        <v>4496</v>
      </c>
      <c r="J276" s="3170" t="s">
        <v>3524</v>
      </c>
      <c r="K276" s="3170" t="s">
        <v>4497</v>
      </c>
      <c r="L276" s="3172">
        <v>42.93</v>
      </c>
      <c r="M276" s="3173" t="s">
        <v>3317</v>
      </c>
    </row>
    <row r="277" spans="8:13" ht="15.75" thickBot="1">
      <c r="H277" s="3169">
        <v>499</v>
      </c>
      <c r="I277" s="3170" t="s">
        <v>4499</v>
      </c>
      <c r="J277" s="3170" t="s">
        <v>3524</v>
      </c>
      <c r="K277" s="3170" t="s">
        <v>4500</v>
      </c>
      <c r="L277" s="3172">
        <v>14.93</v>
      </c>
      <c r="M277" s="3173" t="s">
        <v>3317</v>
      </c>
    </row>
    <row r="278" spans="8:13" ht="15.75" thickBot="1">
      <c r="H278" s="3169">
        <v>500</v>
      </c>
      <c r="I278" s="3170" t="s">
        <v>4502</v>
      </c>
      <c r="J278" s="3170" t="s">
        <v>3524</v>
      </c>
      <c r="K278" s="3170" t="s">
        <v>4503</v>
      </c>
      <c r="L278" s="3172">
        <v>22.98</v>
      </c>
      <c r="M278" s="3173" t="s">
        <v>3317</v>
      </c>
    </row>
    <row r="279" spans="8:13" ht="15.75" thickBot="1">
      <c r="H279" s="3169">
        <v>501</v>
      </c>
      <c r="I279" s="3170" t="s">
        <v>4505</v>
      </c>
      <c r="J279" s="3170" t="s">
        <v>3524</v>
      </c>
      <c r="K279" s="3170" t="s">
        <v>4506</v>
      </c>
      <c r="L279" s="3172">
        <v>22.98</v>
      </c>
      <c r="M279" s="3173" t="s">
        <v>3317</v>
      </c>
    </row>
    <row r="280" spans="8:13" ht="15.75" thickBot="1">
      <c r="H280" s="3169">
        <v>509</v>
      </c>
      <c r="I280" s="3170" t="s">
        <v>4528</v>
      </c>
      <c r="J280" s="3170" t="s">
        <v>3524</v>
      </c>
      <c r="K280" s="3170" t="s">
        <v>4529</v>
      </c>
      <c r="L280" s="3172">
        <v>33.51</v>
      </c>
      <c r="M280" s="3173" t="s">
        <v>3317</v>
      </c>
    </row>
    <row r="281" spans="8:13" ht="15.75" thickBot="1">
      <c r="H281" s="3169">
        <v>510</v>
      </c>
      <c r="I281" s="3170" t="s">
        <v>4531</v>
      </c>
      <c r="J281" s="3170" t="s">
        <v>3524</v>
      </c>
      <c r="K281" s="3170" t="s">
        <v>4532</v>
      </c>
      <c r="L281" s="3172">
        <v>61.41</v>
      </c>
      <c r="M281" s="3173" t="s">
        <v>3317</v>
      </c>
    </row>
    <row r="282" spans="8:13" ht="15.75" thickBot="1">
      <c r="H282" s="3169">
        <v>511</v>
      </c>
      <c r="I282" s="3170" t="s">
        <v>4534</v>
      </c>
      <c r="J282" s="3170" t="s">
        <v>3524</v>
      </c>
      <c r="K282" s="3170" t="s">
        <v>4535</v>
      </c>
      <c r="L282" s="3172">
        <v>46.57</v>
      </c>
      <c r="M282" s="3173" t="s">
        <v>3317</v>
      </c>
    </row>
    <row r="283" spans="8:13" ht="15.75" thickBot="1">
      <c r="H283" s="3169">
        <v>512</v>
      </c>
      <c r="I283" s="3170" t="s">
        <v>4537</v>
      </c>
      <c r="J283" s="3170" t="s">
        <v>3524</v>
      </c>
      <c r="K283" s="3170" t="s">
        <v>4538</v>
      </c>
      <c r="L283" s="3172">
        <v>46.57</v>
      </c>
      <c r="M283" s="3173" t="s">
        <v>3317</v>
      </c>
    </row>
    <row r="284" spans="8:13" ht="15.75" thickBot="1">
      <c r="H284" s="3169">
        <v>513</v>
      </c>
      <c r="I284" s="3170" t="s">
        <v>4540</v>
      </c>
      <c r="J284" s="3170" t="s">
        <v>3524</v>
      </c>
      <c r="K284" s="3170" t="s">
        <v>4541</v>
      </c>
      <c r="L284" s="3172">
        <v>61.41</v>
      </c>
      <c r="M284" s="3173" t="s">
        <v>3317</v>
      </c>
    </row>
    <row r="285" spans="8:13" ht="15.75" thickBot="1">
      <c r="H285" s="3169">
        <v>514</v>
      </c>
      <c r="I285" s="3170" t="s">
        <v>4543</v>
      </c>
      <c r="J285" s="3170" t="s">
        <v>3524</v>
      </c>
      <c r="K285" s="3170" t="s">
        <v>4544</v>
      </c>
      <c r="L285" s="3172">
        <v>33.51</v>
      </c>
      <c r="M285" s="3173" t="s">
        <v>3317</v>
      </c>
    </row>
    <row r="286" spans="8:13" ht="15.75" thickBot="1">
      <c r="H286" s="3169">
        <v>515</v>
      </c>
      <c r="I286" s="3170" t="s">
        <v>4546</v>
      </c>
      <c r="J286" s="3170" t="s">
        <v>3524</v>
      </c>
      <c r="K286" s="3170" t="s">
        <v>4547</v>
      </c>
      <c r="L286" s="3172">
        <v>28.04</v>
      </c>
      <c r="M286" s="3173" t="s">
        <v>3317</v>
      </c>
    </row>
    <row r="287" spans="8:13" ht="15.75" thickBot="1">
      <c r="H287" s="3169">
        <v>516</v>
      </c>
      <c r="I287" s="3170" t="s">
        <v>4549</v>
      </c>
      <c r="J287" s="3170" t="s">
        <v>3524</v>
      </c>
      <c r="K287" s="3170" t="s">
        <v>4550</v>
      </c>
      <c r="L287" s="3172">
        <v>42.46</v>
      </c>
      <c r="M287" s="3173" t="s">
        <v>3317</v>
      </c>
    </row>
    <row r="288" spans="8:13" ht="15.75" thickBot="1">
      <c r="H288" s="3169">
        <v>517</v>
      </c>
      <c r="I288" s="3170" t="s">
        <v>4552</v>
      </c>
      <c r="J288" s="3170" t="s">
        <v>3524</v>
      </c>
      <c r="K288" s="3170" t="s">
        <v>4553</v>
      </c>
      <c r="L288" s="3172">
        <v>31.78</v>
      </c>
      <c r="M288" s="3173" t="s">
        <v>3317</v>
      </c>
    </row>
    <row r="289" spans="8:13" ht="15.75" thickBot="1">
      <c r="H289" s="3169">
        <v>518</v>
      </c>
      <c r="I289" s="3170" t="s">
        <v>4555</v>
      </c>
      <c r="J289" s="3170" t="s">
        <v>3524</v>
      </c>
      <c r="K289" s="3170" t="s">
        <v>4556</v>
      </c>
      <c r="L289" s="3172">
        <v>30.25</v>
      </c>
      <c r="M289" s="3173" t="s">
        <v>3317</v>
      </c>
    </row>
    <row r="290" spans="8:13" ht="15.75" thickBot="1">
      <c r="H290" s="3169">
        <v>519</v>
      </c>
      <c r="I290" s="3170" t="s">
        <v>4558</v>
      </c>
      <c r="J290" s="3170" t="s">
        <v>3524</v>
      </c>
      <c r="K290" s="3170" t="s">
        <v>4559</v>
      </c>
      <c r="L290" s="3172">
        <v>24.05</v>
      </c>
      <c r="M290" s="3173" t="s">
        <v>3317</v>
      </c>
    </row>
    <row r="291" spans="8:13" ht="15.75" thickBot="1">
      <c r="H291" s="3169">
        <v>520</v>
      </c>
      <c r="I291" s="3170" t="s">
        <v>4561</v>
      </c>
      <c r="J291" s="3170" t="s">
        <v>3524</v>
      </c>
      <c r="K291" s="3170" t="s">
        <v>4562</v>
      </c>
      <c r="L291" s="3172">
        <v>24.05</v>
      </c>
      <c r="M291" s="3173" t="s">
        <v>3317</v>
      </c>
    </row>
    <row r="292" spans="8:13" ht="15.75" thickBot="1">
      <c r="H292" s="3169">
        <v>521</v>
      </c>
      <c r="I292" s="3170" t="s">
        <v>4564</v>
      </c>
      <c r="J292" s="3170" t="s">
        <v>3524</v>
      </c>
      <c r="K292" s="3170" t="s">
        <v>4565</v>
      </c>
      <c r="L292" s="3172">
        <v>25.51</v>
      </c>
      <c r="M292" s="3173" t="s">
        <v>3317</v>
      </c>
    </row>
    <row r="293" spans="8:13" ht="15.75" thickBot="1">
      <c r="H293" s="3169">
        <v>522</v>
      </c>
      <c r="I293" s="3170" t="s">
        <v>4567</v>
      </c>
      <c r="J293" s="3170" t="s">
        <v>3524</v>
      </c>
      <c r="K293" s="3170" t="s">
        <v>4568</v>
      </c>
      <c r="L293" s="3172">
        <v>25.51</v>
      </c>
      <c r="M293" s="3173" t="s">
        <v>3317</v>
      </c>
    </row>
    <row r="294" spans="8:13" ht="15.75" thickBot="1">
      <c r="H294" s="3169">
        <v>523</v>
      </c>
      <c r="I294" s="3170" t="s">
        <v>4570</v>
      </c>
      <c r="J294" s="3170" t="s">
        <v>3524</v>
      </c>
      <c r="K294" s="3170" t="s">
        <v>4571</v>
      </c>
      <c r="L294" s="3172">
        <v>24.05</v>
      </c>
      <c r="M294" s="3173" t="s">
        <v>3317</v>
      </c>
    </row>
    <row r="295" spans="8:13" ht="15.75" thickBot="1">
      <c r="H295" s="3169">
        <v>524</v>
      </c>
      <c r="I295" s="3170" t="s">
        <v>4573</v>
      </c>
      <c r="J295" s="3170" t="s">
        <v>3524</v>
      </c>
      <c r="K295" s="3170" t="s">
        <v>4574</v>
      </c>
      <c r="L295" s="3172">
        <v>31.71</v>
      </c>
      <c r="M295" s="3173" t="s">
        <v>3317</v>
      </c>
    </row>
    <row r="296" spans="8:13" ht="15.75" thickBot="1">
      <c r="H296" s="3169">
        <v>525</v>
      </c>
      <c r="I296" s="3170" t="s">
        <v>4576</v>
      </c>
      <c r="J296" s="3170" t="s">
        <v>3524</v>
      </c>
      <c r="K296" s="3170" t="s">
        <v>4577</v>
      </c>
      <c r="L296" s="3172">
        <v>22.66</v>
      </c>
      <c r="M296" s="3173" t="s">
        <v>3317</v>
      </c>
    </row>
    <row r="297" spans="8:13" ht="15.75" thickBot="1">
      <c r="H297" s="3169">
        <v>526</v>
      </c>
      <c r="I297" s="3170" t="s">
        <v>4579</v>
      </c>
      <c r="J297" s="3170" t="s">
        <v>3524</v>
      </c>
      <c r="K297" s="3170" t="s">
        <v>4580</v>
      </c>
      <c r="L297" s="3172">
        <v>22.66</v>
      </c>
      <c r="M297" s="3173" t="s">
        <v>3317</v>
      </c>
    </row>
    <row r="298" spans="8:13" ht="15.75" thickBot="1">
      <c r="H298" s="3169">
        <v>533</v>
      </c>
      <c r="I298" s="3170" t="s">
        <v>4599</v>
      </c>
      <c r="J298" s="3170" t="s">
        <v>3524</v>
      </c>
      <c r="K298" s="3170" t="s">
        <v>4600</v>
      </c>
      <c r="L298" s="3172">
        <v>33.869999999999997</v>
      </c>
      <c r="M298" s="3173" t="s">
        <v>3317</v>
      </c>
    </row>
    <row r="299" spans="8:13" ht="15.75" thickBot="1">
      <c r="H299" s="3169">
        <v>534</v>
      </c>
      <c r="I299" s="3170" t="s">
        <v>4602</v>
      </c>
      <c r="J299" s="3170" t="s">
        <v>3524</v>
      </c>
      <c r="K299" s="3170" t="s">
        <v>4603</v>
      </c>
      <c r="L299" s="3172">
        <v>62.07</v>
      </c>
      <c r="M299" s="3173" t="s">
        <v>3317</v>
      </c>
    </row>
    <row r="300" spans="8:13" ht="15.75" thickBot="1">
      <c r="H300" s="3169">
        <v>535</v>
      </c>
      <c r="I300" s="3170" t="s">
        <v>4605</v>
      </c>
      <c r="J300" s="3170" t="s">
        <v>3524</v>
      </c>
      <c r="K300" s="3170" t="s">
        <v>4606</v>
      </c>
      <c r="L300" s="3172">
        <v>47.07</v>
      </c>
      <c r="M300" s="3173" t="s">
        <v>3317</v>
      </c>
    </row>
    <row r="301" spans="8:13" ht="15.75" thickBot="1">
      <c r="H301" s="3169">
        <v>536</v>
      </c>
      <c r="I301" s="3170" t="s">
        <v>4608</v>
      </c>
      <c r="J301" s="3170" t="s">
        <v>3524</v>
      </c>
      <c r="K301" s="3170" t="s">
        <v>4609</v>
      </c>
      <c r="L301" s="3172">
        <v>47.07</v>
      </c>
      <c r="M301" s="3173" t="s">
        <v>3317</v>
      </c>
    </row>
    <row r="302" spans="8:13" ht="15.75" thickBot="1">
      <c r="H302" s="3169">
        <v>537</v>
      </c>
      <c r="I302" s="3170" t="s">
        <v>4611</v>
      </c>
      <c r="J302" s="3170" t="s">
        <v>3524</v>
      </c>
      <c r="K302" s="3170" t="s">
        <v>4612</v>
      </c>
      <c r="L302" s="3172">
        <v>62.07</v>
      </c>
      <c r="M302" s="3173" t="s">
        <v>3317</v>
      </c>
    </row>
    <row r="303" spans="8:13" ht="15.75" thickBot="1">
      <c r="H303" s="3169">
        <v>538</v>
      </c>
      <c r="I303" s="3170" t="s">
        <v>4614</v>
      </c>
      <c r="J303" s="3170" t="s">
        <v>3524</v>
      </c>
      <c r="K303" s="3170" t="s">
        <v>4615</v>
      </c>
      <c r="L303" s="3172">
        <v>33.869999999999997</v>
      </c>
      <c r="M303" s="3173" t="s">
        <v>3317</v>
      </c>
    </row>
    <row r="304" spans="8:13" ht="15.75" thickBot="1">
      <c r="H304" s="3169">
        <v>539</v>
      </c>
      <c r="I304" s="3170" t="s">
        <v>4617</v>
      </c>
      <c r="J304" s="3170" t="s">
        <v>3524</v>
      </c>
      <c r="K304" s="3170" t="s">
        <v>4618</v>
      </c>
      <c r="L304" s="3172">
        <v>46.73</v>
      </c>
      <c r="M304" s="3173" t="s">
        <v>3317</v>
      </c>
    </row>
    <row r="305" spans="8:13" ht="15.75" thickBot="1">
      <c r="H305" s="3169">
        <v>540</v>
      </c>
      <c r="I305" s="3170" t="s">
        <v>4620</v>
      </c>
      <c r="J305" s="3170" t="s">
        <v>3524</v>
      </c>
      <c r="K305" s="3170" t="s">
        <v>4621</v>
      </c>
      <c r="L305" s="3172">
        <v>62.07</v>
      </c>
      <c r="M305" s="3173" t="s">
        <v>3317</v>
      </c>
    </row>
    <row r="306" spans="8:13" ht="15.75" thickBot="1">
      <c r="H306" s="3169">
        <v>541</v>
      </c>
      <c r="I306" s="3170" t="s">
        <v>4623</v>
      </c>
      <c r="J306" s="3170" t="s">
        <v>3524</v>
      </c>
      <c r="K306" s="3170" t="s">
        <v>4624</v>
      </c>
      <c r="L306" s="3172">
        <v>33.869999999999997</v>
      </c>
      <c r="M306" s="3173" t="s">
        <v>3317</v>
      </c>
    </row>
    <row r="307" spans="8:13" ht="15.75" thickBot="1">
      <c r="H307" s="3169">
        <v>542</v>
      </c>
      <c r="I307" s="3170" t="s">
        <v>4626</v>
      </c>
      <c r="J307" s="3170" t="s">
        <v>3524</v>
      </c>
      <c r="K307" s="3170" t="s">
        <v>4627</v>
      </c>
      <c r="L307" s="3172">
        <v>33.869999999999997</v>
      </c>
      <c r="M307" s="3173" t="s">
        <v>3317</v>
      </c>
    </row>
    <row r="308" spans="8:13" ht="15.75" thickBot="1">
      <c r="H308" s="3169">
        <v>543</v>
      </c>
      <c r="I308" s="3170" t="s">
        <v>4629</v>
      </c>
      <c r="J308" s="3170" t="s">
        <v>3524</v>
      </c>
      <c r="K308" s="3170" t="s">
        <v>4630</v>
      </c>
      <c r="L308" s="3172">
        <v>62.35</v>
      </c>
      <c r="M308" s="3173" t="s">
        <v>3317</v>
      </c>
    </row>
    <row r="309" spans="8:13" ht="15.75" thickBot="1">
      <c r="H309" s="3169">
        <v>544</v>
      </c>
      <c r="I309" s="3170" t="s">
        <v>4632</v>
      </c>
      <c r="J309" s="3170" t="s">
        <v>3524</v>
      </c>
      <c r="K309" s="3170" t="s">
        <v>4633</v>
      </c>
      <c r="L309" s="3172">
        <v>56.69</v>
      </c>
      <c r="M309" s="3173" t="s">
        <v>3317</v>
      </c>
    </row>
    <row r="310" spans="8:13" ht="15.75" thickBot="1">
      <c r="H310" s="3169">
        <v>545</v>
      </c>
      <c r="I310" s="3170" t="s">
        <v>4635</v>
      </c>
      <c r="J310" s="3170" t="s">
        <v>3524</v>
      </c>
      <c r="K310" s="3170" t="s">
        <v>4636</v>
      </c>
      <c r="L310" s="3172">
        <v>30.6</v>
      </c>
      <c r="M310" s="3173" t="s">
        <v>3317</v>
      </c>
    </row>
    <row r="311" spans="8:13" ht="15.75" thickBot="1">
      <c r="H311" s="3169">
        <v>546</v>
      </c>
      <c r="I311" s="3170" t="s">
        <v>4638</v>
      </c>
      <c r="J311" s="3170" t="s">
        <v>3524</v>
      </c>
      <c r="K311" s="3170" t="s">
        <v>4639</v>
      </c>
      <c r="L311" s="3172">
        <v>25.04</v>
      </c>
      <c r="M311" s="3173" t="s">
        <v>3317</v>
      </c>
    </row>
    <row r="312" spans="8:13" ht="15.75" thickBot="1">
      <c r="H312" s="3169">
        <v>547</v>
      </c>
      <c r="I312" s="3170" t="s">
        <v>4641</v>
      </c>
      <c r="J312" s="3170" t="s">
        <v>3524</v>
      </c>
      <c r="K312" s="3170" t="s">
        <v>4642</v>
      </c>
      <c r="L312" s="3172">
        <v>28.34</v>
      </c>
      <c r="M312" s="3173" t="s">
        <v>3317</v>
      </c>
    </row>
    <row r="313" spans="8:13" ht="15.75" thickBot="1">
      <c r="H313" s="3169">
        <v>548</v>
      </c>
      <c r="I313" s="3170" t="s">
        <v>4644</v>
      </c>
      <c r="J313" s="3170" t="s">
        <v>3524</v>
      </c>
      <c r="K313" s="3170" t="s">
        <v>4645</v>
      </c>
      <c r="L313" s="3172">
        <v>28.34</v>
      </c>
      <c r="M313" s="3173" t="s">
        <v>3317</v>
      </c>
    </row>
    <row r="314" spans="8:13" ht="15.75" thickBot="1">
      <c r="H314" s="3169">
        <v>549</v>
      </c>
      <c r="I314" s="3170" t="s">
        <v>4647</v>
      </c>
      <c r="J314" s="3170" t="s">
        <v>3524</v>
      </c>
      <c r="K314" s="3170" t="s">
        <v>4648</v>
      </c>
      <c r="L314" s="3172">
        <v>22.15</v>
      </c>
      <c r="M314" s="3173" t="s">
        <v>3317</v>
      </c>
    </row>
    <row r="315" spans="8:13" ht="15.75" thickBot="1">
      <c r="H315" s="3169">
        <v>550</v>
      </c>
      <c r="I315" s="3170" t="s">
        <v>4650</v>
      </c>
      <c r="J315" s="3170" t="s">
        <v>3524</v>
      </c>
      <c r="K315" s="3170" t="s">
        <v>4651</v>
      </c>
      <c r="L315" s="3172">
        <v>42.9</v>
      </c>
      <c r="M315" s="3173" t="s">
        <v>3317</v>
      </c>
    </row>
    <row r="316" spans="8:13" ht="15.75" thickBot="1">
      <c r="H316" s="3169">
        <v>551</v>
      </c>
      <c r="I316" s="3170" t="s">
        <v>4653</v>
      </c>
      <c r="J316" s="3170" t="s">
        <v>3524</v>
      </c>
      <c r="K316" s="3170" t="s">
        <v>4654</v>
      </c>
      <c r="L316" s="3172">
        <v>42.8</v>
      </c>
      <c r="M316" s="3173" t="s">
        <v>3317</v>
      </c>
    </row>
    <row r="317" spans="8:13" ht="15.75" thickBot="1">
      <c r="H317" s="3169">
        <v>552</v>
      </c>
      <c r="I317" s="3170" t="s">
        <v>4656</v>
      </c>
      <c r="J317" s="3170" t="s">
        <v>3524</v>
      </c>
      <c r="K317" s="3170" t="s">
        <v>4657</v>
      </c>
      <c r="L317" s="3172">
        <v>19.829999999999998</v>
      </c>
      <c r="M317" s="3173" t="s">
        <v>3317</v>
      </c>
    </row>
    <row r="318" spans="8:13" ht="15.75" thickBot="1">
      <c r="H318" s="3169">
        <v>553</v>
      </c>
      <c r="I318" s="3170" t="s">
        <v>4659</v>
      </c>
      <c r="J318" s="3170" t="s">
        <v>3524</v>
      </c>
      <c r="K318" s="3170" t="s">
        <v>4660</v>
      </c>
      <c r="L318" s="3172">
        <v>19.829999999999998</v>
      </c>
      <c r="M318" s="3173" t="s">
        <v>3317</v>
      </c>
    </row>
    <row r="319" spans="8:13" ht="15.75" thickBot="1">
      <c r="H319" s="3169">
        <v>554</v>
      </c>
      <c r="I319" s="3170" t="s">
        <v>4662</v>
      </c>
      <c r="J319" s="3170" t="s">
        <v>3524</v>
      </c>
      <c r="K319" s="3170" t="s">
        <v>4663</v>
      </c>
      <c r="L319" s="3172">
        <v>19.829999999999998</v>
      </c>
      <c r="M319" s="3173" t="s">
        <v>3317</v>
      </c>
    </row>
    <row r="320" spans="8:13" ht="15.75" thickBot="1">
      <c r="H320" s="3169">
        <v>555</v>
      </c>
      <c r="I320" s="3170" t="s">
        <v>4665</v>
      </c>
      <c r="J320" s="3170" t="s">
        <v>3524</v>
      </c>
      <c r="K320" s="3170" t="s">
        <v>4666</v>
      </c>
      <c r="L320" s="3172">
        <v>19.829999999999998</v>
      </c>
      <c r="M320" s="3173" t="s">
        <v>3317</v>
      </c>
    </row>
    <row r="321" spans="8:13" ht="15.75" thickBot="1">
      <c r="H321" s="3169">
        <v>556</v>
      </c>
      <c r="I321" s="3170" t="s">
        <v>4668</v>
      </c>
      <c r="J321" s="3170" t="s">
        <v>3524</v>
      </c>
      <c r="K321" s="3170" t="s">
        <v>4669</v>
      </c>
      <c r="L321" s="3172">
        <v>23.64</v>
      </c>
      <c r="M321" s="3173" t="s">
        <v>3317</v>
      </c>
    </row>
    <row r="322" spans="8:13" ht="15.75" thickBot="1">
      <c r="H322" s="3169">
        <v>561</v>
      </c>
      <c r="I322" s="3170" t="s">
        <v>4683</v>
      </c>
      <c r="J322" s="3170" t="s">
        <v>3524</v>
      </c>
      <c r="K322" s="3170" t="s">
        <v>4684</v>
      </c>
      <c r="L322" s="3172">
        <v>24.31</v>
      </c>
      <c r="M322" s="3173" t="s">
        <v>3317</v>
      </c>
    </row>
    <row r="323" spans="8:13" ht="15.75" thickBot="1">
      <c r="H323" s="3169">
        <v>562</v>
      </c>
      <c r="I323" s="3170" t="s">
        <v>4686</v>
      </c>
      <c r="J323" s="3170" t="s">
        <v>3524</v>
      </c>
      <c r="K323" s="3170" t="s">
        <v>4687</v>
      </c>
      <c r="L323" s="3172">
        <v>30.33</v>
      </c>
      <c r="M323" s="3173" t="s">
        <v>3317</v>
      </c>
    </row>
    <row r="324" spans="8:13" ht="15.75" thickBot="1">
      <c r="H324" s="3169">
        <v>563</v>
      </c>
      <c r="I324" s="3170" t="s">
        <v>4689</v>
      </c>
      <c r="J324" s="3170" t="s">
        <v>3524</v>
      </c>
      <c r="K324" s="3170" t="s">
        <v>4690</v>
      </c>
      <c r="L324" s="3172">
        <v>56.2</v>
      </c>
      <c r="M324" s="3173" t="s">
        <v>3317</v>
      </c>
    </row>
    <row r="325" spans="8:13" ht="15.75" thickBot="1">
      <c r="H325" s="3169">
        <v>564</v>
      </c>
      <c r="I325" s="3170" t="s">
        <v>4692</v>
      </c>
      <c r="J325" s="3170" t="s">
        <v>3524</v>
      </c>
      <c r="K325" s="3170" t="s">
        <v>4693</v>
      </c>
      <c r="L325" s="3172">
        <v>61.81</v>
      </c>
      <c r="M325" s="3173" t="s">
        <v>3317</v>
      </c>
    </row>
    <row r="326" spans="8:13" ht="15.75" thickBot="1">
      <c r="H326" s="3169">
        <v>565</v>
      </c>
      <c r="I326" s="3170" t="s">
        <v>4695</v>
      </c>
      <c r="J326" s="3170" t="s">
        <v>3524</v>
      </c>
      <c r="K326" s="3170" t="s">
        <v>4696</v>
      </c>
      <c r="L326" s="3172">
        <v>33.22</v>
      </c>
      <c r="M326" s="3173" t="s">
        <v>3317</v>
      </c>
    </row>
    <row r="327" spans="8:13" ht="15.75" thickBot="1">
      <c r="H327" s="3169">
        <v>566</v>
      </c>
      <c r="I327" s="3170" t="s">
        <v>4698</v>
      </c>
      <c r="J327" s="3170" t="s">
        <v>3524</v>
      </c>
      <c r="K327" s="3170" t="s">
        <v>4699</v>
      </c>
      <c r="L327" s="3172">
        <v>33.22</v>
      </c>
      <c r="M327" s="3173" t="s">
        <v>3317</v>
      </c>
    </row>
    <row r="328" spans="8:13" ht="15.75" thickBot="1">
      <c r="H328" s="3169">
        <v>567</v>
      </c>
      <c r="I328" s="3170" t="s">
        <v>4701</v>
      </c>
      <c r="J328" s="3170" t="s">
        <v>3524</v>
      </c>
      <c r="K328" s="3170" t="s">
        <v>4702</v>
      </c>
      <c r="L328" s="3172">
        <v>61.53</v>
      </c>
      <c r="M328" s="3173" t="s">
        <v>3317</v>
      </c>
    </row>
    <row r="329" spans="8:13" ht="15.75" thickBot="1">
      <c r="H329" s="3169">
        <v>568</v>
      </c>
      <c r="I329" s="3170" t="s">
        <v>4704</v>
      </c>
      <c r="J329" s="3170" t="s">
        <v>3524</v>
      </c>
      <c r="K329" s="3170" t="s">
        <v>4705</v>
      </c>
      <c r="L329" s="3172">
        <v>46.65</v>
      </c>
      <c r="M329" s="3173" t="s">
        <v>3317</v>
      </c>
    </row>
    <row r="330" spans="8:13" ht="15.75" thickBot="1">
      <c r="H330" s="3169">
        <v>569</v>
      </c>
      <c r="I330" s="3170" t="s">
        <v>4707</v>
      </c>
      <c r="J330" s="3170" t="s">
        <v>3524</v>
      </c>
      <c r="K330" s="3170" t="s">
        <v>4708</v>
      </c>
      <c r="L330" s="3172">
        <v>46.65</v>
      </c>
      <c r="M330" s="3173" t="s">
        <v>3317</v>
      </c>
    </row>
    <row r="331" spans="8:13" ht="15.75" thickBot="1">
      <c r="H331" s="3169">
        <v>570</v>
      </c>
      <c r="I331" s="3170" t="s">
        <v>4710</v>
      </c>
      <c r="J331" s="3170" t="s">
        <v>3524</v>
      </c>
      <c r="K331" s="3170" t="s">
        <v>4711</v>
      </c>
      <c r="L331" s="3172">
        <v>61.53</v>
      </c>
      <c r="M331" s="3173" t="s">
        <v>3317</v>
      </c>
    </row>
    <row r="332" spans="8:13" ht="15.75" thickBot="1">
      <c r="H332" s="3169">
        <v>571</v>
      </c>
      <c r="I332" s="3170" t="s">
        <v>4713</v>
      </c>
      <c r="J332" s="3170" t="s">
        <v>3524</v>
      </c>
      <c r="K332" s="3170" t="s">
        <v>4714</v>
      </c>
      <c r="L332" s="3172">
        <v>33.22</v>
      </c>
      <c r="M332" s="3173" t="s">
        <v>3317</v>
      </c>
    </row>
    <row r="333" spans="8:13" ht="15.75" thickBot="1">
      <c r="H333" s="3169">
        <v>572</v>
      </c>
      <c r="I333" s="3170" t="s">
        <v>4716</v>
      </c>
      <c r="J333" s="3170" t="s">
        <v>3524</v>
      </c>
      <c r="K333" s="3170" t="s">
        <v>4717</v>
      </c>
      <c r="L333" s="3172">
        <v>33.22</v>
      </c>
      <c r="M333" s="3173" t="s">
        <v>3317</v>
      </c>
    </row>
    <row r="334" spans="8:13" ht="15.75" thickBot="1">
      <c r="H334" s="3169">
        <v>573</v>
      </c>
      <c r="I334" s="3170" t="s">
        <v>4719</v>
      </c>
      <c r="J334" s="3170" t="s">
        <v>3524</v>
      </c>
      <c r="K334" s="3170" t="s">
        <v>4720</v>
      </c>
      <c r="L334" s="3172">
        <v>61.53</v>
      </c>
      <c r="M334" s="3173" t="s">
        <v>3317</v>
      </c>
    </row>
    <row r="335" spans="8:13" ht="15.75" thickBot="1">
      <c r="H335" s="3169">
        <v>574</v>
      </c>
      <c r="I335" s="3170" t="s">
        <v>4722</v>
      </c>
      <c r="J335" s="3170" t="s">
        <v>3524</v>
      </c>
      <c r="K335" s="3170" t="s">
        <v>4723</v>
      </c>
      <c r="L335" s="3172">
        <v>46.33</v>
      </c>
      <c r="M335" s="3173" t="s">
        <v>3317</v>
      </c>
    </row>
    <row r="336" spans="8:13" ht="15.75" thickBot="1">
      <c r="H336" s="3169">
        <v>575</v>
      </c>
      <c r="I336" s="3170" t="s">
        <v>4725</v>
      </c>
      <c r="J336" s="3170" t="s">
        <v>3524</v>
      </c>
      <c r="K336" s="3170" t="s">
        <v>4726</v>
      </c>
      <c r="L336" s="3172">
        <v>32.729999999999997</v>
      </c>
      <c r="M336" s="3173" t="s">
        <v>3317</v>
      </c>
    </row>
    <row r="337" spans="8:13" ht="15.75" thickBot="1">
      <c r="H337" s="3169">
        <v>576</v>
      </c>
      <c r="I337" s="3170" t="s">
        <v>4728</v>
      </c>
      <c r="J337" s="3170" t="s">
        <v>3524</v>
      </c>
      <c r="K337" s="3170" t="s">
        <v>4729</v>
      </c>
      <c r="L337" s="3172">
        <v>21.42</v>
      </c>
      <c r="M337" s="3173" t="s">
        <v>3317</v>
      </c>
    </row>
    <row r="338" spans="8:13" ht="15.75" thickBot="1">
      <c r="H338" s="3169">
        <v>577</v>
      </c>
      <c r="I338" s="3170" t="s">
        <v>4731</v>
      </c>
      <c r="J338" s="3170" t="s">
        <v>3524</v>
      </c>
      <c r="K338" s="3170" t="s">
        <v>4732</v>
      </c>
      <c r="L338" s="3172">
        <v>42.45</v>
      </c>
      <c r="M338" s="3173" t="s">
        <v>3317</v>
      </c>
    </row>
    <row r="339" spans="8:13" ht="15.75" thickBot="1">
      <c r="H339" s="3169">
        <v>578</v>
      </c>
      <c r="I339" s="3170" t="s">
        <v>4734</v>
      </c>
      <c r="J339" s="3170" t="s">
        <v>3524</v>
      </c>
      <c r="K339" s="3170" t="s">
        <v>4735</v>
      </c>
      <c r="L339" s="3172">
        <v>22.35</v>
      </c>
      <c r="M339" s="3173" t="s">
        <v>3317</v>
      </c>
    </row>
    <row r="340" spans="8:13" ht="15.75" thickBot="1">
      <c r="H340" s="3169">
        <v>579</v>
      </c>
      <c r="I340" s="3170" t="s">
        <v>4737</v>
      </c>
      <c r="J340" s="3170" t="s">
        <v>3524</v>
      </c>
      <c r="K340" s="3170" t="s">
        <v>4738</v>
      </c>
      <c r="L340" s="3172">
        <v>22.59</v>
      </c>
      <c r="M340" s="3173" t="s">
        <v>3317</v>
      </c>
    </row>
    <row r="341" spans="8:13" ht="15.75" thickBot="1">
      <c r="H341" s="3169">
        <v>580</v>
      </c>
      <c r="I341" s="3170" t="s">
        <v>4740</v>
      </c>
      <c r="J341" s="3170" t="s">
        <v>3524</v>
      </c>
      <c r="K341" s="3170" t="s">
        <v>4741</v>
      </c>
      <c r="L341" s="3172">
        <v>22.59</v>
      </c>
      <c r="M341" s="3173" t="s">
        <v>3317</v>
      </c>
    </row>
    <row r="342" spans="8:13" ht="15.75" thickBot="1">
      <c r="H342" s="3169">
        <v>581</v>
      </c>
      <c r="I342" s="3170" t="s">
        <v>4743</v>
      </c>
      <c r="J342" s="3170" t="s">
        <v>3524</v>
      </c>
      <c r="K342" s="3170" t="s">
        <v>4744</v>
      </c>
      <c r="L342" s="3172">
        <v>30.67</v>
      </c>
      <c r="M342" s="3173" t="s">
        <v>3317</v>
      </c>
    </row>
    <row r="343" spans="8:13" ht="15.75" thickBot="1">
      <c r="H343" s="3169">
        <v>582</v>
      </c>
      <c r="I343" s="3170" t="s">
        <v>4746</v>
      </c>
      <c r="J343" s="3170" t="s">
        <v>3524</v>
      </c>
      <c r="K343" s="3170" t="s">
        <v>4747</v>
      </c>
      <c r="L343" s="3172">
        <v>27.09</v>
      </c>
      <c r="M343" s="3173" t="s">
        <v>3317</v>
      </c>
    </row>
    <row r="344" spans="8:13" ht="15.75" thickBot="1">
      <c r="H344" s="3169">
        <v>583</v>
      </c>
      <c r="I344" s="3170" t="s">
        <v>4749</v>
      </c>
      <c r="J344" s="3170" t="s">
        <v>3524</v>
      </c>
      <c r="K344" s="3170" t="s">
        <v>4750</v>
      </c>
      <c r="L344" s="3172">
        <v>16.13</v>
      </c>
      <c r="M344" s="3173" t="s">
        <v>3317</v>
      </c>
    </row>
    <row r="345" spans="8:13" ht="15.75" thickBot="1">
      <c r="H345" s="3169">
        <v>584</v>
      </c>
      <c r="I345" s="3170" t="s">
        <v>4752</v>
      </c>
      <c r="J345" s="3170" t="s">
        <v>3524</v>
      </c>
      <c r="K345" s="3170" t="s">
        <v>4753</v>
      </c>
      <c r="L345" s="3172">
        <v>22.59</v>
      </c>
      <c r="M345" s="3173" t="s">
        <v>3317</v>
      </c>
    </row>
    <row r="346" spans="8:13" ht="15.75" thickBot="1">
      <c r="H346" s="3169">
        <v>586</v>
      </c>
      <c r="I346" s="3170" t="s">
        <v>4758</v>
      </c>
      <c r="J346" s="3170" t="s">
        <v>3524</v>
      </c>
      <c r="K346" s="3170" t="s">
        <v>4759</v>
      </c>
      <c r="L346" s="3172">
        <v>24.49</v>
      </c>
      <c r="M346" s="3173" t="s">
        <v>3317</v>
      </c>
    </row>
    <row r="347" spans="8:13" ht="15.75" thickBot="1">
      <c r="H347" s="3169">
        <v>587</v>
      </c>
      <c r="I347" s="3170" t="s">
        <v>4761</v>
      </c>
      <c r="J347" s="3170" t="s">
        <v>3524</v>
      </c>
      <c r="K347" s="3170" t="s">
        <v>4762</v>
      </c>
      <c r="L347" s="3172">
        <v>30.56</v>
      </c>
      <c r="M347" s="3173" t="s">
        <v>3317</v>
      </c>
    </row>
    <row r="348" spans="8:13" ht="15.75" thickBot="1">
      <c r="H348" s="3169">
        <v>588</v>
      </c>
      <c r="I348" s="3170" t="s">
        <v>4764</v>
      </c>
      <c r="J348" s="3170" t="s">
        <v>3524</v>
      </c>
      <c r="K348" s="3170" t="s">
        <v>4765</v>
      </c>
      <c r="L348" s="3172">
        <v>56.63</v>
      </c>
      <c r="M348" s="3173" t="s">
        <v>3317</v>
      </c>
    </row>
    <row r="349" spans="8:13" ht="15.75" thickBot="1">
      <c r="H349" s="3169">
        <v>589</v>
      </c>
      <c r="I349" s="3170" t="s">
        <v>4767</v>
      </c>
      <c r="J349" s="3170" t="s">
        <v>3524</v>
      </c>
      <c r="K349" s="3170" t="s">
        <v>4768</v>
      </c>
      <c r="L349" s="3172">
        <v>62.28</v>
      </c>
      <c r="M349" s="3173" t="s">
        <v>3317</v>
      </c>
    </row>
    <row r="350" spans="8:13" ht="15.75" thickBot="1">
      <c r="H350" s="3169">
        <v>590</v>
      </c>
      <c r="I350" s="3170" t="s">
        <v>4770</v>
      </c>
      <c r="J350" s="3170" t="s">
        <v>3524</v>
      </c>
      <c r="K350" s="3170" t="s">
        <v>4771</v>
      </c>
      <c r="L350" s="3172">
        <v>33.47</v>
      </c>
      <c r="M350" s="3173" t="s">
        <v>3317</v>
      </c>
    </row>
    <row r="351" spans="8:13" ht="15.75" thickBot="1">
      <c r="H351" s="3169">
        <v>591</v>
      </c>
      <c r="I351" s="3170" t="s">
        <v>4773</v>
      </c>
      <c r="J351" s="3170" t="s">
        <v>3524</v>
      </c>
      <c r="K351" s="3170" t="s">
        <v>4774</v>
      </c>
      <c r="L351" s="3172">
        <v>42.78</v>
      </c>
      <c r="M351" s="3173" t="s">
        <v>3317</v>
      </c>
    </row>
    <row r="352" spans="8:13" ht="15.75" thickBot="1">
      <c r="H352" s="3169">
        <v>592</v>
      </c>
      <c r="I352" s="3170" t="s">
        <v>4776</v>
      </c>
      <c r="J352" s="3170" t="s">
        <v>3524</v>
      </c>
      <c r="K352" s="3170" t="s">
        <v>4777</v>
      </c>
      <c r="L352" s="3172">
        <v>22.52</v>
      </c>
      <c r="M352" s="3173" t="s">
        <v>3317</v>
      </c>
    </row>
    <row r="353" spans="8:13" ht="15.75" thickBot="1">
      <c r="H353" s="3169">
        <v>593</v>
      </c>
      <c r="I353" s="3170" t="s">
        <v>4779</v>
      </c>
      <c r="J353" s="3170" t="s">
        <v>3524</v>
      </c>
      <c r="K353" s="3170" t="s">
        <v>4780</v>
      </c>
      <c r="L353" s="3172">
        <v>25.39</v>
      </c>
      <c r="M353" s="3173" t="s">
        <v>3317</v>
      </c>
    </row>
    <row r="354" spans="8:13" ht="15.75" thickBot="1">
      <c r="H354" s="3169">
        <v>594</v>
      </c>
      <c r="I354" s="3170" t="s">
        <v>4782</v>
      </c>
      <c r="J354" s="3170" t="s">
        <v>3524</v>
      </c>
      <c r="K354" s="3170" t="s">
        <v>4783</v>
      </c>
      <c r="L354" s="3172">
        <v>26.12</v>
      </c>
      <c r="M354" s="3173" t="s">
        <v>3317</v>
      </c>
    </row>
    <row r="355" spans="8:13">
      <c r="L355">
        <f>SUM(L33:L354)</f>
        <v>11077.259999999998</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3261B-E2AB-4453-A2B9-FD6B7B2B1C30}">
  <dimension ref="A1:O1665"/>
  <sheetViews>
    <sheetView topLeftCell="A6" workbookViewId="0">
      <selection activeCell="G22" sqref="G22"/>
    </sheetView>
  </sheetViews>
  <sheetFormatPr defaultRowHeight="14.25" thickBottom="1"/>
  <cols>
    <col min="1" max="1" width="5.25" bestFit="1" customWidth="1"/>
    <col min="2" max="2" width="34.375" bestFit="1" customWidth="1"/>
    <col min="3" max="3" width="41.875" bestFit="1" customWidth="1"/>
    <col min="4" max="5" width="8.5" bestFit="1" customWidth="1"/>
    <col min="6" max="6" width="5.25" bestFit="1" customWidth="1"/>
    <col min="10" max="10" width="5.375" style="3187" customWidth="1"/>
    <col min="11" max="11" width="30.875" style="3187" bestFit="1" customWidth="1"/>
    <col min="12" max="12" width="40.375" style="3187" bestFit="1" customWidth="1"/>
    <col min="13" max="13" width="7" style="3187" bestFit="1" customWidth="1"/>
    <col min="14" max="14" width="8.5" style="3187" bestFit="1" customWidth="1"/>
    <col min="15" max="15" width="4.75" style="3187" bestFit="1" customWidth="1"/>
  </cols>
  <sheetData>
    <row r="1" spans="1:15" ht="13.5">
      <c r="A1" s="3188" t="s">
        <v>3406</v>
      </c>
      <c r="B1" s="3188" t="s">
        <v>3407</v>
      </c>
      <c r="C1" s="3188" t="s">
        <v>4852</v>
      </c>
      <c r="D1" s="3188" t="s">
        <v>3408</v>
      </c>
      <c r="E1" s="3188" t="s">
        <v>3410</v>
      </c>
      <c r="F1" s="3188" t="s">
        <v>668</v>
      </c>
      <c r="J1" s="3188" t="s">
        <v>3406</v>
      </c>
      <c r="K1" s="3188" t="s">
        <v>3407</v>
      </c>
      <c r="L1" s="3188" t="s">
        <v>4852</v>
      </c>
      <c r="M1" s="3188" t="s">
        <v>3408</v>
      </c>
      <c r="N1" s="3188" t="s">
        <v>3410</v>
      </c>
      <c r="O1" s="3188" t="s">
        <v>668</v>
      </c>
    </row>
    <row r="2" spans="1:15" thickBot="1">
      <c r="A2" s="3188">
        <v>1</v>
      </c>
      <c r="B2" s="3170" t="s">
        <v>3411</v>
      </c>
      <c r="C2" s="3170" t="s">
        <v>4785</v>
      </c>
      <c r="D2" s="3170" t="s">
        <v>3412</v>
      </c>
      <c r="E2" s="3172">
        <v>272.99</v>
      </c>
      <c r="F2" s="3173" t="s">
        <v>3387</v>
      </c>
      <c r="J2" s="3188">
        <v>1</v>
      </c>
      <c r="K2" s="3170" t="s">
        <v>4891</v>
      </c>
      <c r="L2" s="3170" t="s">
        <v>4785</v>
      </c>
      <c r="M2" s="3170" t="s">
        <v>4892</v>
      </c>
      <c r="N2" s="3172">
        <v>14.91</v>
      </c>
      <c r="O2" s="3173" t="s">
        <v>3317</v>
      </c>
    </row>
    <row r="3" spans="1:15" thickBot="1">
      <c r="A3" s="3188">
        <v>2</v>
      </c>
      <c r="B3" s="3170" t="s">
        <v>3414</v>
      </c>
      <c r="C3" s="3170" t="s">
        <v>4785</v>
      </c>
      <c r="D3" s="3170" t="s">
        <v>3415</v>
      </c>
      <c r="E3" s="3172">
        <v>271.81</v>
      </c>
      <c r="F3" s="3173" t="s">
        <v>3387</v>
      </c>
      <c r="J3" s="3188">
        <v>2</v>
      </c>
      <c r="K3" s="3170" t="s">
        <v>3441</v>
      </c>
      <c r="L3" s="3170" t="s">
        <v>4785</v>
      </c>
      <c r="M3" s="3170" t="s">
        <v>3442</v>
      </c>
      <c r="N3" s="3172">
        <v>42.4</v>
      </c>
      <c r="O3" s="3173" t="s">
        <v>3317</v>
      </c>
    </row>
    <row r="4" spans="1:15" thickBot="1">
      <c r="A4" s="3188">
        <v>3</v>
      </c>
      <c r="B4" s="3170" t="s">
        <v>4853</v>
      </c>
      <c r="C4" s="3170" t="s">
        <v>4785</v>
      </c>
      <c r="D4" s="3170" t="s">
        <v>3417</v>
      </c>
      <c r="E4" s="3172">
        <v>273.05</v>
      </c>
      <c r="F4" s="3173" t="s">
        <v>3387</v>
      </c>
      <c r="J4" s="3188">
        <v>3</v>
      </c>
      <c r="K4" s="3170" t="s">
        <v>3444</v>
      </c>
      <c r="L4" s="3170" t="s">
        <v>4785</v>
      </c>
      <c r="M4" s="3170" t="s">
        <v>3445</v>
      </c>
      <c r="N4" s="3172">
        <v>47.18</v>
      </c>
      <c r="O4" s="3173" t="s">
        <v>3317</v>
      </c>
    </row>
    <row r="5" spans="1:15" thickBot="1">
      <c r="A5" s="3188">
        <v>4</v>
      </c>
      <c r="B5" s="3170" t="s">
        <v>4854</v>
      </c>
      <c r="C5" s="3170" t="s">
        <v>4785</v>
      </c>
      <c r="D5" s="3170" t="s">
        <v>3419</v>
      </c>
      <c r="E5" s="3172">
        <v>271.88</v>
      </c>
      <c r="F5" s="3173" t="s">
        <v>3387</v>
      </c>
      <c r="J5" s="3188">
        <v>4</v>
      </c>
      <c r="K5" s="3170" t="s">
        <v>3447</v>
      </c>
      <c r="L5" s="3170" t="s">
        <v>4785</v>
      </c>
      <c r="M5" s="3170" t="s">
        <v>3448</v>
      </c>
      <c r="N5" s="3172">
        <v>62.35</v>
      </c>
      <c r="O5" s="3173" t="s">
        <v>3317</v>
      </c>
    </row>
    <row r="6" spans="1:15" thickBot="1">
      <c r="A6" s="3188">
        <v>5</v>
      </c>
      <c r="B6" s="3170" t="s">
        <v>3421</v>
      </c>
      <c r="C6" s="3170" t="s">
        <v>4785</v>
      </c>
      <c r="D6" s="3170" t="s">
        <v>3422</v>
      </c>
      <c r="E6" s="3172">
        <v>271.88</v>
      </c>
      <c r="F6" s="3173" t="s">
        <v>3387</v>
      </c>
      <c r="J6" s="3188">
        <v>5</v>
      </c>
      <c r="K6" s="3170" t="s">
        <v>3450</v>
      </c>
      <c r="L6" s="3170" t="s">
        <v>4785</v>
      </c>
      <c r="M6" s="3170" t="s">
        <v>3451</v>
      </c>
      <c r="N6" s="3172">
        <v>61.39</v>
      </c>
      <c r="O6" s="3173" t="s">
        <v>3317</v>
      </c>
    </row>
    <row r="7" spans="1:15" thickBot="1">
      <c r="A7" s="3188">
        <v>6</v>
      </c>
      <c r="B7" s="3170" t="s">
        <v>3424</v>
      </c>
      <c r="C7" s="3170" t="s">
        <v>4785</v>
      </c>
      <c r="D7" s="3170" t="s">
        <v>3425</v>
      </c>
      <c r="E7" s="3172">
        <v>271.88</v>
      </c>
      <c r="F7" s="3173" t="s">
        <v>3387</v>
      </c>
      <c r="J7" s="3188">
        <v>6</v>
      </c>
      <c r="K7" s="3170" t="s">
        <v>3453</v>
      </c>
      <c r="L7" s="3170" t="s">
        <v>4785</v>
      </c>
      <c r="M7" s="3170" t="s">
        <v>3454</v>
      </c>
      <c r="N7" s="3172">
        <v>61.39</v>
      </c>
      <c r="O7" s="3173" t="s">
        <v>3317</v>
      </c>
    </row>
    <row r="8" spans="1:15" thickBot="1">
      <c r="A8" s="3188">
        <v>7</v>
      </c>
      <c r="B8" s="3170" t="s">
        <v>3427</v>
      </c>
      <c r="C8" s="3170" t="s">
        <v>4785</v>
      </c>
      <c r="D8" s="3170" t="s">
        <v>3428</v>
      </c>
      <c r="E8" s="3172">
        <v>271.81</v>
      </c>
      <c r="F8" s="3173" t="s">
        <v>3387</v>
      </c>
      <c r="J8" s="3188">
        <v>7</v>
      </c>
      <c r="K8" s="3170" t="s">
        <v>3456</v>
      </c>
      <c r="L8" s="3170" t="s">
        <v>4785</v>
      </c>
      <c r="M8" s="3170" t="s">
        <v>3457</v>
      </c>
      <c r="N8" s="3172">
        <v>62.35</v>
      </c>
      <c r="O8" s="3173" t="s">
        <v>3317</v>
      </c>
    </row>
    <row r="9" spans="1:15" thickBot="1">
      <c r="A9" s="3188">
        <v>8</v>
      </c>
      <c r="B9" s="3170" t="s">
        <v>3430</v>
      </c>
      <c r="C9" s="3170" t="s">
        <v>4785</v>
      </c>
      <c r="D9" s="3170" t="s">
        <v>3431</v>
      </c>
      <c r="E9" s="3172">
        <v>272.99</v>
      </c>
      <c r="F9" s="3173" t="s">
        <v>3387</v>
      </c>
      <c r="J9" s="3188">
        <v>8</v>
      </c>
      <c r="K9" s="3170" t="s">
        <v>3459</v>
      </c>
      <c r="L9" s="3170" t="s">
        <v>4785</v>
      </c>
      <c r="M9" s="3170" t="s">
        <v>3460</v>
      </c>
      <c r="N9" s="3172">
        <v>47.18</v>
      </c>
      <c r="O9" s="3173" t="s">
        <v>3317</v>
      </c>
    </row>
    <row r="10" spans="1:15" thickBot="1">
      <c r="A10" s="3188">
        <v>9</v>
      </c>
      <c r="B10" s="3170" t="s">
        <v>4855</v>
      </c>
      <c r="C10" s="3170" t="s">
        <v>4785</v>
      </c>
      <c r="D10" s="3170" t="s">
        <v>3433</v>
      </c>
      <c r="E10" s="3172">
        <v>271.88</v>
      </c>
      <c r="F10" s="3173" t="s">
        <v>3387</v>
      </c>
      <c r="J10" s="3188">
        <v>9</v>
      </c>
      <c r="K10" s="3170" t="s">
        <v>3462</v>
      </c>
      <c r="L10" s="3170" t="s">
        <v>4785</v>
      </c>
      <c r="M10" s="3170" t="s">
        <v>3463</v>
      </c>
      <c r="N10" s="3172">
        <v>42.77</v>
      </c>
      <c r="O10" s="3173" t="s">
        <v>3317</v>
      </c>
    </row>
    <row r="11" spans="1:15" thickBot="1">
      <c r="A11" s="3188">
        <v>10</v>
      </c>
      <c r="B11" s="3170" t="s">
        <v>3435</v>
      </c>
      <c r="C11" s="3170" t="s">
        <v>4785</v>
      </c>
      <c r="D11" s="3170" t="s">
        <v>3436</v>
      </c>
      <c r="E11" s="3172">
        <v>271.88</v>
      </c>
      <c r="F11" s="3173" t="s">
        <v>3387</v>
      </c>
      <c r="J11" s="3188">
        <v>10</v>
      </c>
      <c r="K11" s="3170" t="s">
        <v>3465</v>
      </c>
      <c r="L11" s="3170" t="s">
        <v>4785</v>
      </c>
      <c r="M11" s="3170" t="s">
        <v>3466</v>
      </c>
      <c r="N11" s="3172">
        <v>42.77</v>
      </c>
      <c r="O11" s="3173" t="s">
        <v>3317</v>
      </c>
    </row>
    <row r="12" spans="1:15" thickBot="1">
      <c r="A12" s="3188">
        <v>11</v>
      </c>
      <c r="B12" s="3170" t="s">
        <v>3438</v>
      </c>
      <c r="C12" s="3170" t="s">
        <v>4785</v>
      </c>
      <c r="D12" s="3170" t="s">
        <v>3439</v>
      </c>
      <c r="E12" s="3172">
        <v>271.88</v>
      </c>
      <c r="F12" s="3173" t="s">
        <v>3387</v>
      </c>
      <c r="J12" s="3188">
        <v>11</v>
      </c>
      <c r="K12" s="3170" t="s">
        <v>3468</v>
      </c>
      <c r="L12" s="3170" t="s">
        <v>4785</v>
      </c>
      <c r="M12" s="3170" t="s">
        <v>3469</v>
      </c>
      <c r="N12" s="3172">
        <v>47.18</v>
      </c>
      <c r="O12" s="3173" t="s">
        <v>3317</v>
      </c>
    </row>
    <row r="13" spans="1:15" thickBot="1">
      <c r="A13" s="3188">
        <v>12</v>
      </c>
      <c r="B13" s="3170" t="s">
        <v>4856</v>
      </c>
      <c r="C13" s="3170" t="s">
        <v>4785</v>
      </c>
      <c r="D13" s="3170" t="s">
        <v>3504</v>
      </c>
      <c r="E13" s="3172">
        <v>230.81</v>
      </c>
      <c r="F13" s="3173" t="s">
        <v>3387</v>
      </c>
      <c r="J13" s="3188">
        <v>12</v>
      </c>
      <c r="K13" s="3170" t="s">
        <v>3471</v>
      </c>
      <c r="L13" s="3170" t="s">
        <v>4785</v>
      </c>
      <c r="M13" s="3170" t="s">
        <v>3472</v>
      </c>
      <c r="N13" s="3172">
        <v>62.35</v>
      </c>
      <c r="O13" s="3173" t="s">
        <v>3317</v>
      </c>
    </row>
    <row r="14" spans="1:15" thickBot="1">
      <c r="A14" s="3188">
        <v>13</v>
      </c>
      <c r="B14" s="3170" t="s">
        <v>4857</v>
      </c>
      <c r="C14" s="3170" t="s">
        <v>4785</v>
      </c>
      <c r="D14" s="3170" t="s">
        <v>4858</v>
      </c>
      <c r="E14" s="3172">
        <v>272.83</v>
      </c>
      <c r="F14" s="3173" t="s">
        <v>3387</v>
      </c>
      <c r="J14" s="3188">
        <v>13</v>
      </c>
      <c r="K14" s="3170" t="s">
        <v>3474</v>
      </c>
      <c r="L14" s="3170" t="s">
        <v>4785</v>
      </c>
      <c r="M14" s="3170" t="s">
        <v>3475</v>
      </c>
      <c r="N14" s="3172">
        <v>61.39</v>
      </c>
      <c r="O14" s="3173" t="s">
        <v>3317</v>
      </c>
    </row>
    <row r="15" spans="1:15" thickBot="1">
      <c r="A15" s="3188"/>
      <c r="B15" s="3188"/>
      <c r="C15" s="3188"/>
      <c r="D15" s="3188"/>
      <c r="E15" s="3188">
        <f>SUM(E2:E14)</f>
        <v>3497.57</v>
      </c>
      <c r="F15" s="3188"/>
      <c r="J15" s="3188">
        <v>14</v>
      </c>
      <c r="K15" s="3170" t="s">
        <v>3477</v>
      </c>
      <c r="L15" s="3170" t="s">
        <v>4785</v>
      </c>
      <c r="M15" s="3170" t="s">
        <v>3478</v>
      </c>
      <c r="N15" s="3172">
        <v>61.39</v>
      </c>
      <c r="O15" s="3173" t="s">
        <v>3317</v>
      </c>
    </row>
    <row r="16" spans="1:15" thickBot="1">
      <c r="C16" s="3192" t="s">
        <v>5029</v>
      </c>
      <c r="J16" s="3188">
        <v>15</v>
      </c>
      <c r="K16" s="3170" t="s">
        <v>3480</v>
      </c>
      <c r="L16" s="3170" t="s">
        <v>4785</v>
      </c>
      <c r="M16" s="3170" t="s">
        <v>3481</v>
      </c>
      <c r="N16" s="3172">
        <v>62.35</v>
      </c>
      <c r="O16" s="3173" t="s">
        <v>3317</v>
      </c>
    </row>
    <row r="17" spans="1:15" thickBot="1">
      <c r="B17" s="3191" t="s">
        <v>5027</v>
      </c>
      <c r="C17">
        <f>E18+G18</f>
        <v>4751.43</v>
      </c>
      <c r="D17" s="3188"/>
      <c r="E17" s="3188" t="s">
        <v>3372</v>
      </c>
      <c r="F17" s="3188"/>
      <c r="G17" s="3188" t="s">
        <v>3372</v>
      </c>
      <c r="J17" s="3188">
        <v>16</v>
      </c>
      <c r="K17" s="3170" t="s">
        <v>3483</v>
      </c>
      <c r="L17" s="3170" t="s">
        <v>4785</v>
      </c>
      <c r="M17" s="3170" t="s">
        <v>3484</v>
      </c>
      <c r="N17" s="3172">
        <v>47.18</v>
      </c>
      <c r="O17" s="3173" t="s">
        <v>3317</v>
      </c>
    </row>
    <row r="18" spans="1:15" thickBot="1">
      <c r="B18" s="3191" t="s">
        <v>5028</v>
      </c>
      <c r="C18">
        <f>E19+G19</f>
        <v>40762.830000000024</v>
      </c>
      <c r="D18" s="3188" t="s">
        <v>2537</v>
      </c>
      <c r="E18" s="3188">
        <f>E15</f>
        <v>3497.57</v>
      </c>
      <c r="F18" s="3188" t="s">
        <v>4883</v>
      </c>
      <c r="G18" s="3188">
        <f>N30</f>
        <v>1253.8599999999999</v>
      </c>
      <c r="J18" s="3188">
        <v>17</v>
      </c>
      <c r="K18" s="3170" t="s">
        <v>3486</v>
      </c>
      <c r="L18" s="3170" t="s">
        <v>4785</v>
      </c>
      <c r="M18" s="3170" t="s">
        <v>3487</v>
      </c>
      <c r="N18" s="3172">
        <v>54.43</v>
      </c>
      <c r="O18" s="3173" t="s">
        <v>3317</v>
      </c>
    </row>
    <row r="19" spans="1:15" thickBot="1">
      <c r="D19" s="3188"/>
      <c r="E19" s="3188">
        <f>E157</f>
        <v>27613.15000000002</v>
      </c>
      <c r="F19" s="3188"/>
      <c r="G19" s="3188">
        <f>N410</f>
        <v>13149.680000000002</v>
      </c>
      <c r="J19" s="3188">
        <v>18</v>
      </c>
      <c r="K19" s="3170" t="s">
        <v>3489</v>
      </c>
      <c r="L19" s="3170" t="s">
        <v>4785</v>
      </c>
      <c r="M19" s="3170" t="s">
        <v>3490</v>
      </c>
      <c r="N19" s="3172">
        <v>15.15</v>
      </c>
      <c r="O19" s="3173" t="s">
        <v>3317</v>
      </c>
    </row>
    <row r="20" spans="1:15" thickBot="1">
      <c r="D20" s="3188"/>
      <c r="E20" s="3188">
        <f>SUM(E18:E19)</f>
        <v>31110.720000000019</v>
      </c>
      <c r="F20" s="3188"/>
      <c r="G20" s="3188">
        <f>SUM(G18:G19)</f>
        <v>14403.540000000003</v>
      </c>
      <c r="J20" s="3188">
        <v>19</v>
      </c>
      <c r="K20" s="3170" t="s">
        <v>3492</v>
      </c>
      <c r="L20" s="3170" t="s">
        <v>4785</v>
      </c>
      <c r="M20" s="3170" t="s">
        <v>3493</v>
      </c>
      <c r="N20" s="3172">
        <v>22.9</v>
      </c>
      <c r="O20" s="3173" t="s">
        <v>3317</v>
      </c>
    </row>
    <row r="21" spans="1:15" thickBot="1">
      <c r="D21" s="3188" t="s">
        <v>4884</v>
      </c>
      <c r="E21" s="3188">
        <f>E20+G20</f>
        <v>45514.260000000024</v>
      </c>
      <c r="F21" s="3188"/>
      <c r="G21" s="3188"/>
      <c r="J21" s="3188">
        <v>20</v>
      </c>
      <c r="K21" s="3170" t="s">
        <v>3495</v>
      </c>
      <c r="L21" s="3170" t="s">
        <v>4785</v>
      </c>
      <c r="M21" s="3170" t="s">
        <v>3496</v>
      </c>
      <c r="N21" s="3172">
        <v>22.9</v>
      </c>
      <c r="O21" s="3173" t="s">
        <v>3317</v>
      </c>
    </row>
    <row r="22" spans="1:15" thickBot="1">
      <c r="D22" s="1405" t="s">
        <v>5025</v>
      </c>
      <c r="E22">
        <f>A14+A156</f>
        <v>144</v>
      </c>
      <c r="J22" s="3188">
        <v>21</v>
      </c>
      <c r="K22" s="3170" t="s">
        <v>3498</v>
      </c>
      <c r="L22" s="3170" t="s">
        <v>4785</v>
      </c>
      <c r="M22" s="3170" t="s">
        <v>3499</v>
      </c>
      <c r="N22" s="3172">
        <v>22.9</v>
      </c>
      <c r="O22" s="3173" t="s">
        <v>3317</v>
      </c>
    </row>
    <row r="23" spans="1:15" thickBot="1">
      <c r="D23" s="3189" t="s">
        <v>5026</v>
      </c>
      <c r="E23">
        <f>J29+J409</f>
        <v>404</v>
      </c>
      <c r="H23" s="3190">
        <v>39010</v>
      </c>
      <c r="J23" s="3188">
        <v>22</v>
      </c>
      <c r="K23" s="3170" t="s">
        <v>3501</v>
      </c>
      <c r="L23" s="3170" t="s">
        <v>4785</v>
      </c>
      <c r="M23" s="3170" t="s">
        <v>3502</v>
      </c>
      <c r="N23" s="3172">
        <v>21.51</v>
      </c>
      <c r="O23" s="3173" t="s">
        <v>3317</v>
      </c>
    </row>
    <row r="24" spans="1:15" thickBot="1">
      <c r="J24" s="3188">
        <v>23</v>
      </c>
      <c r="K24" s="3170" t="s">
        <v>3506</v>
      </c>
      <c r="L24" s="3170" t="s">
        <v>4785</v>
      </c>
      <c r="M24" s="3170" t="s">
        <v>3507</v>
      </c>
      <c r="N24" s="3172">
        <v>30.17</v>
      </c>
      <c r="O24" s="3173" t="s">
        <v>3317</v>
      </c>
    </row>
    <row r="25" spans="1:15" thickBot="1">
      <c r="A25" s="3188" t="s">
        <v>3406</v>
      </c>
      <c r="B25" s="3188" t="s">
        <v>3407</v>
      </c>
      <c r="C25" s="3188" t="s">
        <v>4852</v>
      </c>
      <c r="D25" s="3188" t="s">
        <v>3408</v>
      </c>
      <c r="E25" s="3188" t="s">
        <v>3410</v>
      </c>
      <c r="F25" s="3188" t="s">
        <v>668</v>
      </c>
      <c r="J25" s="3188">
        <v>24</v>
      </c>
      <c r="K25" s="3170" t="s">
        <v>3509</v>
      </c>
      <c r="L25" s="3170" t="s">
        <v>4785</v>
      </c>
      <c r="M25" s="3170" t="s">
        <v>3510</v>
      </c>
      <c r="N25" s="3172">
        <v>61.69</v>
      </c>
      <c r="O25" s="3173" t="s">
        <v>3317</v>
      </c>
    </row>
    <row r="26" spans="1:15" thickBot="1">
      <c r="A26" s="3188">
        <v>1</v>
      </c>
      <c r="B26" s="3170" t="s">
        <v>5030</v>
      </c>
      <c r="C26" s="3170" t="s">
        <v>3524</v>
      </c>
      <c r="D26" s="3170" t="s">
        <v>5031</v>
      </c>
      <c r="E26" s="3172">
        <v>230.9</v>
      </c>
      <c r="F26" s="3173" t="s">
        <v>3387</v>
      </c>
      <c r="J26" s="3188">
        <v>25</v>
      </c>
      <c r="K26" s="3170" t="s">
        <v>3512</v>
      </c>
      <c r="L26" s="3170" t="s">
        <v>4785</v>
      </c>
      <c r="M26" s="3170" t="s">
        <v>3513</v>
      </c>
      <c r="N26" s="3172">
        <v>62.66</v>
      </c>
      <c r="O26" s="3173" t="s">
        <v>3317</v>
      </c>
    </row>
    <row r="27" spans="1:15" thickBot="1">
      <c r="A27" s="3188">
        <v>2</v>
      </c>
      <c r="B27" s="3170" t="s">
        <v>5032</v>
      </c>
      <c r="C27" s="3170" t="s">
        <v>3524</v>
      </c>
      <c r="D27" s="3170" t="s">
        <v>5033</v>
      </c>
      <c r="E27" s="3172">
        <v>209.67</v>
      </c>
      <c r="F27" s="3173" t="s">
        <v>3387</v>
      </c>
      <c r="J27" s="3188">
        <v>26</v>
      </c>
      <c r="K27" s="3170" t="s">
        <v>3515</v>
      </c>
      <c r="L27" s="3170" t="s">
        <v>4785</v>
      </c>
      <c r="M27" s="3170" t="s">
        <v>3516</v>
      </c>
      <c r="N27" s="3172">
        <v>47.41</v>
      </c>
      <c r="O27" s="3173" t="s">
        <v>3317</v>
      </c>
    </row>
    <row r="28" spans="1:15" thickBot="1">
      <c r="A28" s="3188">
        <v>3</v>
      </c>
      <c r="B28" s="3170" t="s">
        <v>5034</v>
      </c>
      <c r="C28" s="3170" t="s">
        <v>3524</v>
      </c>
      <c r="D28" s="3170" t="s">
        <v>5010</v>
      </c>
      <c r="E28" s="3172">
        <v>272.91000000000003</v>
      </c>
      <c r="F28" s="3173" t="s">
        <v>3387</v>
      </c>
      <c r="J28" s="3188">
        <v>27</v>
      </c>
      <c r="K28" s="3170" t="s">
        <v>3518</v>
      </c>
      <c r="L28" s="3170" t="s">
        <v>4785</v>
      </c>
      <c r="M28" s="3170" t="s">
        <v>3519</v>
      </c>
      <c r="N28" s="3172">
        <v>42.6</v>
      </c>
      <c r="O28" s="3173" t="s">
        <v>3317</v>
      </c>
    </row>
    <row r="29" spans="1:15" thickBot="1">
      <c r="A29" s="3188">
        <v>4</v>
      </c>
      <c r="B29" s="3170" t="s">
        <v>5011</v>
      </c>
      <c r="C29" s="3170" t="s">
        <v>3524</v>
      </c>
      <c r="D29" s="3170" t="s">
        <v>5012</v>
      </c>
      <c r="E29" s="3172">
        <v>184.96</v>
      </c>
      <c r="F29" s="3173" t="s">
        <v>3387</v>
      </c>
      <c r="J29" s="3188">
        <v>28</v>
      </c>
      <c r="K29" s="3170" t="s">
        <v>3521</v>
      </c>
      <c r="L29" s="3170" t="s">
        <v>4785</v>
      </c>
      <c r="M29" s="3170" t="s">
        <v>3522</v>
      </c>
      <c r="N29" s="3172">
        <v>23.01</v>
      </c>
      <c r="O29" s="3173" t="s">
        <v>3317</v>
      </c>
    </row>
    <row r="30" spans="1:15" thickBot="1">
      <c r="A30" s="3188">
        <v>5</v>
      </c>
      <c r="B30" s="3170" t="s">
        <v>5013</v>
      </c>
      <c r="C30" s="3170" t="s">
        <v>3524</v>
      </c>
      <c r="D30" s="3170" t="s">
        <v>5014</v>
      </c>
      <c r="E30" s="3172">
        <v>184.5</v>
      </c>
      <c r="F30" s="3173" t="s">
        <v>3387</v>
      </c>
      <c r="J30" s="3188"/>
      <c r="K30" s="3188"/>
      <c r="L30" s="3188"/>
      <c r="M30" s="3188"/>
      <c r="N30" s="3188">
        <f>SUM(N2:N29)</f>
        <v>1253.8599999999999</v>
      </c>
      <c r="O30" s="3188"/>
    </row>
    <row r="31" spans="1:15" thickBot="1">
      <c r="A31" s="3188">
        <v>6</v>
      </c>
      <c r="B31" s="3170" t="s">
        <v>5015</v>
      </c>
      <c r="C31" s="3170" t="s">
        <v>3524</v>
      </c>
      <c r="D31" s="3170" t="s">
        <v>5016</v>
      </c>
      <c r="E31" s="3172">
        <v>271.76</v>
      </c>
      <c r="F31" s="3173" t="s">
        <v>3387</v>
      </c>
      <c r="J31"/>
      <c r="K31"/>
      <c r="L31"/>
      <c r="M31"/>
      <c r="N31"/>
      <c r="O31"/>
    </row>
    <row r="32" spans="1:15" thickBot="1">
      <c r="A32" s="3188">
        <v>7</v>
      </c>
      <c r="B32" s="3170" t="s">
        <v>5017</v>
      </c>
      <c r="C32" s="3170" t="s">
        <v>3524</v>
      </c>
      <c r="D32" s="3170" t="s">
        <v>5018</v>
      </c>
      <c r="E32" s="3172">
        <v>230.89</v>
      </c>
      <c r="F32" s="3173" t="s">
        <v>3387</v>
      </c>
      <c r="J32"/>
      <c r="K32"/>
      <c r="L32"/>
      <c r="M32"/>
      <c r="N32"/>
      <c r="O32"/>
    </row>
    <row r="33" spans="1:15" thickBot="1">
      <c r="A33" s="3188">
        <v>8</v>
      </c>
      <c r="B33" s="3170" t="s">
        <v>5019</v>
      </c>
      <c r="C33" s="3170" t="s">
        <v>3524</v>
      </c>
      <c r="D33" s="3170" t="s">
        <v>5020</v>
      </c>
      <c r="E33" s="3172">
        <v>184.5</v>
      </c>
      <c r="F33" s="3173" t="s">
        <v>3387</v>
      </c>
      <c r="J33" s="3188" t="s">
        <v>3406</v>
      </c>
      <c r="K33" s="3188" t="s">
        <v>3407</v>
      </c>
      <c r="L33" s="3188" t="s">
        <v>4852</v>
      </c>
      <c r="M33" s="3188" t="s">
        <v>3408</v>
      </c>
      <c r="N33" s="3188" t="s">
        <v>3410</v>
      </c>
      <c r="O33" s="3188" t="s">
        <v>668</v>
      </c>
    </row>
    <row r="34" spans="1:15" thickBot="1">
      <c r="A34" s="3188">
        <v>9</v>
      </c>
      <c r="B34" s="3170" t="s">
        <v>5021</v>
      </c>
      <c r="C34" s="3170" t="s">
        <v>3524</v>
      </c>
      <c r="D34" s="3170" t="s">
        <v>5022</v>
      </c>
      <c r="E34" s="3172">
        <v>272.97000000000003</v>
      </c>
      <c r="F34" s="3173" t="s">
        <v>3387</v>
      </c>
      <c r="J34" s="3188">
        <v>1</v>
      </c>
      <c r="K34" s="3170" t="s">
        <v>5035</v>
      </c>
      <c r="L34" s="3170" t="s">
        <v>3524</v>
      </c>
      <c r="M34" s="3170" t="s">
        <v>5036</v>
      </c>
      <c r="N34" s="3172">
        <v>46.68</v>
      </c>
      <c r="O34" s="3173" t="s">
        <v>3317</v>
      </c>
    </row>
    <row r="35" spans="1:15" thickBot="1">
      <c r="A35" s="3188">
        <v>10</v>
      </c>
      <c r="B35" s="3170" t="s">
        <v>5023</v>
      </c>
      <c r="C35" s="3170" t="s">
        <v>3524</v>
      </c>
      <c r="D35" s="3170" t="s">
        <v>5024</v>
      </c>
      <c r="E35" s="3172">
        <v>221.85</v>
      </c>
      <c r="F35" s="3173" t="s">
        <v>3387</v>
      </c>
      <c r="J35" s="3188">
        <v>2</v>
      </c>
      <c r="K35" s="3170" t="s">
        <v>5037</v>
      </c>
      <c r="L35" s="3170" t="s">
        <v>3524</v>
      </c>
      <c r="M35" s="3170" t="s">
        <v>5038</v>
      </c>
      <c r="N35" s="3172">
        <v>62</v>
      </c>
      <c r="O35" s="3173" t="s">
        <v>3317</v>
      </c>
    </row>
    <row r="36" spans="1:15" thickBot="1">
      <c r="A36" s="3188">
        <v>11</v>
      </c>
      <c r="B36" s="3170" t="s">
        <v>4969</v>
      </c>
      <c r="C36" s="3170" t="s">
        <v>3524</v>
      </c>
      <c r="D36" s="3170" t="s">
        <v>4970</v>
      </c>
      <c r="E36" s="3172">
        <v>221.83</v>
      </c>
      <c r="F36" s="3173" t="s">
        <v>3387</v>
      </c>
      <c r="J36" s="3188">
        <v>3</v>
      </c>
      <c r="K36" s="3170" t="s">
        <v>5039</v>
      </c>
      <c r="L36" s="3170" t="s">
        <v>3524</v>
      </c>
      <c r="M36" s="3170" t="s">
        <v>5040</v>
      </c>
      <c r="N36" s="3172">
        <v>33.47</v>
      </c>
      <c r="O36" s="3173" t="s">
        <v>3317</v>
      </c>
    </row>
    <row r="37" spans="1:15" thickBot="1">
      <c r="A37" s="3188">
        <v>12</v>
      </c>
      <c r="B37" s="3170" t="s">
        <v>4971</v>
      </c>
      <c r="C37" s="3170" t="s">
        <v>3524</v>
      </c>
      <c r="D37" s="3170" t="s">
        <v>4972</v>
      </c>
      <c r="E37" s="3172">
        <v>210.96</v>
      </c>
      <c r="F37" s="3173" t="s">
        <v>3387</v>
      </c>
      <c r="J37" s="3188">
        <v>4</v>
      </c>
      <c r="K37" s="3170" t="s">
        <v>5041</v>
      </c>
      <c r="L37" s="3170" t="s">
        <v>3524</v>
      </c>
      <c r="M37" s="3170" t="s">
        <v>5042</v>
      </c>
      <c r="N37" s="3172">
        <v>33.47</v>
      </c>
      <c r="O37" s="3173" t="s">
        <v>3317</v>
      </c>
    </row>
    <row r="38" spans="1:15" thickBot="1">
      <c r="A38" s="3188">
        <v>13</v>
      </c>
      <c r="B38" s="3170" t="s">
        <v>4973</v>
      </c>
      <c r="C38" s="3170" t="s">
        <v>3524</v>
      </c>
      <c r="D38" s="3170" t="s">
        <v>4974</v>
      </c>
      <c r="E38" s="3172">
        <v>167.95</v>
      </c>
      <c r="F38" s="3173" t="s">
        <v>3387</v>
      </c>
      <c r="J38" s="3188">
        <v>5</v>
      </c>
      <c r="K38" s="3170" t="s">
        <v>5043</v>
      </c>
      <c r="L38" s="3170" t="s">
        <v>3524</v>
      </c>
      <c r="M38" s="3170" t="s">
        <v>5044</v>
      </c>
      <c r="N38" s="3172">
        <v>62.28</v>
      </c>
      <c r="O38" s="3173" t="s">
        <v>3317</v>
      </c>
    </row>
    <row r="39" spans="1:15" thickBot="1">
      <c r="A39" s="3188">
        <v>14</v>
      </c>
      <c r="B39" s="3170" t="s">
        <v>4975</v>
      </c>
      <c r="C39" s="3170" t="s">
        <v>3524</v>
      </c>
      <c r="D39" s="3170" t="s">
        <v>4976</v>
      </c>
      <c r="E39" s="3172">
        <v>210.97</v>
      </c>
      <c r="F39" s="3173" t="s">
        <v>3387</v>
      </c>
      <c r="J39" s="3188">
        <v>6</v>
      </c>
      <c r="K39" s="3170" t="s">
        <v>5045</v>
      </c>
      <c r="L39" s="3170" t="s">
        <v>3524</v>
      </c>
      <c r="M39" s="3170" t="s">
        <v>5046</v>
      </c>
      <c r="N39" s="3172">
        <v>56.63</v>
      </c>
      <c r="O39" s="3173" t="s">
        <v>3317</v>
      </c>
    </row>
    <row r="40" spans="1:15" thickBot="1">
      <c r="A40" s="3188">
        <v>15</v>
      </c>
      <c r="B40" s="3170" t="s">
        <v>4977</v>
      </c>
      <c r="C40" s="3170" t="s">
        <v>3524</v>
      </c>
      <c r="D40" s="3170" t="s">
        <v>4978</v>
      </c>
      <c r="E40" s="3172">
        <v>272.99</v>
      </c>
      <c r="F40" s="3173" t="s">
        <v>3387</v>
      </c>
      <c r="J40" s="3188">
        <v>7</v>
      </c>
      <c r="K40" s="3170" t="s">
        <v>5047</v>
      </c>
      <c r="L40" s="3170" t="s">
        <v>3524</v>
      </c>
      <c r="M40" s="3170" t="s">
        <v>5048</v>
      </c>
      <c r="N40" s="3172">
        <v>30.56</v>
      </c>
      <c r="O40" s="3173" t="s">
        <v>3317</v>
      </c>
    </row>
    <row r="41" spans="1:15" thickBot="1">
      <c r="A41" s="3188">
        <v>16</v>
      </c>
      <c r="B41" s="3170" t="s">
        <v>4979</v>
      </c>
      <c r="C41" s="3170" t="s">
        <v>3524</v>
      </c>
      <c r="D41" s="3170" t="s">
        <v>4980</v>
      </c>
      <c r="E41" s="3172">
        <v>210.91</v>
      </c>
      <c r="F41" s="3173" t="s">
        <v>3387</v>
      </c>
      <c r="J41" s="3188">
        <v>8</v>
      </c>
      <c r="K41" s="3170" t="s">
        <v>5049</v>
      </c>
      <c r="L41" s="3170" t="s">
        <v>3524</v>
      </c>
      <c r="M41" s="3170" t="s">
        <v>5050</v>
      </c>
      <c r="N41" s="3172">
        <v>24.49</v>
      </c>
      <c r="O41" s="3173" t="s">
        <v>3317</v>
      </c>
    </row>
    <row r="42" spans="1:15" thickBot="1">
      <c r="A42" s="3188">
        <v>17</v>
      </c>
      <c r="B42" s="3170" t="s">
        <v>4981</v>
      </c>
      <c r="C42" s="3170" t="s">
        <v>3524</v>
      </c>
      <c r="D42" s="3170" t="s">
        <v>4982</v>
      </c>
      <c r="E42" s="3172">
        <v>168.09</v>
      </c>
      <c r="F42" s="3173" t="s">
        <v>3387</v>
      </c>
      <c r="J42" s="3188">
        <v>9</v>
      </c>
      <c r="K42" s="3170" t="s">
        <v>5051</v>
      </c>
      <c r="L42" s="3170" t="s">
        <v>3524</v>
      </c>
      <c r="M42" s="3170" t="s">
        <v>5052</v>
      </c>
      <c r="N42" s="3172">
        <v>21.5</v>
      </c>
      <c r="O42" s="3173" t="s">
        <v>3317</v>
      </c>
    </row>
    <row r="43" spans="1:15" thickBot="1">
      <c r="A43" s="3188">
        <v>18</v>
      </c>
      <c r="B43" s="3170" t="s">
        <v>4983</v>
      </c>
      <c r="C43" s="3170" t="s">
        <v>3524</v>
      </c>
      <c r="D43" s="3170" t="s">
        <v>4984</v>
      </c>
      <c r="E43" s="3172">
        <v>184.82</v>
      </c>
      <c r="F43" s="3173" t="s">
        <v>3387</v>
      </c>
      <c r="J43" s="3188">
        <v>10</v>
      </c>
      <c r="K43" s="3170" t="s">
        <v>5053</v>
      </c>
      <c r="L43" s="3170" t="s">
        <v>3524</v>
      </c>
      <c r="M43" s="3170" t="s">
        <v>5054</v>
      </c>
      <c r="N43" s="3172">
        <v>22.76</v>
      </c>
      <c r="O43" s="3173" t="s">
        <v>3317</v>
      </c>
    </row>
    <row r="44" spans="1:15" thickBot="1">
      <c r="A44" s="3188">
        <v>19</v>
      </c>
      <c r="B44" s="3170" t="s">
        <v>4985</v>
      </c>
      <c r="C44" s="3170" t="s">
        <v>3524</v>
      </c>
      <c r="D44" s="3170" t="s">
        <v>4986</v>
      </c>
      <c r="E44" s="3172">
        <v>192.4</v>
      </c>
      <c r="F44" s="3173" t="s">
        <v>3387</v>
      </c>
      <c r="J44" s="3188">
        <v>11</v>
      </c>
      <c r="K44" s="3170" t="s">
        <v>5055</v>
      </c>
      <c r="L44" s="3170" t="s">
        <v>3524</v>
      </c>
      <c r="M44" s="3170" t="s">
        <v>4999</v>
      </c>
      <c r="N44" s="3172">
        <v>42.57</v>
      </c>
      <c r="O44" s="3173" t="s">
        <v>3317</v>
      </c>
    </row>
    <row r="45" spans="1:15" thickBot="1">
      <c r="A45" s="3188">
        <v>20</v>
      </c>
      <c r="B45" s="3170" t="s">
        <v>4987</v>
      </c>
      <c r="C45" s="3170" t="s">
        <v>3524</v>
      </c>
      <c r="D45" s="3170" t="s">
        <v>4988</v>
      </c>
      <c r="E45" s="3172">
        <v>230.9</v>
      </c>
      <c r="F45" s="3173" t="s">
        <v>3387</v>
      </c>
      <c r="J45" s="3188">
        <v>12</v>
      </c>
      <c r="K45" s="3170" t="s">
        <v>5000</v>
      </c>
      <c r="L45" s="3170" t="s">
        <v>3524</v>
      </c>
      <c r="M45" s="3170" t="s">
        <v>5001</v>
      </c>
      <c r="N45" s="3172">
        <v>47.2</v>
      </c>
      <c r="O45" s="3173" t="s">
        <v>3317</v>
      </c>
    </row>
    <row r="46" spans="1:15" thickBot="1">
      <c r="A46" s="3188">
        <v>21</v>
      </c>
      <c r="B46" s="3170" t="s">
        <v>4989</v>
      </c>
      <c r="C46" s="3170" t="s">
        <v>3524</v>
      </c>
      <c r="D46" s="3170" t="s">
        <v>4990</v>
      </c>
      <c r="E46" s="3172">
        <v>184.49</v>
      </c>
      <c r="F46" s="3173" t="s">
        <v>3387</v>
      </c>
      <c r="J46" s="3188">
        <v>13</v>
      </c>
      <c r="K46" s="3170" t="s">
        <v>5002</v>
      </c>
      <c r="L46" s="3170" t="s">
        <v>3524</v>
      </c>
      <c r="M46" s="3170" t="s">
        <v>5003</v>
      </c>
      <c r="N46" s="3172">
        <v>62.37</v>
      </c>
      <c r="O46" s="3173" t="s">
        <v>3317</v>
      </c>
    </row>
    <row r="47" spans="1:15" thickBot="1">
      <c r="A47" s="3188">
        <v>22</v>
      </c>
      <c r="B47" s="3170" t="s">
        <v>4991</v>
      </c>
      <c r="C47" s="3170" t="s">
        <v>3524</v>
      </c>
      <c r="D47" s="3170" t="s">
        <v>4992</v>
      </c>
      <c r="E47" s="3172">
        <v>185</v>
      </c>
      <c r="F47" s="3173" t="s">
        <v>3387</v>
      </c>
      <c r="J47" s="3188">
        <v>14</v>
      </c>
      <c r="K47" s="3170" t="s">
        <v>5004</v>
      </c>
      <c r="L47" s="3170" t="s">
        <v>3524</v>
      </c>
      <c r="M47" s="3170" t="s">
        <v>5005</v>
      </c>
      <c r="N47" s="3172">
        <v>61.41</v>
      </c>
      <c r="O47" s="3173" t="s">
        <v>3317</v>
      </c>
    </row>
    <row r="48" spans="1:15" thickBot="1">
      <c r="A48" s="3188">
        <v>23</v>
      </c>
      <c r="B48" s="3170" t="s">
        <v>4993</v>
      </c>
      <c r="C48" s="3170" t="s">
        <v>3524</v>
      </c>
      <c r="D48" s="3170" t="s">
        <v>4994</v>
      </c>
      <c r="E48" s="3172">
        <v>184.32</v>
      </c>
      <c r="F48" s="3173" t="s">
        <v>3387</v>
      </c>
      <c r="J48" s="3188">
        <v>15</v>
      </c>
      <c r="K48" s="3170" t="s">
        <v>5006</v>
      </c>
      <c r="L48" s="3170" t="s">
        <v>3524</v>
      </c>
      <c r="M48" s="3170" t="s">
        <v>5007</v>
      </c>
      <c r="N48" s="3172">
        <v>22.9</v>
      </c>
      <c r="O48" s="3173" t="s">
        <v>3317</v>
      </c>
    </row>
    <row r="49" spans="1:15" thickBot="1">
      <c r="A49" s="3188">
        <v>24</v>
      </c>
      <c r="B49" s="3170" t="s">
        <v>4995</v>
      </c>
      <c r="C49" s="3170" t="s">
        <v>3524</v>
      </c>
      <c r="D49" s="3170" t="s">
        <v>4996</v>
      </c>
      <c r="E49" s="3172">
        <v>271.82</v>
      </c>
      <c r="F49" s="3173" t="s">
        <v>3387</v>
      </c>
      <c r="J49" s="3188">
        <v>16</v>
      </c>
      <c r="K49" s="3170" t="s">
        <v>5008</v>
      </c>
      <c r="L49" s="3170" t="s">
        <v>3524</v>
      </c>
      <c r="M49" s="3170" t="s">
        <v>5009</v>
      </c>
      <c r="N49" s="3172">
        <v>15.68</v>
      </c>
      <c r="O49" s="3173" t="s">
        <v>3317</v>
      </c>
    </row>
    <row r="50" spans="1:15" thickBot="1">
      <c r="A50" s="3188">
        <v>25</v>
      </c>
      <c r="B50" s="3170" t="s">
        <v>4997</v>
      </c>
      <c r="C50" s="3170" t="s">
        <v>3524</v>
      </c>
      <c r="D50" s="3170" t="s">
        <v>4998</v>
      </c>
      <c r="E50" s="3172">
        <v>223.15</v>
      </c>
      <c r="F50" s="3173" t="s">
        <v>3387</v>
      </c>
      <c r="J50" s="3188">
        <v>17</v>
      </c>
      <c r="K50" s="3170" t="s">
        <v>4893</v>
      </c>
      <c r="L50" s="3170" t="s">
        <v>3524</v>
      </c>
      <c r="M50" s="3170" t="s">
        <v>4894</v>
      </c>
      <c r="N50" s="3172">
        <v>34.03</v>
      </c>
      <c r="O50" s="3173" t="s">
        <v>3317</v>
      </c>
    </row>
    <row r="51" spans="1:15" thickBot="1">
      <c r="A51" s="3188">
        <v>26</v>
      </c>
      <c r="B51" s="3170" t="s">
        <v>3525</v>
      </c>
      <c r="C51" s="3170" t="s">
        <v>3524</v>
      </c>
      <c r="D51" s="3170" t="s">
        <v>3526</v>
      </c>
      <c r="E51" s="3172">
        <v>192.35</v>
      </c>
      <c r="F51" s="3173" t="s">
        <v>3387</v>
      </c>
      <c r="J51" s="3188">
        <v>18</v>
      </c>
      <c r="K51" s="3170" t="s">
        <v>4895</v>
      </c>
      <c r="L51" s="3170" t="s">
        <v>3524</v>
      </c>
      <c r="M51" s="3170" t="s">
        <v>4896</v>
      </c>
      <c r="N51" s="3172">
        <v>62.36</v>
      </c>
      <c r="O51" s="3173" t="s">
        <v>3317</v>
      </c>
    </row>
    <row r="52" spans="1:15" thickBot="1">
      <c r="A52" s="3188">
        <v>27</v>
      </c>
      <c r="B52" s="3170" t="s">
        <v>3528</v>
      </c>
      <c r="C52" s="3170" t="s">
        <v>3524</v>
      </c>
      <c r="D52" s="3170" t="s">
        <v>3529</v>
      </c>
      <c r="E52" s="3172">
        <v>161.68</v>
      </c>
      <c r="F52" s="3173" t="s">
        <v>3387</v>
      </c>
      <c r="J52" s="3188">
        <v>19</v>
      </c>
      <c r="K52" s="3170" t="s">
        <v>4897</v>
      </c>
      <c r="L52" s="3170" t="s">
        <v>3524</v>
      </c>
      <c r="M52" s="3170" t="s">
        <v>4898</v>
      </c>
      <c r="N52" s="3172">
        <v>47.29</v>
      </c>
      <c r="O52" s="3173" t="s">
        <v>3317</v>
      </c>
    </row>
    <row r="53" spans="1:15" thickBot="1">
      <c r="A53" s="3188">
        <v>28</v>
      </c>
      <c r="B53" s="3170" t="s">
        <v>3531</v>
      </c>
      <c r="C53" s="3170" t="s">
        <v>3524</v>
      </c>
      <c r="D53" s="3170" t="s">
        <v>3532</v>
      </c>
      <c r="E53" s="3172">
        <v>192.37</v>
      </c>
      <c r="F53" s="3173" t="s">
        <v>3387</v>
      </c>
      <c r="J53" s="3188">
        <v>20</v>
      </c>
      <c r="K53" s="3170" t="s">
        <v>4899</v>
      </c>
      <c r="L53" s="3170" t="s">
        <v>3524</v>
      </c>
      <c r="M53" s="3170" t="s">
        <v>4900</v>
      </c>
      <c r="N53" s="3172">
        <v>19.920000000000002</v>
      </c>
      <c r="O53" s="3173" t="s">
        <v>3317</v>
      </c>
    </row>
    <row r="54" spans="1:15" thickBot="1">
      <c r="A54" s="3188">
        <v>29</v>
      </c>
      <c r="B54" s="3170" t="s">
        <v>3534</v>
      </c>
      <c r="C54" s="3170" t="s">
        <v>3524</v>
      </c>
      <c r="D54" s="3170" t="s">
        <v>3535</v>
      </c>
      <c r="E54" s="3172">
        <v>184.32</v>
      </c>
      <c r="F54" s="3173" t="s">
        <v>3387</v>
      </c>
      <c r="J54" s="3188">
        <v>21</v>
      </c>
      <c r="K54" s="3170" t="s">
        <v>4901</v>
      </c>
      <c r="L54" s="3170" t="s">
        <v>3524</v>
      </c>
      <c r="M54" s="3170" t="s">
        <v>4902</v>
      </c>
      <c r="N54" s="3172">
        <v>23.66</v>
      </c>
      <c r="O54" s="3173" t="s">
        <v>3317</v>
      </c>
    </row>
    <row r="55" spans="1:15" thickBot="1">
      <c r="A55" s="3188">
        <v>30</v>
      </c>
      <c r="B55" s="3170" t="s">
        <v>3537</v>
      </c>
      <c r="C55" s="3170" t="s">
        <v>3524</v>
      </c>
      <c r="D55" s="3170" t="s">
        <v>3538</v>
      </c>
      <c r="E55" s="3172">
        <v>161.68</v>
      </c>
      <c r="F55" s="3173" t="s">
        <v>3387</v>
      </c>
      <c r="J55" s="3188">
        <v>22</v>
      </c>
      <c r="K55" s="3170" t="s">
        <v>4903</v>
      </c>
      <c r="L55" s="3170" t="s">
        <v>3524</v>
      </c>
      <c r="M55" s="3170" t="s">
        <v>4904</v>
      </c>
      <c r="N55" s="3172">
        <v>56.71</v>
      </c>
      <c r="O55" s="3173" t="s">
        <v>3317</v>
      </c>
    </row>
    <row r="56" spans="1:15" thickBot="1">
      <c r="A56" s="3188">
        <v>31</v>
      </c>
      <c r="B56" s="3170" t="s">
        <v>3540</v>
      </c>
      <c r="C56" s="3170" t="s">
        <v>3524</v>
      </c>
      <c r="D56" s="3170" t="s">
        <v>3541</v>
      </c>
      <c r="E56" s="3172">
        <v>184.78</v>
      </c>
      <c r="F56" s="3173" t="s">
        <v>3387</v>
      </c>
      <c r="J56" s="3188">
        <v>23</v>
      </c>
      <c r="K56" s="3170" t="s">
        <v>4905</v>
      </c>
      <c r="L56" s="3170" t="s">
        <v>3524</v>
      </c>
      <c r="M56" s="3170" t="s">
        <v>4906</v>
      </c>
      <c r="N56" s="3172">
        <v>41.16</v>
      </c>
      <c r="O56" s="3173" t="s">
        <v>3317</v>
      </c>
    </row>
    <row r="57" spans="1:15" thickBot="1">
      <c r="A57" s="3188">
        <v>32</v>
      </c>
      <c r="B57" s="3170" t="s">
        <v>3543</v>
      </c>
      <c r="C57" s="3170" t="s">
        <v>3524</v>
      </c>
      <c r="D57" s="3170" t="s">
        <v>3544</v>
      </c>
      <c r="E57" s="3172">
        <v>184.32</v>
      </c>
      <c r="F57" s="3173" t="s">
        <v>3387</v>
      </c>
      <c r="J57" s="3188">
        <v>24</v>
      </c>
      <c r="K57" s="3170" t="s">
        <v>4907</v>
      </c>
      <c r="L57" s="3170" t="s">
        <v>3524</v>
      </c>
      <c r="M57" s="3170" t="s">
        <v>4908</v>
      </c>
      <c r="N57" s="3172">
        <v>16.37</v>
      </c>
      <c r="O57" s="3173" t="s">
        <v>3317</v>
      </c>
    </row>
    <row r="58" spans="1:15" thickBot="1">
      <c r="A58" s="3188">
        <v>33</v>
      </c>
      <c r="B58" s="3170" t="s">
        <v>3546</v>
      </c>
      <c r="C58" s="3170" t="s">
        <v>3524</v>
      </c>
      <c r="D58" s="3170" t="s">
        <v>3547</v>
      </c>
      <c r="E58" s="3172">
        <v>184.82</v>
      </c>
      <c r="F58" s="3173" t="s">
        <v>3387</v>
      </c>
      <c r="J58" s="3188">
        <v>25</v>
      </c>
      <c r="K58" s="3170" t="s">
        <v>4909</v>
      </c>
      <c r="L58" s="3170" t="s">
        <v>3524</v>
      </c>
      <c r="M58" s="3170" t="s">
        <v>4910</v>
      </c>
      <c r="N58" s="3172">
        <v>33.51</v>
      </c>
      <c r="O58" s="3173" t="s">
        <v>3317</v>
      </c>
    </row>
    <row r="59" spans="1:15" thickBot="1">
      <c r="A59" s="3188">
        <v>34</v>
      </c>
      <c r="B59" s="3170" t="s">
        <v>3618</v>
      </c>
      <c r="C59" s="3170" t="s">
        <v>3524</v>
      </c>
      <c r="D59" s="3170" t="s">
        <v>3619</v>
      </c>
      <c r="E59" s="3172">
        <v>161.83000000000001</v>
      </c>
      <c r="F59" s="3173" t="s">
        <v>3387</v>
      </c>
      <c r="J59" s="3188">
        <v>26</v>
      </c>
      <c r="K59" s="3170" t="s">
        <v>4911</v>
      </c>
      <c r="L59" s="3170" t="s">
        <v>3524</v>
      </c>
      <c r="M59" s="3170" t="s">
        <v>4912</v>
      </c>
      <c r="N59" s="3172">
        <v>61.41</v>
      </c>
      <c r="O59" s="3173" t="s">
        <v>3317</v>
      </c>
    </row>
    <row r="60" spans="1:15" thickBot="1">
      <c r="A60" s="3188">
        <v>35</v>
      </c>
      <c r="B60" s="3170" t="s">
        <v>3621</v>
      </c>
      <c r="C60" s="3170" t="s">
        <v>3524</v>
      </c>
      <c r="D60" s="3170" t="s">
        <v>3622</v>
      </c>
      <c r="E60" s="3172">
        <v>192.55</v>
      </c>
      <c r="F60" s="3173" t="s">
        <v>3387</v>
      </c>
      <c r="J60" s="3188">
        <v>27</v>
      </c>
      <c r="K60" s="3170" t="s">
        <v>4913</v>
      </c>
      <c r="L60" s="3170" t="s">
        <v>3524</v>
      </c>
      <c r="M60" s="3170" t="s">
        <v>4914</v>
      </c>
      <c r="N60" s="3172">
        <v>46.24</v>
      </c>
      <c r="O60" s="3173" t="s">
        <v>3317</v>
      </c>
    </row>
    <row r="61" spans="1:15" thickBot="1">
      <c r="A61" s="3188">
        <v>36</v>
      </c>
      <c r="B61" s="3170" t="s">
        <v>3624</v>
      </c>
      <c r="C61" s="3170" t="s">
        <v>3524</v>
      </c>
      <c r="D61" s="3170" t="s">
        <v>3625</v>
      </c>
      <c r="E61" s="3172">
        <v>161.83000000000001</v>
      </c>
      <c r="F61" s="3173" t="s">
        <v>3387</v>
      </c>
      <c r="J61" s="3188">
        <v>28</v>
      </c>
      <c r="K61" s="3170" t="s">
        <v>4915</v>
      </c>
      <c r="L61" s="3170" t="s">
        <v>3524</v>
      </c>
      <c r="M61" s="3170" t="s">
        <v>4916</v>
      </c>
      <c r="N61" s="3172">
        <v>32.67</v>
      </c>
      <c r="O61" s="3173" t="s">
        <v>3317</v>
      </c>
    </row>
    <row r="62" spans="1:15" thickBot="1">
      <c r="A62" s="3188">
        <v>37</v>
      </c>
      <c r="B62" s="3170" t="s">
        <v>3627</v>
      </c>
      <c r="C62" s="3170" t="s">
        <v>3524</v>
      </c>
      <c r="D62" s="3170" t="s">
        <v>3628</v>
      </c>
      <c r="E62" s="3172">
        <v>184.45</v>
      </c>
      <c r="F62" s="3173" t="s">
        <v>3387</v>
      </c>
      <c r="J62" s="3188">
        <v>29</v>
      </c>
      <c r="K62" s="3170" t="s">
        <v>4917</v>
      </c>
      <c r="L62" s="3170" t="s">
        <v>3524</v>
      </c>
      <c r="M62" s="3170" t="s">
        <v>4918</v>
      </c>
      <c r="N62" s="3172">
        <v>22.66</v>
      </c>
      <c r="O62" s="3173" t="s">
        <v>3317</v>
      </c>
    </row>
    <row r="63" spans="1:15" thickBot="1">
      <c r="A63" s="3188">
        <v>38</v>
      </c>
      <c r="B63" s="3170" t="s">
        <v>3630</v>
      </c>
      <c r="C63" s="3170" t="s">
        <v>3524</v>
      </c>
      <c r="D63" s="3170" t="s">
        <v>3631</v>
      </c>
      <c r="E63" s="3172">
        <v>184.49</v>
      </c>
      <c r="F63" s="3173" t="s">
        <v>3387</v>
      </c>
      <c r="J63" s="3188">
        <v>30</v>
      </c>
      <c r="K63" s="3170" t="s">
        <v>4919</v>
      </c>
      <c r="L63" s="3170" t="s">
        <v>3524</v>
      </c>
      <c r="M63" s="3170" t="s">
        <v>4920</v>
      </c>
      <c r="N63" s="3172">
        <v>34.54</v>
      </c>
      <c r="O63" s="3173" t="s">
        <v>3317</v>
      </c>
    </row>
    <row r="64" spans="1:15" thickBot="1">
      <c r="A64" s="3188">
        <v>39</v>
      </c>
      <c r="B64" s="3170" t="s">
        <v>3633</v>
      </c>
      <c r="C64" s="3170" t="s">
        <v>3524</v>
      </c>
      <c r="D64" s="3170" t="s">
        <v>3634</v>
      </c>
      <c r="E64" s="3172">
        <v>161.83000000000001</v>
      </c>
      <c r="F64" s="3173" t="s">
        <v>3387</v>
      </c>
      <c r="J64" s="3188">
        <v>31</v>
      </c>
      <c r="K64" s="3170" t="s">
        <v>4921</v>
      </c>
      <c r="L64" s="3170" t="s">
        <v>3524</v>
      </c>
      <c r="M64" s="3170" t="s">
        <v>4922</v>
      </c>
      <c r="N64" s="3172">
        <v>63.3</v>
      </c>
      <c r="O64" s="3173" t="s">
        <v>3317</v>
      </c>
    </row>
    <row r="65" spans="1:15" thickBot="1">
      <c r="A65" s="3188">
        <v>40</v>
      </c>
      <c r="B65" s="3170" t="s">
        <v>3636</v>
      </c>
      <c r="C65" s="3170" t="s">
        <v>3524</v>
      </c>
      <c r="D65" s="3170" t="s">
        <v>3637</v>
      </c>
      <c r="E65" s="3172">
        <v>184.95</v>
      </c>
      <c r="F65" s="3173" t="s">
        <v>3387</v>
      </c>
      <c r="J65" s="3188">
        <v>32</v>
      </c>
      <c r="K65" s="3170" t="s">
        <v>4923</v>
      </c>
      <c r="L65" s="3170" t="s">
        <v>3524</v>
      </c>
      <c r="M65" s="3170" t="s">
        <v>4924</v>
      </c>
      <c r="N65" s="3172">
        <v>47.66</v>
      </c>
      <c r="O65" s="3173" t="s">
        <v>3317</v>
      </c>
    </row>
    <row r="66" spans="1:15" thickBot="1">
      <c r="A66" s="3188">
        <v>41</v>
      </c>
      <c r="B66" s="3170" t="s">
        <v>4859</v>
      </c>
      <c r="C66" s="3170" t="s">
        <v>3524</v>
      </c>
      <c r="D66" s="3170" t="s">
        <v>3639</v>
      </c>
      <c r="E66" s="3172">
        <v>184.49</v>
      </c>
      <c r="F66" s="3173" t="s">
        <v>3387</v>
      </c>
      <c r="J66" s="3188">
        <v>33</v>
      </c>
      <c r="K66" s="3170" t="s">
        <v>4925</v>
      </c>
      <c r="L66" s="3170" t="s">
        <v>3524</v>
      </c>
      <c r="M66" s="3170" t="s">
        <v>4926</v>
      </c>
      <c r="N66" s="3172">
        <v>20.21</v>
      </c>
      <c r="O66" s="3173" t="s">
        <v>3317</v>
      </c>
    </row>
    <row r="67" spans="1:15" thickBot="1">
      <c r="A67" s="3188">
        <v>42</v>
      </c>
      <c r="B67" s="3170" t="s">
        <v>4860</v>
      </c>
      <c r="C67" s="3170" t="s">
        <v>3524</v>
      </c>
      <c r="D67" s="3170" t="s">
        <v>3641</v>
      </c>
      <c r="E67" s="3172">
        <v>184.99</v>
      </c>
      <c r="F67" s="3173" t="s">
        <v>3387</v>
      </c>
      <c r="J67" s="3188">
        <v>34</v>
      </c>
      <c r="K67" s="3170" t="s">
        <v>4927</v>
      </c>
      <c r="L67" s="3170" t="s">
        <v>3524</v>
      </c>
      <c r="M67" s="3170" t="s">
        <v>4928</v>
      </c>
      <c r="N67" s="3172">
        <v>23.67</v>
      </c>
      <c r="O67" s="3173" t="s">
        <v>3317</v>
      </c>
    </row>
    <row r="68" spans="1:15" thickBot="1">
      <c r="A68" s="3188">
        <v>43</v>
      </c>
      <c r="B68" s="3170" t="s">
        <v>3643</v>
      </c>
      <c r="C68" s="3170" t="s">
        <v>3524</v>
      </c>
      <c r="D68" s="3170" t="s">
        <v>3644</v>
      </c>
      <c r="E68" s="3172">
        <v>184.49</v>
      </c>
      <c r="F68" s="3173" t="s">
        <v>3387</v>
      </c>
      <c r="J68" s="3188">
        <v>35</v>
      </c>
      <c r="K68" s="3170" t="s">
        <v>4929</v>
      </c>
      <c r="L68" s="3170" t="s">
        <v>3524</v>
      </c>
      <c r="M68" s="3170" t="s">
        <v>4930</v>
      </c>
      <c r="N68" s="3172">
        <v>34.54</v>
      </c>
      <c r="O68" s="3173" t="s">
        <v>3317</v>
      </c>
    </row>
    <row r="69" spans="1:15" thickBot="1">
      <c r="A69" s="3188">
        <v>44</v>
      </c>
      <c r="B69" s="3170" t="s">
        <v>3646</v>
      </c>
      <c r="C69" s="3170" t="s">
        <v>3524</v>
      </c>
      <c r="D69" s="3170" t="s">
        <v>3647</v>
      </c>
      <c r="E69" s="3172">
        <v>184.49</v>
      </c>
      <c r="F69" s="3173" t="s">
        <v>3387</v>
      </c>
      <c r="J69" s="3188">
        <v>36</v>
      </c>
      <c r="K69" s="3170" t="s">
        <v>4931</v>
      </c>
      <c r="L69" s="3170" t="s">
        <v>3524</v>
      </c>
      <c r="M69" s="3170" t="s">
        <v>4932</v>
      </c>
      <c r="N69" s="3172">
        <v>63.59</v>
      </c>
      <c r="O69" s="3173" t="s">
        <v>3317</v>
      </c>
    </row>
    <row r="70" spans="1:15" thickBot="1">
      <c r="A70" s="3188">
        <v>45</v>
      </c>
      <c r="B70" s="3170" t="s">
        <v>3730</v>
      </c>
      <c r="C70" s="3170" t="s">
        <v>3524</v>
      </c>
      <c r="D70" s="3170" t="s">
        <v>3731</v>
      </c>
      <c r="E70" s="3172">
        <v>168.11</v>
      </c>
      <c r="F70" s="3173" t="s">
        <v>3387</v>
      </c>
      <c r="J70" s="3188">
        <v>37</v>
      </c>
      <c r="K70" s="3170" t="s">
        <v>4933</v>
      </c>
      <c r="L70" s="3170" t="s">
        <v>3524</v>
      </c>
      <c r="M70" s="3170" t="s">
        <v>4934</v>
      </c>
      <c r="N70" s="3172">
        <v>57.81</v>
      </c>
      <c r="O70" s="3173" t="s">
        <v>3317</v>
      </c>
    </row>
    <row r="71" spans="1:15" thickBot="1">
      <c r="A71" s="3188">
        <v>46</v>
      </c>
      <c r="B71" s="3170" t="s">
        <v>3766</v>
      </c>
      <c r="C71" s="3170" t="s">
        <v>3524</v>
      </c>
      <c r="D71" s="3170" t="s">
        <v>3767</v>
      </c>
      <c r="E71" s="3172">
        <v>192.38</v>
      </c>
      <c r="F71" s="3173" t="s">
        <v>3387</v>
      </c>
      <c r="J71" s="3188">
        <v>38</v>
      </c>
      <c r="K71" s="3170" t="s">
        <v>4935</v>
      </c>
      <c r="L71" s="3170" t="s">
        <v>3524</v>
      </c>
      <c r="M71" s="3170" t="s">
        <v>4936</v>
      </c>
      <c r="N71" s="3172">
        <v>30.98</v>
      </c>
      <c r="O71" s="3173" t="s">
        <v>3317</v>
      </c>
    </row>
    <row r="72" spans="1:15" thickBot="1">
      <c r="A72" s="3188">
        <v>47</v>
      </c>
      <c r="B72" s="3170" t="s">
        <v>4861</v>
      </c>
      <c r="C72" s="3170" t="s">
        <v>3524</v>
      </c>
      <c r="D72" s="3170" t="s">
        <v>3769</v>
      </c>
      <c r="E72" s="3172">
        <v>192.4</v>
      </c>
      <c r="F72" s="3173" t="s">
        <v>3387</v>
      </c>
      <c r="J72" s="3188">
        <v>39</v>
      </c>
      <c r="K72" s="3170" t="s">
        <v>4937</v>
      </c>
      <c r="L72" s="3170" t="s">
        <v>3524</v>
      </c>
      <c r="M72" s="3170" t="s">
        <v>4938</v>
      </c>
      <c r="N72" s="3172">
        <v>25.53</v>
      </c>
      <c r="O72" s="3173" t="s">
        <v>3317</v>
      </c>
    </row>
    <row r="73" spans="1:15" thickBot="1">
      <c r="A73" s="3188">
        <v>48</v>
      </c>
      <c r="B73" s="3170" t="s">
        <v>3771</v>
      </c>
      <c r="C73" s="3170" t="s">
        <v>3524</v>
      </c>
      <c r="D73" s="3170" t="s">
        <v>3772</v>
      </c>
      <c r="E73" s="3172">
        <v>192.4</v>
      </c>
      <c r="F73" s="3173" t="s">
        <v>3387</v>
      </c>
      <c r="J73" s="3188">
        <v>40</v>
      </c>
      <c r="K73" s="3170" t="s">
        <v>4939</v>
      </c>
      <c r="L73" s="3170" t="s">
        <v>3524</v>
      </c>
      <c r="M73" s="3170" t="s">
        <v>4940</v>
      </c>
      <c r="N73" s="3172">
        <v>20.22</v>
      </c>
      <c r="O73" s="3173" t="s">
        <v>3317</v>
      </c>
    </row>
    <row r="74" spans="1:15" thickBot="1">
      <c r="A74" s="3188">
        <v>49</v>
      </c>
      <c r="B74" s="3170" t="s">
        <v>3774</v>
      </c>
      <c r="C74" s="3170" t="s">
        <v>3524</v>
      </c>
      <c r="D74" s="3170" t="s">
        <v>3775</v>
      </c>
      <c r="E74" s="3172">
        <v>184.35</v>
      </c>
      <c r="F74" s="3173" t="s">
        <v>3387</v>
      </c>
      <c r="J74" s="3188">
        <v>41</v>
      </c>
      <c r="K74" s="3170" t="s">
        <v>4941</v>
      </c>
      <c r="L74" s="3170" t="s">
        <v>3524</v>
      </c>
      <c r="M74" s="3170" t="s">
        <v>4942</v>
      </c>
      <c r="N74" s="3172">
        <v>42.93</v>
      </c>
      <c r="O74" s="3173" t="s">
        <v>3317</v>
      </c>
    </row>
    <row r="75" spans="1:15" thickBot="1">
      <c r="A75" s="3188">
        <v>50</v>
      </c>
      <c r="B75" s="3170" t="s">
        <v>3777</v>
      </c>
      <c r="C75" s="3170" t="s">
        <v>3524</v>
      </c>
      <c r="D75" s="3170" t="s">
        <v>3778</v>
      </c>
      <c r="E75" s="3172">
        <v>167.95</v>
      </c>
      <c r="F75" s="3173" t="s">
        <v>3387</v>
      </c>
      <c r="J75" s="3188">
        <v>42</v>
      </c>
      <c r="K75" s="3170" t="s">
        <v>4943</v>
      </c>
      <c r="L75" s="3170" t="s">
        <v>3524</v>
      </c>
      <c r="M75" s="3170" t="s">
        <v>4944</v>
      </c>
      <c r="N75" s="3172">
        <v>47.35</v>
      </c>
      <c r="O75" s="3173" t="s">
        <v>3317</v>
      </c>
    </row>
    <row r="76" spans="1:15" thickBot="1">
      <c r="A76" s="3188">
        <v>51</v>
      </c>
      <c r="B76" s="3170" t="s">
        <v>4862</v>
      </c>
      <c r="C76" s="3170" t="s">
        <v>3524</v>
      </c>
      <c r="D76" s="3170" t="s">
        <v>3822</v>
      </c>
      <c r="E76" s="3172">
        <v>184.92</v>
      </c>
      <c r="F76" s="3173" t="s">
        <v>3387</v>
      </c>
      <c r="J76" s="3188">
        <v>43</v>
      </c>
      <c r="K76" s="3170" t="s">
        <v>4945</v>
      </c>
      <c r="L76" s="3170" t="s">
        <v>3524</v>
      </c>
      <c r="M76" s="3170" t="s">
        <v>4946</v>
      </c>
      <c r="N76" s="3172">
        <v>62.58</v>
      </c>
      <c r="O76" s="3173" t="s">
        <v>3317</v>
      </c>
    </row>
    <row r="77" spans="1:15" thickBot="1">
      <c r="A77" s="3188">
        <v>52</v>
      </c>
      <c r="B77" s="3170" t="s">
        <v>4863</v>
      </c>
      <c r="C77" s="3170" t="s">
        <v>3524</v>
      </c>
      <c r="D77" s="3170" t="s">
        <v>3824</v>
      </c>
      <c r="E77" s="3172">
        <v>168.05</v>
      </c>
      <c r="F77" s="3173" t="s">
        <v>3387</v>
      </c>
      <c r="J77" s="3188">
        <v>44</v>
      </c>
      <c r="K77" s="3170" t="s">
        <v>4947</v>
      </c>
      <c r="L77" s="3170" t="s">
        <v>3524</v>
      </c>
      <c r="M77" s="3170" t="s">
        <v>4948</v>
      </c>
      <c r="N77" s="3172">
        <v>61.62</v>
      </c>
      <c r="O77" s="3173" t="s">
        <v>3317</v>
      </c>
    </row>
    <row r="78" spans="1:15" thickBot="1">
      <c r="A78" s="3188">
        <v>53</v>
      </c>
      <c r="B78" s="3170" t="s">
        <v>4864</v>
      </c>
      <c r="C78" s="3170" t="s">
        <v>3524</v>
      </c>
      <c r="D78" s="3170" t="s">
        <v>3826</v>
      </c>
      <c r="E78" s="3172">
        <v>184.96</v>
      </c>
      <c r="F78" s="3173" t="s">
        <v>3387</v>
      </c>
      <c r="J78" s="3188">
        <v>45</v>
      </c>
      <c r="K78" s="3170" t="s">
        <v>4949</v>
      </c>
      <c r="L78" s="3170" t="s">
        <v>3524</v>
      </c>
      <c r="M78" s="3170" t="s">
        <v>4950</v>
      </c>
      <c r="N78" s="3172">
        <v>14.93</v>
      </c>
      <c r="O78" s="3173" t="s">
        <v>3317</v>
      </c>
    </row>
    <row r="79" spans="1:15" thickBot="1">
      <c r="A79" s="3188">
        <v>54</v>
      </c>
      <c r="B79" s="3170" t="s">
        <v>3870</v>
      </c>
      <c r="C79" s="3170" t="s">
        <v>3524</v>
      </c>
      <c r="D79" s="3170" t="s">
        <v>3871</v>
      </c>
      <c r="E79" s="3172">
        <v>168.04</v>
      </c>
      <c r="F79" s="3173" t="s">
        <v>3387</v>
      </c>
      <c r="J79" s="3188">
        <v>46</v>
      </c>
      <c r="K79" s="3170" t="s">
        <v>4951</v>
      </c>
      <c r="L79" s="3170" t="s">
        <v>3524</v>
      </c>
      <c r="M79" s="3170" t="s">
        <v>4952</v>
      </c>
      <c r="N79" s="3172">
        <v>24.1</v>
      </c>
      <c r="O79" s="3173" t="s">
        <v>3317</v>
      </c>
    </row>
    <row r="80" spans="1:15" thickBot="1">
      <c r="A80" s="3188">
        <v>55</v>
      </c>
      <c r="B80" s="3170" t="s">
        <v>3873</v>
      </c>
      <c r="C80" s="3170" t="s">
        <v>3524</v>
      </c>
      <c r="D80" s="3170" t="s">
        <v>3874</v>
      </c>
      <c r="E80" s="3172">
        <v>168.04</v>
      </c>
      <c r="F80" s="3173" t="s">
        <v>3387</v>
      </c>
      <c r="J80" s="3188">
        <v>47</v>
      </c>
      <c r="K80" s="3170" t="s">
        <v>4953</v>
      </c>
      <c r="L80" s="3170" t="s">
        <v>3524</v>
      </c>
      <c r="M80" s="3170" t="s">
        <v>4954</v>
      </c>
      <c r="N80" s="3172">
        <v>22.98</v>
      </c>
      <c r="O80" s="3173" t="s">
        <v>3317</v>
      </c>
    </row>
    <row r="81" spans="1:15" thickBot="1">
      <c r="A81" s="3188">
        <v>56</v>
      </c>
      <c r="B81" s="3170" t="s">
        <v>3876</v>
      </c>
      <c r="C81" s="3170" t="s">
        <v>3524</v>
      </c>
      <c r="D81" s="3170" t="s">
        <v>3877</v>
      </c>
      <c r="E81" s="3172">
        <v>168.04</v>
      </c>
      <c r="F81" s="3173" t="s">
        <v>3387</v>
      </c>
      <c r="J81" s="3188">
        <v>48</v>
      </c>
      <c r="K81" s="3170" t="s">
        <v>4955</v>
      </c>
      <c r="L81" s="3170" t="s">
        <v>3524</v>
      </c>
      <c r="M81" s="3170" t="s">
        <v>4956</v>
      </c>
      <c r="N81" s="3172">
        <v>41.07</v>
      </c>
      <c r="O81" s="3173" t="s">
        <v>3317</v>
      </c>
    </row>
    <row r="82" spans="1:15" thickBot="1">
      <c r="A82" s="3188">
        <v>57</v>
      </c>
      <c r="B82" s="3170" t="s">
        <v>3930</v>
      </c>
      <c r="C82" s="3170" t="s">
        <v>3524</v>
      </c>
      <c r="D82" s="3170" t="s">
        <v>3931</v>
      </c>
      <c r="E82" s="3172">
        <v>192.5</v>
      </c>
      <c r="F82" s="3173" t="s">
        <v>3387</v>
      </c>
      <c r="J82" s="3188">
        <v>49</v>
      </c>
      <c r="K82" s="3170" t="s">
        <v>4957</v>
      </c>
      <c r="L82" s="3170" t="s">
        <v>3524</v>
      </c>
      <c r="M82" s="3170" t="s">
        <v>4958</v>
      </c>
      <c r="N82" s="3172">
        <v>23.61</v>
      </c>
      <c r="O82" s="3173" t="s">
        <v>3317</v>
      </c>
    </row>
    <row r="83" spans="1:15" thickBot="1">
      <c r="A83" s="3188">
        <v>58</v>
      </c>
      <c r="B83" s="3170" t="s">
        <v>3933</v>
      </c>
      <c r="C83" s="3170" t="s">
        <v>3524</v>
      </c>
      <c r="D83" s="3170" t="s">
        <v>3934</v>
      </c>
      <c r="E83" s="3172">
        <v>161.81</v>
      </c>
      <c r="F83" s="3173" t="s">
        <v>3387</v>
      </c>
      <c r="J83" s="3188">
        <v>50</v>
      </c>
      <c r="K83" s="3170" t="s">
        <v>4959</v>
      </c>
      <c r="L83" s="3170" t="s">
        <v>3524</v>
      </c>
      <c r="M83" s="3170" t="s">
        <v>4960</v>
      </c>
      <c r="N83" s="3172">
        <v>49.56</v>
      </c>
      <c r="O83" s="3173" t="s">
        <v>3317</v>
      </c>
    </row>
    <row r="84" spans="1:15" thickBot="1">
      <c r="A84" s="3188">
        <v>59</v>
      </c>
      <c r="B84" s="3170" t="s">
        <v>4865</v>
      </c>
      <c r="C84" s="3170" t="s">
        <v>3524</v>
      </c>
      <c r="D84" s="3170" t="s">
        <v>3936</v>
      </c>
      <c r="E84" s="3172">
        <v>192.52</v>
      </c>
      <c r="F84" s="3173" t="s">
        <v>3387</v>
      </c>
      <c r="J84" s="3188">
        <v>51</v>
      </c>
      <c r="K84" s="3170" t="s">
        <v>4961</v>
      </c>
      <c r="L84" s="3170" t="s">
        <v>3524</v>
      </c>
      <c r="M84" s="3170" t="s">
        <v>4962</v>
      </c>
      <c r="N84" s="3172">
        <v>47.94</v>
      </c>
      <c r="O84" s="3173" t="s">
        <v>3317</v>
      </c>
    </row>
    <row r="85" spans="1:15" thickBot="1">
      <c r="A85" s="3188">
        <v>60</v>
      </c>
      <c r="B85" s="3170" t="s">
        <v>4866</v>
      </c>
      <c r="C85" s="3170" t="s">
        <v>3524</v>
      </c>
      <c r="D85" s="3170" t="s">
        <v>3938</v>
      </c>
      <c r="E85" s="3172">
        <v>184.46</v>
      </c>
      <c r="F85" s="3173" t="s">
        <v>3387</v>
      </c>
      <c r="J85" s="3188">
        <v>52</v>
      </c>
      <c r="K85" s="3170" t="s">
        <v>4963</v>
      </c>
      <c r="L85" s="3170" t="s">
        <v>3524</v>
      </c>
      <c r="M85" s="3170" t="s">
        <v>4964</v>
      </c>
      <c r="N85" s="3172">
        <v>22.77</v>
      </c>
      <c r="O85" s="3173" t="s">
        <v>3317</v>
      </c>
    </row>
    <row r="86" spans="1:15" thickBot="1">
      <c r="A86" s="3188">
        <v>61</v>
      </c>
      <c r="B86" s="3170" t="s">
        <v>3940</v>
      </c>
      <c r="C86" s="3170" t="s">
        <v>3524</v>
      </c>
      <c r="D86" s="3170" t="s">
        <v>3941</v>
      </c>
      <c r="E86" s="3172">
        <v>192.52</v>
      </c>
      <c r="F86" s="3173" t="s">
        <v>3387</v>
      </c>
      <c r="J86" s="3188">
        <v>53</v>
      </c>
      <c r="K86" s="3170" t="s">
        <v>4965</v>
      </c>
      <c r="L86" s="3170" t="s">
        <v>3524</v>
      </c>
      <c r="M86" s="3170" t="s">
        <v>4966</v>
      </c>
      <c r="N86" s="3172">
        <v>27.96</v>
      </c>
      <c r="O86" s="3173" t="s">
        <v>3317</v>
      </c>
    </row>
    <row r="87" spans="1:15" thickBot="1">
      <c r="A87" s="3188">
        <v>62</v>
      </c>
      <c r="B87" s="3170" t="s">
        <v>3943</v>
      </c>
      <c r="C87" s="3170" t="s">
        <v>3524</v>
      </c>
      <c r="D87" s="3170" t="s">
        <v>3944</v>
      </c>
      <c r="E87" s="3172">
        <v>192.52</v>
      </c>
      <c r="F87" s="3173" t="s">
        <v>3387</v>
      </c>
      <c r="J87" s="3188">
        <v>54</v>
      </c>
      <c r="K87" s="3170" t="s">
        <v>4967</v>
      </c>
      <c r="L87" s="3170" t="s">
        <v>3524</v>
      </c>
      <c r="M87" s="3170" t="s">
        <v>4968</v>
      </c>
      <c r="N87" s="3172">
        <v>17.010000000000002</v>
      </c>
      <c r="O87" s="3173" t="s">
        <v>3317</v>
      </c>
    </row>
    <row r="88" spans="1:15" thickBot="1">
      <c r="A88" s="3188">
        <v>63</v>
      </c>
      <c r="B88" s="3170" t="s">
        <v>3946</v>
      </c>
      <c r="C88" s="3170" t="s">
        <v>3524</v>
      </c>
      <c r="D88" s="3170" t="s">
        <v>3947</v>
      </c>
      <c r="E88" s="3172">
        <v>184.46</v>
      </c>
      <c r="F88" s="3173" t="s">
        <v>3387</v>
      </c>
      <c r="J88" s="3188">
        <v>55</v>
      </c>
      <c r="K88" s="3170" t="s">
        <v>3549</v>
      </c>
      <c r="L88" s="3170" t="s">
        <v>3524</v>
      </c>
      <c r="M88" s="3170" t="s">
        <v>3550</v>
      </c>
      <c r="N88" s="3172">
        <v>30.97</v>
      </c>
      <c r="O88" s="3173" t="s">
        <v>3317</v>
      </c>
    </row>
    <row r="89" spans="1:15" thickBot="1">
      <c r="A89" s="3188">
        <v>64</v>
      </c>
      <c r="B89" s="3170" t="s">
        <v>3949</v>
      </c>
      <c r="C89" s="3170" t="s">
        <v>3524</v>
      </c>
      <c r="D89" s="3170" t="s">
        <v>3950</v>
      </c>
      <c r="E89" s="3172">
        <v>161.81</v>
      </c>
      <c r="F89" s="3173" t="s">
        <v>3387</v>
      </c>
      <c r="J89" s="3188">
        <v>56</v>
      </c>
      <c r="K89" s="3170" t="s">
        <v>3552</v>
      </c>
      <c r="L89" s="3170" t="s">
        <v>3524</v>
      </c>
      <c r="M89" s="3170" t="s">
        <v>3553</v>
      </c>
      <c r="N89" s="3172">
        <v>16.05</v>
      </c>
      <c r="O89" s="3173" t="s">
        <v>3317</v>
      </c>
    </row>
    <row r="90" spans="1:15" thickBot="1">
      <c r="A90" s="3188">
        <v>65</v>
      </c>
      <c r="B90" s="3170" t="s">
        <v>3952</v>
      </c>
      <c r="C90" s="3170" t="s">
        <v>3524</v>
      </c>
      <c r="D90" s="3170" t="s">
        <v>3953</v>
      </c>
      <c r="E90" s="3172">
        <v>184.92</v>
      </c>
      <c r="F90" s="3173" t="s">
        <v>3387</v>
      </c>
      <c r="J90" s="3188">
        <v>57</v>
      </c>
      <c r="K90" s="3170" t="s">
        <v>3555</v>
      </c>
      <c r="L90" s="3170" t="s">
        <v>3524</v>
      </c>
      <c r="M90" s="3170" t="s">
        <v>3556</v>
      </c>
      <c r="N90" s="3172">
        <v>46.63</v>
      </c>
      <c r="O90" s="3173" t="s">
        <v>3317</v>
      </c>
    </row>
    <row r="91" spans="1:15" thickBot="1">
      <c r="A91" s="3188">
        <v>66</v>
      </c>
      <c r="B91" s="3170" t="s">
        <v>3955</v>
      </c>
      <c r="C91" s="3170" t="s">
        <v>3524</v>
      </c>
      <c r="D91" s="3170" t="s">
        <v>3956</v>
      </c>
      <c r="E91" s="3172">
        <v>184.46</v>
      </c>
      <c r="F91" s="3173" t="s">
        <v>3387</v>
      </c>
      <c r="J91" s="3188">
        <v>58</v>
      </c>
      <c r="K91" s="3170" t="s">
        <v>3558</v>
      </c>
      <c r="L91" s="3170" t="s">
        <v>3524</v>
      </c>
      <c r="M91" s="3170" t="s">
        <v>3559</v>
      </c>
      <c r="N91" s="3172">
        <v>53.66</v>
      </c>
      <c r="O91" s="3173" t="s">
        <v>3317</v>
      </c>
    </row>
    <row r="92" spans="1:15" thickBot="1">
      <c r="A92" s="3188">
        <v>67</v>
      </c>
      <c r="B92" s="3170" t="s">
        <v>4021</v>
      </c>
      <c r="C92" s="3170" t="s">
        <v>3524</v>
      </c>
      <c r="D92" s="3170" t="s">
        <v>4022</v>
      </c>
      <c r="E92" s="3172">
        <v>184.9</v>
      </c>
      <c r="F92" s="3173" t="s">
        <v>3387</v>
      </c>
      <c r="J92" s="3188">
        <v>59</v>
      </c>
      <c r="K92" s="3170" t="s">
        <v>3561</v>
      </c>
      <c r="L92" s="3170" t="s">
        <v>3524</v>
      </c>
      <c r="M92" s="3170" t="s">
        <v>3562</v>
      </c>
      <c r="N92" s="3172">
        <v>23.61</v>
      </c>
      <c r="O92" s="3173" t="s">
        <v>3317</v>
      </c>
    </row>
    <row r="93" spans="1:15" thickBot="1">
      <c r="A93" s="3188">
        <v>68</v>
      </c>
      <c r="B93" s="3170" t="s">
        <v>4024</v>
      </c>
      <c r="C93" s="3170" t="s">
        <v>3524</v>
      </c>
      <c r="D93" s="3170" t="s">
        <v>4025</v>
      </c>
      <c r="E93" s="3172">
        <v>184.94</v>
      </c>
      <c r="F93" s="3173" t="s">
        <v>3387</v>
      </c>
      <c r="J93" s="3188">
        <v>60</v>
      </c>
      <c r="K93" s="3170" t="s">
        <v>3564</v>
      </c>
      <c r="L93" s="3170" t="s">
        <v>3524</v>
      </c>
      <c r="M93" s="3170" t="s">
        <v>3565</v>
      </c>
      <c r="N93" s="3172">
        <v>23.65</v>
      </c>
      <c r="O93" s="3173" t="s">
        <v>3317</v>
      </c>
    </row>
    <row r="94" spans="1:15" thickBot="1">
      <c r="A94" s="3188">
        <v>69</v>
      </c>
      <c r="B94" s="3170" t="s">
        <v>4027</v>
      </c>
      <c r="C94" s="3170" t="s">
        <v>3524</v>
      </c>
      <c r="D94" s="3170" t="s">
        <v>4028</v>
      </c>
      <c r="E94" s="3172">
        <v>161.79</v>
      </c>
      <c r="F94" s="3173" t="s">
        <v>3387</v>
      </c>
      <c r="J94" s="3188">
        <v>61</v>
      </c>
      <c r="K94" s="3170" t="s">
        <v>3567</v>
      </c>
      <c r="L94" s="3170" t="s">
        <v>3524</v>
      </c>
      <c r="M94" s="3170" t="s">
        <v>3568</v>
      </c>
      <c r="N94" s="3172">
        <v>56.63</v>
      </c>
      <c r="O94" s="3173" t="s">
        <v>3317</v>
      </c>
    </row>
    <row r="95" spans="1:15" thickBot="1">
      <c r="A95" s="3188">
        <v>70</v>
      </c>
      <c r="B95" s="3170" t="s">
        <v>4069</v>
      </c>
      <c r="C95" s="3170" t="s">
        <v>3524</v>
      </c>
      <c r="D95" s="3170" t="s">
        <v>4070</v>
      </c>
      <c r="E95" s="3172">
        <v>168.09</v>
      </c>
      <c r="F95" s="3173" t="s">
        <v>3387</v>
      </c>
      <c r="J95" s="3188">
        <v>62</v>
      </c>
      <c r="K95" s="3170" t="s">
        <v>3570</v>
      </c>
      <c r="L95" s="3170" t="s">
        <v>3524</v>
      </c>
      <c r="M95" s="3170" t="s">
        <v>3571</v>
      </c>
      <c r="N95" s="3172">
        <v>41.07</v>
      </c>
      <c r="O95" s="3173" t="s">
        <v>3317</v>
      </c>
    </row>
    <row r="96" spans="1:15" thickBot="1">
      <c r="A96" s="3188">
        <v>71</v>
      </c>
      <c r="B96" s="3170" t="s">
        <v>4105</v>
      </c>
      <c r="C96" s="3170" t="s">
        <v>3524</v>
      </c>
      <c r="D96" s="3170" t="s">
        <v>4106</v>
      </c>
      <c r="E96" s="3172">
        <v>210.98</v>
      </c>
      <c r="F96" s="3173" t="s">
        <v>3387</v>
      </c>
      <c r="J96" s="3188">
        <v>63</v>
      </c>
      <c r="K96" s="3170" t="s">
        <v>3573</v>
      </c>
      <c r="L96" s="3170" t="s">
        <v>3524</v>
      </c>
      <c r="M96" s="3170" t="s">
        <v>3574</v>
      </c>
      <c r="N96" s="3172">
        <v>23.65</v>
      </c>
      <c r="O96" s="3173" t="s">
        <v>3317</v>
      </c>
    </row>
    <row r="97" spans="1:15" thickBot="1">
      <c r="A97" s="3188">
        <v>72</v>
      </c>
      <c r="B97" s="3170" t="s">
        <v>4867</v>
      </c>
      <c r="C97" s="3170" t="s">
        <v>3524</v>
      </c>
      <c r="D97" s="3170" t="s">
        <v>4108</v>
      </c>
      <c r="E97" s="3172">
        <v>221.84</v>
      </c>
      <c r="F97" s="3173" t="s">
        <v>3387</v>
      </c>
      <c r="J97" s="3188">
        <v>64</v>
      </c>
      <c r="K97" s="3170" t="s">
        <v>3576</v>
      </c>
      <c r="L97" s="3170" t="s">
        <v>3524</v>
      </c>
      <c r="M97" s="3170" t="s">
        <v>3577</v>
      </c>
      <c r="N97" s="3172">
        <v>23.61</v>
      </c>
      <c r="O97" s="3173" t="s">
        <v>3317</v>
      </c>
    </row>
    <row r="98" spans="1:15" thickBot="1">
      <c r="A98" s="3188">
        <v>73</v>
      </c>
      <c r="B98" s="3170" t="s">
        <v>4110</v>
      </c>
      <c r="C98" s="3170" t="s">
        <v>3524</v>
      </c>
      <c r="D98" s="3170" t="s">
        <v>4111</v>
      </c>
      <c r="E98" s="3172">
        <v>221.84</v>
      </c>
      <c r="F98" s="3173" t="s">
        <v>3387</v>
      </c>
      <c r="J98" s="3188">
        <v>65</v>
      </c>
      <c r="K98" s="3170" t="s">
        <v>3579</v>
      </c>
      <c r="L98" s="3170" t="s">
        <v>3524</v>
      </c>
      <c r="M98" s="3170" t="s">
        <v>3580</v>
      </c>
      <c r="N98" s="3172">
        <v>49.57</v>
      </c>
      <c r="O98" s="3173" t="s">
        <v>3317</v>
      </c>
    </row>
    <row r="99" spans="1:15" thickBot="1">
      <c r="A99" s="3188">
        <v>74</v>
      </c>
      <c r="B99" s="3170" t="s">
        <v>4113</v>
      </c>
      <c r="C99" s="3170" t="s">
        <v>3524</v>
      </c>
      <c r="D99" s="3170" t="s">
        <v>4114</v>
      </c>
      <c r="E99" s="3172">
        <v>210.98</v>
      </c>
      <c r="F99" s="3173" t="s">
        <v>3387</v>
      </c>
      <c r="J99" s="3188">
        <v>66</v>
      </c>
      <c r="K99" s="3170" t="s">
        <v>3582</v>
      </c>
      <c r="L99" s="3170" t="s">
        <v>3524</v>
      </c>
      <c r="M99" s="3170" t="s">
        <v>3583</v>
      </c>
      <c r="N99" s="3172">
        <v>47.94</v>
      </c>
      <c r="O99" s="3173" t="s">
        <v>3317</v>
      </c>
    </row>
    <row r="100" spans="1:15" thickBot="1">
      <c r="A100" s="3188">
        <v>75</v>
      </c>
      <c r="B100" s="3170" t="s">
        <v>4116</v>
      </c>
      <c r="C100" s="3170" t="s">
        <v>3524</v>
      </c>
      <c r="D100" s="3170" t="s">
        <v>4117</v>
      </c>
      <c r="E100" s="3172">
        <v>210.98</v>
      </c>
      <c r="F100" s="3173" t="s">
        <v>3387</v>
      </c>
      <c r="J100" s="3188">
        <v>67</v>
      </c>
      <c r="K100" s="3170" t="s">
        <v>3585</v>
      </c>
      <c r="L100" s="3170" t="s">
        <v>3524</v>
      </c>
      <c r="M100" s="3170" t="s">
        <v>3586</v>
      </c>
      <c r="N100" s="3172">
        <v>22.6</v>
      </c>
      <c r="O100" s="3173" t="s">
        <v>3317</v>
      </c>
    </row>
    <row r="101" spans="1:15" thickBot="1">
      <c r="A101" s="3188">
        <v>76</v>
      </c>
      <c r="B101" s="3170" t="s">
        <v>4868</v>
      </c>
      <c r="C101" s="3170" t="s">
        <v>3524</v>
      </c>
      <c r="D101" s="3170" t="s">
        <v>4119</v>
      </c>
      <c r="E101" s="3172">
        <v>221.84</v>
      </c>
      <c r="F101" s="3173" t="s">
        <v>3387</v>
      </c>
      <c r="J101" s="3188">
        <v>68</v>
      </c>
      <c r="K101" s="3170" t="s">
        <v>3588</v>
      </c>
      <c r="L101" s="3170" t="s">
        <v>3524</v>
      </c>
      <c r="M101" s="3170" t="s">
        <v>3589</v>
      </c>
      <c r="N101" s="3172">
        <v>27.96</v>
      </c>
      <c r="O101" s="3173" t="s">
        <v>3317</v>
      </c>
    </row>
    <row r="102" spans="1:15" thickBot="1">
      <c r="A102" s="3188">
        <v>77</v>
      </c>
      <c r="B102" s="3170" t="s">
        <v>4869</v>
      </c>
      <c r="C102" s="3170" t="s">
        <v>3524</v>
      </c>
      <c r="D102" s="3170" t="s">
        <v>4121</v>
      </c>
      <c r="E102" s="3172">
        <v>221.84</v>
      </c>
      <c r="F102" s="3173" t="s">
        <v>3387</v>
      </c>
      <c r="J102" s="3188">
        <v>69</v>
      </c>
      <c r="K102" s="3170" t="s">
        <v>3591</v>
      </c>
      <c r="L102" s="3170" t="s">
        <v>3524</v>
      </c>
      <c r="M102" s="3170" t="s">
        <v>3592</v>
      </c>
      <c r="N102" s="3172">
        <v>27.55</v>
      </c>
      <c r="O102" s="3173" t="s">
        <v>3317</v>
      </c>
    </row>
    <row r="103" spans="1:15" thickBot="1">
      <c r="A103" s="3188">
        <v>78</v>
      </c>
      <c r="B103" s="3170" t="s">
        <v>4123</v>
      </c>
      <c r="C103" s="3170" t="s">
        <v>3524</v>
      </c>
      <c r="D103" s="3170" t="s">
        <v>4124</v>
      </c>
      <c r="E103" s="3172">
        <v>221.84</v>
      </c>
      <c r="F103" s="3173" t="s">
        <v>3387</v>
      </c>
      <c r="J103" s="3188">
        <v>70</v>
      </c>
      <c r="K103" s="3170" t="s">
        <v>3594</v>
      </c>
      <c r="L103" s="3170" t="s">
        <v>3524</v>
      </c>
      <c r="M103" s="3170" t="s">
        <v>3595</v>
      </c>
      <c r="N103" s="3172">
        <v>19.11</v>
      </c>
      <c r="O103" s="3173" t="s">
        <v>3317</v>
      </c>
    </row>
    <row r="104" spans="1:15" thickBot="1">
      <c r="A104" s="3188">
        <v>79</v>
      </c>
      <c r="B104" s="3170" t="s">
        <v>4126</v>
      </c>
      <c r="C104" s="3170" t="s">
        <v>3524</v>
      </c>
      <c r="D104" s="3170" t="s">
        <v>4127</v>
      </c>
      <c r="E104" s="3172">
        <v>221.84</v>
      </c>
      <c r="F104" s="3173" t="s">
        <v>3387</v>
      </c>
      <c r="J104" s="3188">
        <v>71</v>
      </c>
      <c r="K104" s="3170" t="s">
        <v>3597</v>
      </c>
      <c r="L104" s="3170" t="s">
        <v>3524</v>
      </c>
      <c r="M104" s="3170" t="s">
        <v>3598</v>
      </c>
      <c r="N104" s="3172">
        <v>19.11</v>
      </c>
      <c r="O104" s="3173" t="s">
        <v>3317</v>
      </c>
    </row>
    <row r="105" spans="1:15" thickBot="1">
      <c r="A105" s="3188">
        <v>80</v>
      </c>
      <c r="B105" s="3170" t="s">
        <v>4129</v>
      </c>
      <c r="C105" s="3170" t="s">
        <v>3524</v>
      </c>
      <c r="D105" s="3170" t="s">
        <v>4130</v>
      </c>
      <c r="E105" s="3172">
        <v>221.84</v>
      </c>
      <c r="F105" s="3173" t="s">
        <v>3387</v>
      </c>
      <c r="J105" s="3188">
        <v>72</v>
      </c>
      <c r="K105" s="3170" t="s">
        <v>3600</v>
      </c>
      <c r="L105" s="3170" t="s">
        <v>3524</v>
      </c>
      <c r="M105" s="3170" t="s">
        <v>3601</v>
      </c>
      <c r="N105" s="3172">
        <v>27.55</v>
      </c>
      <c r="O105" s="3173" t="s">
        <v>3317</v>
      </c>
    </row>
    <row r="106" spans="1:15" thickBot="1">
      <c r="A106" s="3188">
        <v>81</v>
      </c>
      <c r="B106" s="3170" t="s">
        <v>4132</v>
      </c>
      <c r="C106" s="3170" t="s">
        <v>3524</v>
      </c>
      <c r="D106" s="3170" t="s">
        <v>4133</v>
      </c>
      <c r="E106" s="3172">
        <v>221.84</v>
      </c>
      <c r="F106" s="3173" t="s">
        <v>3387</v>
      </c>
      <c r="J106" s="3188">
        <v>73</v>
      </c>
      <c r="K106" s="3170" t="s">
        <v>3603</v>
      </c>
      <c r="L106" s="3170" t="s">
        <v>3524</v>
      </c>
      <c r="M106" s="3170" t="s">
        <v>3604</v>
      </c>
      <c r="N106" s="3172">
        <v>15.83</v>
      </c>
      <c r="O106" s="3173" t="s">
        <v>3317</v>
      </c>
    </row>
    <row r="107" spans="1:15" thickBot="1">
      <c r="A107" s="3188">
        <v>82</v>
      </c>
      <c r="B107" s="3170" t="s">
        <v>4135</v>
      </c>
      <c r="C107" s="3170" t="s">
        <v>3524</v>
      </c>
      <c r="D107" s="3170" t="s">
        <v>4136</v>
      </c>
      <c r="E107" s="3172">
        <v>210.98</v>
      </c>
      <c r="F107" s="3173" t="s">
        <v>3387</v>
      </c>
      <c r="J107" s="3188">
        <v>74</v>
      </c>
      <c r="K107" s="3170" t="s">
        <v>3606</v>
      </c>
      <c r="L107" s="3170" t="s">
        <v>3524</v>
      </c>
      <c r="M107" s="3170" t="s">
        <v>3607</v>
      </c>
      <c r="N107" s="3172">
        <v>18.32</v>
      </c>
      <c r="O107" s="3173" t="s">
        <v>3317</v>
      </c>
    </row>
    <row r="108" spans="1:15" thickBot="1">
      <c r="A108" s="3188">
        <v>83</v>
      </c>
      <c r="B108" s="3170" t="s">
        <v>4138</v>
      </c>
      <c r="C108" s="3170" t="s">
        <v>3524</v>
      </c>
      <c r="D108" s="3170" t="s">
        <v>4139</v>
      </c>
      <c r="E108" s="3172">
        <v>212.29</v>
      </c>
      <c r="F108" s="3173" t="s">
        <v>3387</v>
      </c>
      <c r="J108" s="3188">
        <v>75</v>
      </c>
      <c r="K108" s="3170" t="s">
        <v>3609</v>
      </c>
      <c r="L108" s="3170" t="s">
        <v>3524</v>
      </c>
      <c r="M108" s="3170" t="s">
        <v>3610</v>
      </c>
      <c r="N108" s="3172">
        <v>16.329999999999998</v>
      </c>
      <c r="O108" s="3173" t="s">
        <v>3317</v>
      </c>
    </row>
    <row r="109" spans="1:15" thickBot="1">
      <c r="A109" s="3188">
        <v>84</v>
      </c>
      <c r="B109" s="3170" t="s">
        <v>4870</v>
      </c>
      <c r="C109" s="3170" t="s">
        <v>3524</v>
      </c>
      <c r="D109" s="3170" t="s">
        <v>4141</v>
      </c>
      <c r="E109" s="3172">
        <v>221.84</v>
      </c>
      <c r="F109" s="3173" t="s">
        <v>3387</v>
      </c>
      <c r="J109" s="3188">
        <v>76</v>
      </c>
      <c r="K109" s="3170" t="s">
        <v>3612</v>
      </c>
      <c r="L109" s="3170" t="s">
        <v>3524</v>
      </c>
      <c r="M109" s="3170" t="s">
        <v>3613</v>
      </c>
      <c r="N109" s="3172">
        <v>12.38</v>
      </c>
      <c r="O109" s="3173" t="s">
        <v>3317</v>
      </c>
    </row>
    <row r="110" spans="1:15" thickBot="1">
      <c r="A110" s="3188">
        <v>85</v>
      </c>
      <c r="B110" s="3170" t="s">
        <v>4871</v>
      </c>
      <c r="C110" s="3170" t="s">
        <v>3524</v>
      </c>
      <c r="D110" s="3170" t="s">
        <v>4143</v>
      </c>
      <c r="E110" s="3172">
        <v>223.15</v>
      </c>
      <c r="F110" s="3173" t="s">
        <v>3387</v>
      </c>
      <c r="J110" s="3188">
        <v>77</v>
      </c>
      <c r="K110" s="3170" t="s">
        <v>3615</v>
      </c>
      <c r="L110" s="3170" t="s">
        <v>3524</v>
      </c>
      <c r="M110" s="3170" t="s">
        <v>3616</v>
      </c>
      <c r="N110" s="3172">
        <v>17.010000000000002</v>
      </c>
      <c r="O110" s="3173" t="s">
        <v>3317</v>
      </c>
    </row>
    <row r="111" spans="1:15" thickBot="1">
      <c r="A111" s="3188">
        <v>86</v>
      </c>
      <c r="B111" s="3170" t="s">
        <v>4145</v>
      </c>
      <c r="C111" s="3170" t="s">
        <v>3524</v>
      </c>
      <c r="D111" s="3170" t="s">
        <v>4146</v>
      </c>
      <c r="E111" s="3172">
        <v>221.84</v>
      </c>
      <c r="F111" s="3173" t="s">
        <v>3387</v>
      </c>
      <c r="J111" s="3188">
        <v>78</v>
      </c>
      <c r="K111" s="3170" t="s">
        <v>3649</v>
      </c>
      <c r="L111" s="3170" t="s">
        <v>3524</v>
      </c>
      <c r="M111" s="3170" t="s">
        <v>3650</v>
      </c>
      <c r="N111" s="3172">
        <v>56.8</v>
      </c>
      <c r="O111" s="3173" t="s">
        <v>3317</v>
      </c>
    </row>
    <row r="112" spans="1:15" thickBot="1">
      <c r="A112" s="3188">
        <v>87</v>
      </c>
      <c r="B112" s="3170" t="s">
        <v>4148</v>
      </c>
      <c r="C112" s="3170" t="s">
        <v>3524</v>
      </c>
      <c r="D112" s="3170" t="s">
        <v>4149</v>
      </c>
      <c r="E112" s="3172">
        <v>223.15</v>
      </c>
      <c r="F112" s="3173" t="s">
        <v>3387</v>
      </c>
      <c r="J112" s="3188">
        <v>79</v>
      </c>
      <c r="K112" s="3170" t="s">
        <v>3652</v>
      </c>
      <c r="L112" s="3170" t="s">
        <v>3524</v>
      </c>
      <c r="M112" s="3170" t="s">
        <v>3653</v>
      </c>
      <c r="N112" s="3172">
        <v>41.51</v>
      </c>
      <c r="O112" s="3173" t="s">
        <v>3317</v>
      </c>
    </row>
    <row r="113" spans="1:15" thickBot="1">
      <c r="A113" s="3188">
        <v>88</v>
      </c>
      <c r="B113" s="3170" t="s">
        <v>4151</v>
      </c>
      <c r="C113" s="3170" t="s">
        <v>3524</v>
      </c>
      <c r="D113" s="3170" t="s">
        <v>4152</v>
      </c>
      <c r="E113" s="3172">
        <v>221.84</v>
      </c>
      <c r="F113" s="3173" t="s">
        <v>3387</v>
      </c>
      <c r="J113" s="3188">
        <v>80</v>
      </c>
      <c r="K113" s="3170" t="s">
        <v>3655</v>
      </c>
      <c r="L113" s="3170" t="s">
        <v>3524</v>
      </c>
      <c r="M113" s="3170" t="s">
        <v>3656</v>
      </c>
      <c r="N113" s="3172">
        <v>41.51</v>
      </c>
      <c r="O113" s="3173" t="s">
        <v>3317</v>
      </c>
    </row>
    <row r="114" spans="1:15" thickBot="1">
      <c r="A114" s="3188">
        <v>89</v>
      </c>
      <c r="B114" s="3170" t="s">
        <v>4232</v>
      </c>
      <c r="C114" s="3170" t="s">
        <v>3524</v>
      </c>
      <c r="D114" s="3170" t="s">
        <v>4233</v>
      </c>
      <c r="E114" s="3172">
        <v>272.91000000000003</v>
      </c>
      <c r="F114" s="3173" t="s">
        <v>3387</v>
      </c>
      <c r="J114" s="3188">
        <v>81</v>
      </c>
      <c r="K114" s="3170" t="s">
        <v>3658</v>
      </c>
      <c r="L114" s="3170" t="s">
        <v>3524</v>
      </c>
      <c r="M114" s="3170" t="s">
        <v>3659</v>
      </c>
      <c r="N114" s="3172">
        <v>56.8</v>
      </c>
      <c r="O114" s="3173" t="s">
        <v>3317</v>
      </c>
    </row>
    <row r="115" spans="1:15" thickBot="1">
      <c r="A115" s="3188">
        <v>90</v>
      </c>
      <c r="B115" s="3170" t="s">
        <v>4235</v>
      </c>
      <c r="C115" s="3170" t="s">
        <v>3524</v>
      </c>
      <c r="D115" s="3170" t="s">
        <v>4236</v>
      </c>
      <c r="E115" s="3172">
        <v>271.69</v>
      </c>
      <c r="F115" s="3173" t="s">
        <v>3387</v>
      </c>
      <c r="J115" s="3188">
        <v>82</v>
      </c>
      <c r="K115" s="3170" t="s">
        <v>3661</v>
      </c>
      <c r="L115" s="3170" t="s">
        <v>3524</v>
      </c>
      <c r="M115" s="3170" t="s">
        <v>3662</v>
      </c>
      <c r="N115" s="3172">
        <v>23.72</v>
      </c>
      <c r="O115" s="3173" t="s">
        <v>3317</v>
      </c>
    </row>
    <row r="116" spans="1:15" thickBot="1">
      <c r="A116" s="3188">
        <v>91</v>
      </c>
      <c r="B116" s="3170" t="s">
        <v>4872</v>
      </c>
      <c r="C116" s="3170" t="s">
        <v>3524</v>
      </c>
      <c r="D116" s="3170" t="s">
        <v>4238</v>
      </c>
      <c r="E116" s="3172">
        <v>272.97000000000003</v>
      </c>
      <c r="F116" s="3173" t="s">
        <v>3387</v>
      </c>
      <c r="J116" s="3188">
        <v>83</v>
      </c>
      <c r="K116" s="3170" t="s">
        <v>3664</v>
      </c>
      <c r="L116" s="3170" t="s">
        <v>3524</v>
      </c>
      <c r="M116" s="3170" t="s">
        <v>3665</v>
      </c>
      <c r="N116" s="3172">
        <v>23.69</v>
      </c>
      <c r="O116" s="3173" t="s">
        <v>3317</v>
      </c>
    </row>
    <row r="117" spans="1:15" thickBot="1">
      <c r="A117" s="3188">
        <v>92</v>
      </c>
      <c r="B117" s="3170" t="s">
        <v>4873</v>
      </c>
      <c r="C117" s="3170" t="s">
        <v>3524</v>
      </c>
      <c r="D117" s="3170" t="s">
        <v>4240</v>
      </c>
      <c r="E117" s="3172">
        <v>271.75</v>
      </c>
      <c r="F117" s="3173" t="s">
        <v>3387</v>
      </c>
      <c r="J117" s="3188">
        <v>84</v>
      </c>
      <c r="K117" s="3170" t="s">
        <v>3667</v>
      </c>
      <c r="L117" s="3170" t="s">
        <v>3524</v>
      </c>
      <c r="M117" s="3170" t="s">
        <v>3668</v>
      </c>
      <c r="N117" s="3172">
        <v>56.76</v>
      </c>
      <c r="O117" s="3173" t="s">
        <v>3317</v>
      </c>
    </row>
    <row r="118" spans="1:15" thickBot="1">
      <c r="A118" s="3188">
        <v>93</v>
      </c>
      <c r="B118" s="3170" t="s">
        <v>4242</v>
      </c>
      <c r="C118" s="3170" t="s">
        <v>3524</v>
      </c>
      <c r="D118" s="3170" t="s">
        <v>4243</v>
      </c>
      <c r="E118" s="3172">
        <v>272.97000000000003</v>
      </c>
      <c r="F118" s="3173" t="s">
        <v>3387</v>
      </c>
      <c r="J118" s="3188">
        <v>85</v>
      </c>
      <c r="K118" s="3170" t="s">
        <v>3670</v>
      </c>
      <c r="L118" s="3170" t="s">
        <v>3524</v>
      </c>
      <c r="M118" s="3170" t="s">
        <v>3671</v>
      </c>
      <c r="N118" s="3172">
        <v>41.2</v>
      </c>
      <c r="O118" s="3173" t="s">
        <v>3317</v>
      </c>
    </row>
    <row r="119" spans="1:15" thickBot="1">
      <c r="A119" s="3188">
        <v>94</v>
      </c>
      <c r="B119" s="3170" t="s">
        <v>4245</v>
      </c>
      <c r="C119" s="3170" t="s">
        <v>3524</v>
      </c>
      <c r="D119" s="3170" t="s">
        <v>4246</v>
      </c>
      <c r="E119" s="3172">
        <v>271.69</v>
      </c>
      <c r="F119" s="3173" t="s">
        <v>3387</v>
      </c>
      <c r="J119" s="3188">
        <v>86</v>
      </c>
      <c r="K119" s="3170" t="s">
        <v>3673</v>
      </c>
      <c r="L119" s="3170" t="s">
        <v>3524</v>
      </c>
      <c r="M119" s="3170" t="s">
        <v>3674</v>
      </c>
      <c r="N119" s="3172">
        <v>41.2</v>
      </c>
      <c r="O119" s="3173" t="s">
        <v>3317</v>
      </c>
    </row>
    <row r="120" spans="1:15" thickBot="1">
      <c r="A120" s="3188">
        <v>95</v>
      </c>
      <c r="B120" s="3170" t="s">
        <v>4248</v>
      </c>
      <c r="C120" s="3170" t="s">
        <v>3524</v>
      </c>
      <c r="D120" s="3170" t="s">
        <v>4249</v>
      </c>
      <c r="E120" s="3172">
        <v>272.86</v>
      </c>
      <c r="F120" s="3173" t="s">
        <v>3387</v>
      </c>
      <c r="J120" s="3188">
        <v>87</v>
      </c>
      <c r="K120" s="3170" t="s">
        <v>3676</v>
      </c>
      <c r="L120" s="3170" t="s">
        <v>3524</v>
      </c>
      <c r="M120" s="3170" t="s">
        <v>3677</v>
      </c>
      <c r="N120" s="3172">
        <v>23.72</v>
      </c>
      <c r="O120" s="3173" t="s">
        <v>3317</v>
      </c>
    </row>
    <row r="121" spans="1:15" thickBot="1">
      <c r="A121" s="3188">
        <v>96</v>
      </c>
      <c r="B121" s="3170" t="s">
        <v>4317</v>
      </c>
      <c r="C121" s="3170" t="s">
        <v>3524</v>
      </c>
      <c r="D121" s="3170" t="s">
        <v>4318</v>
      </c>
      <c r="E121" s="3172">
        <v>168.06</v>
      </c>
      <c r="F121" s="3173" t="s">
        <v>3387</v>
      </c>
      <c r="J121" s="3188">
        <v>88</v>
      </c>
      <c r="K121" s="3170" t="s">
        <v>3679</v>
      </c>
      <c r="L121" s="3170" t="s">
        <v>3524</v>
      </c>
      <c r="M121" s="3170" t="s">
        <v>3680</v>
      </c>
      <c r="N121" s="3172">
        <v>23.69</v>
      </c>
      <c r="O121" s="3173" t="s">
        <v>3317</v>
      </c>
    </row>
    <row r="122" spans="1:15" thickBot="1">
      <c r="A122" s="3188">
        <v>97</v>
      </c>
      <c r="B122" s="3170" t="s">
        <v>4320</v>
      </c>
      <c r="C122" s="3170" t="s">
        <v>3524</v>
      </c>
      <c r="D122" s="3170" t="s">
        <v>4321</v>
      </c>
      <c r="E122" s="3172">
        <v>168.06</v>
      </c>
      <c r="F122" s="3173" t="s">
        <v>3387</v>
      </c>
      <c r="J122" s="3188">
        <v>89</v>
      </c>
      <c r="K122" s="3170" t="s">
        <v>3682</v>
      </c>
      <c r="L122" s="3170" t="s">
        <v>3524</v>
      </c>
      <c r="M122" s="3170" t="s">
        <v>3683</v>
      </c>
      <c r="N122" s="3172">
        <v>49.72</v>
      </c>
      <c r="O122" s="3173" t="s">
        <v>3317</v>
      </c>
    </row>
    <row r="123" spans="1:15" thickBot="1">
      <c r="A123" s="3188">
        <v>98</v>
      </c>
      <c r="B123" s="3170" t="s">
        <v>4323</v>
      </c>
      <c r="C123" s="3170" t="s">
        <v>3524</v>
      </c>
      <c r="D123" s="3170" t="s">
        <v>4324</v>
      </c>
      <c r="E123" s="3172">
        <v>192.5</v>
      </c>
      <c r="F123" s="3173" t="s">
        <v>3387</v>
      </c>
      <c r="J123" s="3188">
        <v>90</v>
      </c>
      <c r="K123" s="3170" t="s">
        <v>3685</v>
      </c>
      <c r="L123" s="3170" t="s">
        <v>3524</v>
      </c>
      <c r="M123" s="3170" t="s">
        <v>3686</v>
      </c>
      <c r="N123" s="3172">
        <v>48.09</v>
      </c>
      <c r="O123" s="3173" t="s">
        <v>3317</v>
      </c>
    </row>
    <row r="124" spans="1:15" thickBot="1">
      <c r="A124" s="3188">
        <v>99</v>
      </c>
      <c r="B124" s="3170" t="s">
        <v>4874</v>
      </c>
      <c r="C124" s="3170" t="s">
        <v>3524</v>
      </c>
      <c r="D124" s="3170" t="s">
        <v>4326</v>
      </c>
      <c r="E124" s="3172">
        <v>192.53</v>
      </c>
      <c r="F124" s="3173" t="s">
        <v>3387</v>
      </c>
      <c r="J124" s="3188">
        <v>91</v>
      </c>
      <c r="K124" s="3170" t="s">
        <v>3688</v>
      </c>
      <c r="L124" s="3170" t="s">
        <v>3524</v>
      </c>
      <c r="M124" s="3170" t="s">
        <v>3689</v>
      </c>
      <c r="N124" s="3172">
        <v>22.84</v>
      </c>
      <c r="O124" s="3173" t="s">
        <v>3317</v>
      </c>
    </row>
    <row r="125" spans="1:15" thickBot="1">
      <c r="A125" s="3188">
        <v>100</v>
      </c>
      <c r="B125" s="3170" t="s">
        <v>4391</v>
      </c>
      <c r="C125" s="3170" t="s">
        <v>3524</v>
      </c>
      <c r="D125" s="3170" t="s">
        <v>4392</v>
      </c>
      <c r="E125" s="3172">
        <v>271.73</v>
      </c>
      <c r="F125" s="3173" t="s">
        <v>3387</v>
      </c>
      <c r="J125" s="3188">
        <v>92</v>
      </c>
      <c r="K125" s="3170" t="s">
        <v>3691</v>
      </c>
      <c r="L125" s="3170" t="s">
        <v>3524</v>
      </c>
      <c r="M125" s="3170" t="s">
        <v>3692</v>
      </c>
      <c r="N125" s="3172">
        <v>28.04</v>
      </c>
      <c r="O125" s="3173" t="s">
        <v>3317</v>
      </c>
    </row>
    <row r="126" spans="1:15" thickBot="1">
      <c r="A126" s="3188">
        <v>101</v>
      </c>
      <c r="B126" s="3170" t="s">
        <v>4875</v>
      </c>
      <c r="C126" s="3170" t="s">
        <v>3524</v>
      </c>
      <c r="D126" s="3170" t="s">
        <v>4394</v>
      </c>
      <c r="E126" s="3172">
        <v>271.8</v>
      </c>
      <c r="F126" s="3173" t="s">
        <v>3387</v>
      </c>
      <c r="J126" s="3188">
        <v>93</v>
      </c>
      <c r="K126" s="3170" t="s">
        <v>3694</v>
      </c>
      <c r="L126" s="3170" t="s">
        <v>3524</v>
      </c>
      <c r="M126" s="3170" t="s">
        <v>3695</v>
      </c>
      <c r="N126" s="3172">
        <v>27.64</v>
      </c>
      <c r="O126" s="3173" t="s">
        <v>3317</v>
      </c>
    </row>
    <row r="127" spans="1:15" thickBot="1">
      <c r="A127" s="3188">
        <v>102</v>
      </c>
      <c r="B127" s="3170" t="s">
        <v>4396</v>
      </c>
      <c r="C127" s="3170" t="s">
        <v>3524</v>
      </c>
      <c r="D127" s="3170" t="s">
        <v>4397</v>
      </c>
      <c r="E127" s="3172">
        <v>271.73</v>
      </c>
      <c r="F127" s="3173" t="s">
        <v>3387</v>
      </c>
      <c r="J127" s="3188">
        <v>94</v>
      </c>
      <c r="K127" s="3170" t="s">
        <v>3697</v>
      </c>
      <c r="L127" s="3170" t="s">
        <v>3524</v>
      </c>
      <c r="M127" s="3170" t="s">
        <v>3698</v>
      </c>
      <c r="N127" s="3172">
        <v>19.170000000000002</v>
      </c>
      <c r="O127" s="3173" t="s">
        <v>3317</v>
      </c>
    </row>
    <row r="128" spans="1:15" thickBot="1">
      <c r="A128" s="3188">
        <v>103</v>
      </c>
      <c r="B128" s="3170" t="s">
        <v>4876</v>
      </c>
      <c r="C128" s="3170" t="s">
        <v>3524</v>
      </c>
      <c r="D128" s="3170" t="s">
        <v>4399</v>
      </c>
      <c r="E128" s="3172">
        <v>271.8</v>
      </c>
      <c r="F128" s="3173" t="s">
        <v>3387</v>
      </c>
      <c r="J128" s="3188">
        <v>95</v>
      </c>
      <c r="K128" s="3170" t="s">
        <v>3700</v>
      </c>
      <c r="L128" s="3170" t="s">
        <v>3524</v>
      </c>
      <c r="M128" s="3170" t="s">
        <v>3701</v>
      </c>
      <c r="N128" s="3172">
        <v>19.170000000000002</v>
      </c>
      <c r="O128" s="3173" t="s">
        <v>3317</v>
      </c>
    </row>
    <row r="129" spans="1:15" thickBot="1">
      <c r="A129" s="3188">
        <v>104</v>
      </c>
      <c r="B129" s="3170" t="s">
        <v>4434</v>
      </c>
      <c r="C129" s="3170" t="s">
        <v>3524</v>
      </c>
      <c r="D129" s="3170" t="s">
        <v>4435</v>
      </c>
      <c r="E129" s="3172">
        <v>210.91</v>
      </c>
      <c r="F129" s="3173" t="s">
        <v>3387</v>
      </c>
      <c r="J129" s="3188">
        <v>96</v>
      </c>
      <c r="K129" s="3170" t="s">
        <v>3703</v>
      </c>
      <c r="L129" s="3170" t="s">
        <v>3524</v>
      </c>
      <c r="M129" s="3170" t="s">
        <v>3704</v>
      </c>
      <c r="N129" s="3172">
        <v>27.82</v>
      </c>
      <c r="O129" s="3173" t="s">
        <v>3317</v>
      </c>
    </row>
    <row r="130" spans="1:15" thickBot="1">
      <c r="A130" s="3188">
        <v>105</v>
      </c>
      <c r="B130" s="3170" t="s">
        <v>4877</v>
      </c>
      <c r="C130" s="3170" t="s">
        <v>3524</v>
      </c>
      <c r="D130" s="3170" t="s">
        <v>4437</v>
      </c>
      <c r="E130" s="3172">
        <v>230.81</v>
      </c>
      <c r="F130" s="3173" t="s">
        <v>3387</v>
      </c>
      <c r="J130" s="3188">
        <v>97</v>
      </c>
      <c r="K130" s="3170" t="s">
        <v>3706</v>
      </c>
      <c r="L130" s="3170" t="s">
        <v>3524</v>
      </c>
      <c r="M130" s="3170" t="s">
        <v>3707</v>
      </c>
      <c r="N130" s="3172">
        <v>27.64</v>
      </c>
      <c r="O130" s="3173" t="s">
        <v>3317</v>
      </c>
    </row>
    <row r="131" spans="1:15" thickBot="1">
      <c r="A131" s="3188">
        <v>106</v>
      </c>
      <c r="B131" s="3170" t="s">
        <v>4439</v>
      </c>
      <c r="C131" s="3170" t="s">
        <v>3524</v>
      </c>
      <c r="D131" s="3170" t="s">
        <v>4440</v>
      </c>
      <c r="E131" s="3172">
        <v>230.81</v>
      </c>
      <c r="F131" s="3173" t="s">
        <v>3387</v>
      </c>
      <c r="J131" s="3188">
        <v>98</v>
      </c>
      <c r="K131" s="3170" t="s">
        <v>3709</v>
      </c>
      <c r="L131" s="3170" t="s">
        <v>3524</v>
      </c>
      <c r="M131" s="3170" t="s">
        <v>3710</v>
      </c>
      <c r="N131" s="3172">
        <v>19.809999999999999</v>
      </c>
      <c r="O131" s="3173" t="s">
        <v>3317</v>
      </c>
    </row>
    <row r="132" spans="1:15" thickBot="1">
      <c r="A132" s="3188">
        <v>107</v>
      </c>
      <c r="B132" s="3170" t="s">
        <v>4454</v>
      </c>
      <c r="C132" s="3170" t="s">
        <v>3524</v>
      </c>
      <c r="D132" s="3170" t="s">
        <v>4455</v>
      </c>
      <c r="E132" s="3172">
        <v>272.93</v>
      </c>
      <c r="F132" s="3173" t="s">
        <v>3387</v>
      </c>
      <c r="J132" s="3188">
        <v>99</v>
      </c>
      <c r="K132" s="3170" t="s">
        <v>3712</v>
      </c>
      <c r="L132" s="3170" t="s">
        <v>3524</v>
      </c>
      <c r="M132" s="3170" t="s">
        <v>3713</v>
      </c>
      <c r="N132" s="3172">
        <v>19.809999999999999</v>
      </c>
      <c r="O132" s="3173" t="s">
        <v>3317</v>
      </c>
    </row>
    <row r="133" spans="1:15" thickBot="1">
      <c r="A133" s="3188">
        <v>108</v>
      </c>
      <c r="B133" s="3170" t="s">
        <v>4457</v>
      </c>
      <c r="C133" s="3170" t="s">
        <v>3524</v>
      </c>
      <c r="D133" s="3170" t="s">
        <v>4458</v>
      </c>
      <c r="E133" s="3172">
        <v>271.76</v>
      </c>
      <c r="F133" s="3173" t="s">
        <v>3387</v>
      </c>
      <c r="J133" s="3188">
        <v>100</v>
      </c>
      <c r="K133" s="3170" t="s">
        <v>3715</v>
      </c>
      <c r="L133" s="3170" t="s">
        <v>3524</v>
      </c>
      <c r="M133" s="3170" t="s">
        <v>3716</v>
      </c>
      <c r="N133" s="3172">
        <v>27.64</v>
      </c>
      <c r="O133" s="3173" t="s">
        <v>3317</v>
      </c>
    </row>
    <row r="134" spans="1:15" thickBot="1">
      <c r="A134" s="3188">
        <v>109</v>
      </c>
      <c r="B134" s="3170" t="s">
        <v>4878</v>
      </c>
      <c r="C134" s="3170" t="s">
        <v>3524</v>
      </c>
      <c r="D134" s="3170" t="s">
        <v>4460</v>
      </c>
      <c r="E134" s="3172">
        <v>272.99</v>
      </c>
      <c r="F134" s="3173" t="s">
        <v>3387</v>
      </c>
      <c r="J134" s="3188">
        <v>101</v>
      </c>
      <c r="K134" s="3170" t="s">
        <v>3718</v>
      </c>
      <c r="L134" s="3170" t="s">
        <v>3524</v>
      </c>
      <c r="M134" s="3170" t="s">
        <v>3719</v>
      </c>
      <c r="N134" s="3172">
        <v>16.38</v>
      </c>
      <c r="O134" s="3173" t="s">
        <v>3317</v>
      </c>
    </row>
    <row r="135" spans="1:15" thickBot="1">
      <c r="A135" s="3188">
        <v>110</v>
      </c>
      <c r="B135" s="3170" t="s">
        <v>4879</v>
      </c>
      <c r="C135" s="3170" t="s">
        <v>3524</v>
      </c>
      <c r="D135" s="3170" t="s">
        <v>4462</v>
      </c>
      <c r="E135" s="3172">
        <v>271.82</v>
      </c>
      <c r="F135" s="3173" t="s">
        <v>3387</v>
      </c>
      <c r="J135" s="3188">
        <v>102</v>
      </c>
      <c r="K135" s="3170" t="s">
        <v>3721</v>
      </c>
      <c r="L135" s="3170" t="s">
        <v>3524</v>
      </c>
      <c r="M135" s="3170" t="s">
        <v>3722</v>
      </c>
      <c r="N135" s="3172">
        <v>16.38</v>
      </c>
      <c r="O135" s="3173" t="s">
        <v>3317</v>
      </c>
    </row>
    <row r="136" spans="1:15" thickBot="1">
      <c r="A136" s="3188">
        <v>111</v>
      </c>
      <c r="B136" s="3170" t="s">
        <v>4464</v>
      </c>
      <c r="C136" s="3170" t="s">
        <v>3524</v>
      </c>
      <c r="D136" s="3170" t="s">
        <v>4465</v>
      </c>
      <c r="E136" s="3172">
        <v>272.99</v>
      </c>
      <c r="F136" s="3173" t="s">
        <v>3387</v>
      </c>
      <c r="J136" s="3188">
        <v>103</v>
      </c>
      <c r="K136" s="3170" t="s">
        <v>3724</v>
      </c>
      <c r="L136" s="3170" t="s">
        <v>3524</v>
      </c>
      <c r="M136" s="3170" t="s">
        <v>3725</v>
      </c>
      <c r="N136" s="3172">
        <v>16.38</v>
      </c>
      <c r="O136" s="3173" t="s">
        <v>3317</v>
      </c>
    </row>
    <row r="137" spans="1:15" thickBot="1">
      <c r="A137" s="3188">
        <v>112</v>
      </c>
      <c r="B137" s="3170" t="s">
        <v>4467</v>
      </c>
      <c r="C137" s="3170" t="s">
        <v>3524</v>
      </c>
      <c r="D137" s="3170" t="s">
        <v>4468</v>
      </c>
      <c r="E137" s="3172">
        <v>271.82</v>
      </c>
      <c r="F137" s="3173" t="s">
        <v>3387</v>
      </c>
      <c r="J137" s="3188">
        <v>104</v>
      </c>
      <c r="K137" s="3170" t="s">
        <v>3727</v>
      </c>
      <c r="L137" s="3170" t="s">
        <v>3524</v>
      </c>
      <c r="M137" s="3170" t="s">
        <v>3728</v>
      </c>
      <c r="N137" s="3172">
        <v>17.059999999999999</v>
      </c>
      <c r="O137" s="3173" t="s">
        <v>3317</v>
      </c>
    </row>
    <row r="138" spans="1:15" thickBot="1">
      <c r="A138" s="3188">
        <v>113</v>
      </c>
      <c r="B138" s="3170" t="s">
        <v>4880</v>
      </c>
      <c r="C138" s="3170" t="s">
        <v>3524</v>
      </c>
      <c r="D138" s="3170" t="s">
        <v>4470</v>
      </c>
      <c r="E138" s="3172">
        <v>271.82</v>
      </c>
      <c r="F138" s="3173" t="s">
        <v>3387</v>
      </c>
      <c r="J138" s="3188">
        <v>105</v>
      </c>
      <c r="K138" s="3170" t="s">
        <v>3733</v>
      </c>
      <c r="L138" s="3170" t="s">
        <v>3524</v>
      </c>
      <c r="M138" s="3170" t="s">
        <v>3734</v>
      </c>
      <c r="N138" s="3172">
        <v>41.46</v>
      </c>
      <c r="O138" s="3173" t="s">
        <v>3317</v>
      </c>
    </row>
    <row r="139" spans="1:15" thickBot="1">
      <c r="A139" s="3188">
        <v>114</v>
      </c>
      <c r="B139" s="3170" t="s">
        <v>4508</v>
      </c>
      <c r="C139" s="3170" t="s">
        <v>3524</v>
      </c>
      <c r="D139" s="3170" t="s">
        <v>4509</v>
      </c>
      <c r="E139" s="3172">
        <v>210.97</v>
      </c>
      <c r="F139" s="3173" t="s">
        <v>3387</v>
      </c>
      <c r="J139" s="3188">
        <v>106</v>
      </c>
      <c r="K139" s="3170" t="s">
        <v>3736</v>
      </c>
      <c r="L139" s="3170" t="s">
        <v>3524</v>
      </c>
      <c r="M139" s="3170" t="s">
        <v>3737</v>
      </c>
      <c r="N139" s="3172">
        <v>56.7</v>
      </c>
      <c r="O139" s="3173" t="s">
        <v>3317</v>
      </c>
    </row>
    <row r="140" spans="1:15" thickBot="1">
      <c r="A140" s="3188">
        <v>115</v>
      </c>
      <c r="B140" s="3170" t="s">
        <v>4511</v>
      </c>
      <c r="C140" s="3170" t="s">
        <v>3524</v>
      </c>
      <c r="D140" s="3170" t="s">
        <v>4512</v>
      </c>
      <c r="E140" s="3172">
        <v>221.83</v>
      </c>
      <c r="F140" s="3173" t="s">
        <v>3387</v>
      </c>
      <c r="J140" s="3188">
        <v>107</v>
      </c>
      <c r="K140" s="3170" t="s">
        <v>3739</v>
      </c>
      <c r="L140" s="3170" t="s">
        <v>3524</v>
      </c>
      <c r="M140" s="3170" t="s">
        <v>3740</v>
      </c>
      <c r="N140" s="3172">
        <v>23.66</v>
      </c>
      <c r="O140" s="3173" t="s">
        <v>3317</v>
      </c>
    </row>
    <row r="141" spans="1:15" thickBot="1">
      <c r="A141" s="3188">
        <v>116</v>
      </c>
      <c r="B141" s="3170" t="s">
        <v>4514</v>
      </c>
      <c r="C141" s="3170" t="s">
        <v>3524</v>
      </c>
      <c r="D141" s="3170" t="s">
        <v>4515</v>
      </c>
      <c r="E141" s="3172">
        <v>221.83</v>
      </c>
      <c r="F141" s="3173" t="s">
        <v>3387</v>
      </c>
      <c r="J141" s="3188">
        <v>108</v>
      </c>
      <c r="K141" s="3170" t="s">
        <v>3742</v>
      </c>
      <c r="L141" s="3170" t="s">
        <v>3524</v>
      </c>
      <c r="M141" s="3170" t="s">
        <v>3743</v>
      </c>
      <c r="N141" s="3172">
        <v>27.61</v>
      </c>
      <c r="O141" s="3173" t="s">
        <v>3317</v>
      </c>
    </row>
    <row r="142" spans="1:15" thickBot="1">
      <c r="A142" s="3188">
        <v>117</v>
      </c>
      <c r="B142" s="3170" t="s">
        <v>4517</v>
      </c>
      <c r="C142" s="3170" t="s">
        <v>3524</v>
      </c>
      <c r="D142" s="3170" t="s">
        <v>4518</v>
      </c>
      <c r="E142" s="3172">
        <v>210.97</v>
      </c>
      <c r="F142" s="3173" t="s">
        <v>3387</v>
      </c>
      <c r="J142" s="3188">
        <v>109</v>
      </c>
      <c r="K142" s="3170" t="s">
        <v>3745</v>
      </c>
      <c r="L142" s="3170" t="s">
        <v>3524</v>
      </c>
      <c r="M142" s="3170" t="s">
        <v>3746</v>
      </c>
      <c r="N142" s="3172">
        <v>19.149999999999999</v>
      </c>
      <c r="O142" s="3173" t="s">
        <v>3317</v>
      </c>
    </row>
    <row r="143" spans="1:15" thickBot="1">
      <c r="A143" s="3188">
        <v>118</v>
      </c>
      <c r="B143" s="3170" t="s">
        <v>4881</v>
      </c>
      <c r="C143" s="3170" t="s">
        <v>3524</v>
      </c>
      <c r="D143" s="3170" t="s">
        <v>4520</v>
      </c>
      <c r="E143" s="3172">
        <v>221.83</v>
      </c>
      <c r="F143" s="3173" t="s">
        <v>3387</v>
      </c>
      <c r="J143" s="3188">
        <v>110</v>
      </c>
      <c r="K143" s="3170" t="s">
        <v>3748</v>
      </c>
      <c r="L143" s="3170" t="s">
        <v>3524</v>
      </c>
      <c r="M143" s="3170" t="s">
        <v>3749</v>
      </c>
      <c r="N143" s="3172">
        <v>19.149999999999999</v>
      </c>
      <c r="O143" s="3173" t="s">
        <v>3317</v>
      </c>
    </row>
    <row r="144" spans="1:15" thickBot="1">
      <c r="A144" s="3188">
        <v>119</v>
      </c>
      <c r="B144" s="3170" t="s">
        <v>4522</v>
      </c>
      <c r="C144" s="3170" t="s">
        <v>3524</v>
      </c>
      <c r="D144" s="3170" t="s">
        <v>4523</v>
      </c>
      <c r="E144" s="3172">
        <v>221.83</v>
      </c>
      <c r="F144" s="3173" t="s">
        <v>3387</v>
      </c>
      <c r="J144" s="3188">
        <v>111</v>
      </c>
      <c r="K144" s="3170" t="s">
        <v>3751</v>
      </c>
      <c r="L144" s="3170" t="s">
        <v>3524</v>
      </c>
      <c r="M144" s="3170" t="s">
        <v>3752</v>
      </c>
      <c r="N144" s="3172">
        <v>27.79</v>
      </c>
      <c r="O144" s="3173" t="s">
        <v>3317</v>
      </c>
    </row>
    <row r="145" spans="1:15" thickBot="1">
      <c r="A145" s="3188">
        <v>120</v>
      </c>
      <c r="B145" s="3170" t="s">
        <v>4525</v>
      </c>
      <c r="C145" s="3170" t="s">
        <v>3524</v>
      </c>
      <c r="D145" s="3170" t="s">
        <v>4526</v>
      </c>
      <c r="E145" s="3172">
        <v>221.83</v>
      </c>
      <c r="F145" s="3173" t="s">
        <v>3387</v>
      </c>
      <c r="J145" s="3188">
        <v>112</v>
      </c>
      <c r="K145" s="3170" t="s">
        <v>3754</v>
      </c>
      <c r="L145" s="3170" t="s">
        <v>3524</v>
      </c>
      <c r="M145" s="3170" t="s">
        <v>3755</v>
      </c>
      <c r="N145" s="3172">
        <v>27.61</v>
      </c>
      <c r="O145" s="3173" t="s">
        <v>3317</v>
      </c>
    </row>
    <row r="146" spans="1:15" thickBot="1">
      <c r="A146" s="3188">
        <v>121</v>
      </c>
      <c r="B146" s="3170" t="s">
        <v>4582</v>
      </c>
      <c r="C146" s="3170" t="s">
        <v>3524</v>
      </c>
      <c r="D146" s="3170" t="s">
        <v>4583</v>
      </c>
      <c r="E146" s="3172">
        <v>210.99</v>
      </c>
      <c r="F146" s="3173" t="s">
        <v>3387</v>
      </c>
      <c r="J146" s="3188">
        <v>113</v>
      </c>
      <c r="K146" s="3170" t="s">
        <v>3757</v>
      </c>
      <c r="L146" s="3170" t="s">
        <v>3524</v>
      </c>
      <c r="M146" s="3170" t="s">
        <v>3758</v>
      </c>
      <c r="N146" s="3172">
        <v>19.79</v>
      </c>
      <c r="O146" s="3173" t="s">
        <v>3317</v>
      </c>
    </row>
    <row r="147" spans="1:15" thickBot="1">
      <c r="A147" s="3188">
        <v>122</v>
      </c>
      <c r="B147" s="3170" t="s">
        <v>4585</v>
      </c>
      <c r="C147" s="3170" t="s">
        <v>3524</v>
      </c>
      <c r="D147" s="3170" t="s">
        <v>4586</v>
      </c>
      <c r="E147" s="3172">
        <v>221.85</v>
      </c>
      <c r="F147" s="3173" t="s">
        <v>3387</v>
      </c>
      <c r="J147" s="3188">
        <v>114</v>
      </c>
      <c r="K147" s="3170" t="s">
        <v>3760</v>
      </c>
      <c r="L147" s="3170" t="s">
        <v>3524</v>
      </c>
      <c r="M147" s="3170" t="s">
        <v>3761</v>
      </c>
      <c r="N147" s="3172">
        <v>27.61</v>
      </c>
      <c r="O147" s="3173" t="s">
        <v>3317</v>
      </c>
    </row>
    <row r="148" spans="1:15" thickBot="1">
      <c r="A148" s="3188">
        <v>123</v>
      </c>
      <c r="B148" s="3170" t="s">
        <v>4588</v>
      </c>
      <c r="C148" s="3170" t="s">
        <v>3524</v>
      </c>
      <c r="D148" s="3170" t="s">
        <v>4589</v>
      </c>
      <c r="E148" s="3172">
        <v>210.99</v>
      </c>
      <c r="F148" s="3173" t="s">
        <v>3387</v>
      </c>
      <c r="J148" s="3188">
        <v>115</v>
      </c>
      <c r="K148" s="3170" t="s">
        <v>3763</v>
      </c>
      <c r="L148" s="3170" t="s">
        <v>3524</v>
      </c>
      <c r="M148" s="3170" t="s">
        <v>3764</v>
      </c>
      <c r="N148" s="3172">
        <v>12.41</v>
      </c>
      <c r="O148" s="3173" t="s">
        <v>3317</v>
      </c>
    </row>
    <row r="149" spans="1:15" thickBot="1">
      <c r="A149" s="3188">
        <v>124</v>
      </c>
      <c r="B149" s="3170" t="s">
        <v>4591</v>
      </c>
      <c r="C149" s="3170" t="s">
        <v>3524</v>
      </c>
      <c r="D149" s="3170" t="s">
        <v>4592</v>
      </c>
      <c r="E149" s="3172">
        <v>210.99</v>
      </c>
      <c r="F149" s="3173" t="s">
        <v>3387</v>
      </c>
      <c r="J149" s="3188">
        <v>116</v>
      </c>
      <c r="K149" s="3170" t="s">
        <v>3780</v>
      </c>
      <c r="L149" s="3170" t="s">
        <v>3524</v>
      </c>
      <c r="M149" s="3170" t="s">
        <v>3781</v>
      </c>
      <c r="N149" s="3172">
        <v>31.03</v>
      </c>
      <c r="O149" s="3173" t="s">
        <v>3317</v>
      </c>
    </row>
    <row r="150" spans="1:15" thickBot="1">
      <c r="A150" s="3188">
        <v>125</v>
      </c>
      <c r="B150" s="3170" t="s">
        <v>4882</v>
      </c>
      <c r="C150" s="3170" t="s">
        <v>3524</v>
      </c>
      <c r="D150" s="3170" t="s">
        <v>4594</v>
      </c>
      <c r="E150" s="3172">
        <v>230.9</v>
      </c>
      <c r="F150" s="3173" t="s">
        <v>3387</v>
      </c>
      <c r="J150" s="3188">
        <v>117</v>
      </c>
      <c r="K150" s="3170" t="s">
        <v>3783</v>
      </c>
      <c r="L150" s="3170" t="s">
        <v>3524</v>
      </c>
      <c r="M150" s="3170" t="s">
        <v>3784</v>
      </c>
      <c r="N150" s="3172">
        <v>16.09</v>
      </c>
      <c r="O150" s="3173" t="s">
        <v>3317</v>
      </c>
    </row>
    <row r="151" spans="1:15" thickBot="1">
      <c r="A151" s="3188">
        <v>126</v>
      </c>
      <c r="B151" s="3170" t="s">
        <v>4596</v>
      </c>
      <c r="C151" s="3170" t="s">
        <v>3524</v>
      </c>
      <c r="D151" s="3170" t="s">
        <v>4597</v>
      </c>
      <c r="E151" s="3172">
        <v>221.85</v>
      </c>
      <c r="F151" s="3173" t="s">
        <v>3387</v>
      </c>
      <c r="J151" s="3188">
        <v>118</v>
      </c>
      <c r="K151" s="3170" t="s">
        <v>3786</v>
      </c>
      <c r="L151" s="3170" t="s">
        <v>3524</v>
      </c>
      <c r="M151" s="3170" t="s">
        <v>3787</v>
      </c>
      <c r="N151" s="3172">
        <v>46.55</v>
      </c>
      <c r="O151" s="3173" t="s">
        <v>3317</v>
      </c>
    </row>
    <row r="152" spans="1:15" thickBot="1">
      <c r="A152" s="3188">
        <v>127</v>
      </c>
      <c r="B152" s="3170" t="s">
        <v>4671</v>
      </c>
      <c r="C152" s="3170" t="s">
        <v>3524</v>
      </c>
      <c r="D152" s="3170" t="s">
        <v>4672</v>
      </c>
      <c r="E152" s="3172">
        <v>217.74</v>
      </c>
      <c r="F152" s="3173" t="s">
        <v>3387</v>
      </c>
      <c r="J152" s="3188">
        <v>119</v>
      </c>
      <c r="K152" s="3170" t="s">
        <v>3789</v>
      </c>
      <c r="L152" s="3170" t="s">
        <v>3524</v>
      </c>
      <c r="M152" s="3170" t="s">
        <v>3790</v>
      </c>
      <c r="N152" s="3172">
        <v>53.78</v>
      </c>
      <c r="O152" s="3173" t="s">
        <v>3317</v>
      </c>
    </row>
    <row r="153" spans="1:15" thickBot="1">
      <c r="A153" s="3188">
        <v>128</v>
      </c>
      <c r="B153" s="3170" t="s">
        <v>4674</v>
      </c>
      <c r="C153" s="3170" t="s">
        <v>3524</v>
      </c>
      <c r="D153" s="3170" t="s">
        <v>4675</v>
      </c>
      <c r="E153" s="3172">
        <v>209.66</v>
      </c>
      <c r="F153" s="3173" t="s">
        <v>3387</v>
      </c>
      <c r="J153" s="3188">
        <v>120</v>
      </c>
      <c r="K153" s="3170" t="s">
        <v>3792</v>
      </c>
      <c r="L153" s="3170" t="s">
        <v>3524</v>
      </c>
      <c r="M153" s="3170" t="s">
        <v>3793</v>
      </c>
      <c r="N153" s="3172">
        <v>23.66</v>
      </c>
      <c r="O153" s="3173" t="s">
        <v>3317</v>
      </c>
    </row>
    <row r="154" spans="1:15" thickBot="1">
      <c r="A154" s="3188">
        <v>129</v>
      </c>
      <c r="B154" s="3170" t="s">
        <v>4677</v>
      </c>
      <c r="C154" s="3170" t="s">
        <v>3524</v>
      </c>
      <c r="D154" s="3170" t="s">
        <v>4678</v>
      </c>
      <c r="E154" s="3172">
        <v>209.66</v>
      </c>
      <c r="F154" s="3173" t="s">
        <v>3387</v>
      </c>
      <c r="J154" s="3188">
        <v>121</v>
      </c>
      <c r="K154" s="3170" t="s">
        <v>3795</v>
      </c>
      <c r="L154" s="3170" t="s">
        <v>3524</v>
      </c>
      <c r="M154" s="3170" t="s">
        <v>3796</v>
      </c>
      <c r="N154" s="3172">
        <v>41.16</v>
      </c>
      <c r="O154" s="3173" t="s">
        <v>3317</v>
      </c>
    </row>
    <row r="155" spans="1:15" thickBot="1">
      <c r="A155" s="3188">
        <v>130</v>
      </c>
      <c r="B155" s="3170" t="s">
        <v>4680</v>
      </c>
      <c r="C155" s="3170" t="s">
        <v>3524</v>
      </c>
      <c r="D155" s="3170" t="s">
        <v>4681</v>
      </c>
      <c r="E155" s="3172">
        <v>209.66</v>
      </c>
      <c r="F155" s="3173" t="s">
        <v>3387</v>
      </c>
      <c r="J155" s="3188">
        <v>122</v>
      </c>
      <c r="K155" s="3170" t="s">
        <v>3798</v>
      </c>
      <c r="L155" s="3170" t="s">
        <v>3524</v>
      </c>
      <c r="M155" s="3170" t="s">
        <v>3799</v>
      </c>
      <c r="N155" s="3172">
        <v>56.71</v>
      </c>
      <c r="O155" s="3173" t="s">
        <v>3317</v>
      </c>
    </row>
    <row r="156" spans="1:15" thickBot="1">
      <c r="A156" s="3188">
        <v>131</v>
      </c>
      <c r="B156" s="3170" t="s">
        <v>4755</v>
      </c>
      <c r="C156" s="3170" t="s">
        <v>3524</v>
      </c>
      <c r="D156" s="3170" t="s">
        <v>4756</v>
      </c>
      <c r="E156" s="3172">
        <v>217.75</v>
      </c>
      <c r="F156" s="3173" t="s">
        <v>3387</v>
      </c>
      <c r="J156" s="3188">
        <v>123</v>
      </c>
      <c r="K156" s="3170" t="s">
        <v>3801</v>
      </c>
      <c r="L156" s="3170" t="s">
        <v>3524</v>
      </c>
      <c r="M156" s="3170" t="s">
        <v>3802</v>
      </c>
      <c r="N156" s="3172">
        <v>23.66</v>
      </c>
      <c r="O156" s="3173" t="s">
        <v>3317</v>
      </c>
    </row>
    <row r="157" spans="1:15" thickBot="1">
      <c r="E157">
        <f>SUM(E26:E156)</f>
        <v>27613.15000000002</v>
      </c>
      <c r="J157" s="3188">
        <v>124</v>
      </c>
      <c r="K157" s="3170" t="s">
        <v>3804</v>
      </c>
      <c r="L157" s="3170" t="s">
        <v>3524</v>
      </c>
      <c r="M157" s="3170" t="s">
        <v>3805</v>
      </c>
      <c r="N157" s="3172">
        <v>27.61</v>
      </c>
      <c r="O157" s="3173" t="s">
        <v>3317</v>
      </c>
    </row>
    <row r="158" spans="1:15" thickBot="1">
      <c r="J158" s="3188">
        <v>125</v>
      </c>
      <c r="K158" s="3170" t="s">
        <v>3807</v>
      </c>
      <c r="L158" s="3170" t="s">
        <v>3524</v>
      </c>
      <c r="M158" s="3170" t="s">
        <v>3808</v>
      </c>
      <c r="N158" s="3172">
        <v>19.149999999999999</v>
      </c>
      <c r="O158" s="3173" t="s">
        <v>3317</v>
      </c>
    </row>
    <row r="159" spans="1:15" thickBot="1">
      <c r="J159" s="3188">
        <v>126</v>
      </c>
      <c r="K159" s="3170" t="s">
        <v>3810</v>
      </c>
      <c r="L159" s="3170" t="s">
        <v>3524</v>
      </c>
      <c r="M159" s="3170" t="s">
        <v>3811</v>
      </c>
      <c r="N159" s="3172">
        <v>19.149999999999999</v>
      </c>
      <c r="O159" s="3173" t="s">
        <v>3317</v>
      </c>
    </row>
    <row r="160" spans="1:15" thickBot="1">
      <c r="J160" s="3188">
        <v>127</v>
      </c>
      <c r="K160" s="3170" t="s">
        <v>3813</v>
      </c>
      <c r="L160" s="3170" t="s">
        <v>3524</v>
      </c>
      <c r="M160" s="3170" t="s">
        <v>3814</v>
      </c>
      <c r="N160" s="3172">
        <v>27.61</v>
      </c>
      <c r="O160" s="3173" t="s">
        <v>3317</v>
      </c>
    </row>
    <row r="161" spans="10:15" thickBot="1">
      <c r="J161" s="3188">
        <v>128</v>
      </c>
      <c r="K161" s="3170" t="s">
        <v>3816</v>
      </c>
      <c r="L161" s="3170" t="s">
        <v>3524</v>
      </c>
      <c r="M161" s="3170" t="s">
        <v>3817</v>
      </c>
      <c r="N161" s="3172">
        <v>18.350000000000001</v>
      </c>
      <c r="O161" s="3173" t="s">
        <v>3317</v>
      </c>
    </row>
    <row r="162" spans="10:15" thickBot="1">
      <c r="J162" s="3188">
        <v>129</v>
      </c>
      <c r="K162" s="3170" t="s">
        <v>3819</v>
      </c>
      <c r="L162" s="3170" t="s">
        <v>3524</v>
      </c>
      <c r="M162" s="3170" t="s">
        <v>3820</v>
      </c>
      <c r="N162" s="3172">
        <v>12.41</v>
      </c>
      <c r="O162" s="3173" t="s">
        <v>3317</v>
      </c>
    </row>
    <row r="163" spans="10:15" thickBot="1">
      <c r="J163" s="3188">
        <v>130</v>
      </c>
      <c r="K163" s="3170" t="s">
        <v>3828</v>
      </c>
      <c r="L163" s="3170" t="s">
        <v>3524</v>
      </c>
      <c r="M163" s="3170" t="s">
        <v>3829</v>
      </c>
      <c r="N163" s="3172">
        <v>27.29</v>
      </c>
      <c r="O163" s="3173" t="s">
        <v>3317</v>
      </c>
    </row>
    <row r="164" spans="10:15" thickBot="1">
      <c r="J164" s="3188">
        <v>131</v>
      </c>
      <c r="K164" s="3170" t="s">
        <v>3831</v>
      </c>
      <c r="L164" s="3170" t="s">
        <v>3524</v>
      </c>
      <c r="M164" s="3170" t="s">
        <v>3832</v>
      </c>
      <c r="N164" s="3172">
        <v>22.37</v>
      </c>
      <c r="O164" s="3173" t="s">
        <v>3317</v>
      </c>
    </row>
    <row r="165" spans="10:15" thickBot="1">
      <c r="J165" s="3188">
        <v>132</v>
      </c>
      <c r="K165" s="3170" t="s">
        <v>3834</v>
      </c>
      <c r="L165" s="3170" t="s">
        <v>3524</v>
      </c>
      <c r="M165" s="3170" t="s">
        <v>3835</v>
      </c>
      <c r="N165" s="3172">
        <v>47.07</v>
      </c>
      <c r="O165" s="3173" t="s">
        <v>3317</v>
      </c>
    </row>
    <row r="166" spans="10:15" thickBot="1">
      <c r="J166" s="3188">
        <v>133</v>
      </c>
      <c r="K166" s="3170" t="s">
        <v>3837</v>
      </c>
      <c r="L166" s="3170" t="s">
        <v>3524</v>
      </c>
      <c r="M166" s="3170" t="s">
        <v>3838</v>
      </c>
      <c r="N166" s="3172">
        <v>48.7</v>
      </c>
      <c r="O166" s="3173" t="s">
        <v>3317</v>
      </c>
    </row>
    <row r="167" spans="10:15" thickBot="1">
      <c r="J167" s="3188">
        <v>134</v>
      </c>
      <c r="K167" s="3170" t="s">
        <v>3840</v>
      </c>
      <c r="L167" s="3170" t="s">
        <v>3524</v>
      </c>
      <c r="M167" s="3170" t="s">
        <v>3841</v>
      </c>
      <c r="N167" s="3172">
        <v>23.2</v>
      </c>
      <c r="O167" s="3173" t="s">
        <v>3317</v>
      </c>
    </row>
    <row r="168" spans="10:15" thickBot="1">
      <c r="J168" s="3188">
        <v>135</v>
      </c>
      <c r="K168" s="3170" t="s">
        <v>3843</v>
      </c>
      <c r="L168" s="3170" t="s">
        <v>3524</v>
      </c>
      <c r="M168" s="3170" t="s">
        <v>3844</v>
      </c>
      <c r="N168" s="3172">
        <v>23.2</v>
      </c>
      <c r="O168" s="3173" t="s">
        <v>3317</v>
      </c>
    </row>
    <row r="169" spans="10:15" thickBot="1">
      <c r="J169" s="3188">
        <v>136</v>
      </c>
      <c r="K169" s="3170" t="s">
        <v>3846</v>
      </c>
      <c r="L169" s="3170" t="s">
        <v>3524</v>
      </c>
      <c r="M169" s="3170" t="s">
        <v>3847</v>
      </c>
      <c r="N169" s="3172">
        <v>48.7</v>
      </c>
      <c r="O169" s="3173" t="s">
        <v>3317</v>
      </c>
    </row>
    <row r="170" spans="10:15" thickBot="1">
      <c r="J170" s="3188">
        <v>137</v>
      </c>
      <c r="K170" s="3170" t="s">
        <v>3849</v>
      </c>
      <c r="L170" s="3170" t="s">
        <v>3524</v>
      </c>
      <c r="M170" s="3170" t="s">
        <v>3850</v>
      </c>
      <c r="N170" s="3172">
        <v>47.1</v>
      </c>
      <c r="O170" s="3173" t="s">
        <v>3317</v>
      </c>
    </row>
    <row r="171" spans="10:15" thickBot="1">
      <c r="J171" s="3188">
        <v>138</v>
      </c>
      <c r="K171" s="3170" t="s">
        <v>3852</v>
      </c>
      <c r="L171" s="3170" t="s">
        <v>3524</v>
      </c>
      <c r="M171" s="3170" t="s">
        <v>3853</v>
      </c>
      <c r="N171" s="3172">
        <v>27.52</v>
      </c>
      <c r="O171" s="3173" t="s">
        <v>3317</v>
      </c>
    </row>
    <row r="172" spans="10:15" thickBot="1">
      <c r="J172" s="3188">
        <v>139</v>
      </c>
      <c r="K172" s="3170" t="s">
        <v>3855</v>
      </c>
      <c r="L172" s="3170" t="s">
        <v>3524</v>
      </c>
      <c r="M172" s="3170" t="s">
        <v>3856</v>
      </c>
      <c r="N172" s="3172">
        <v>16.940000000000001</v>
      </c>
      <c r="O172" s="3173" t="s">
        <v>3317</v>
      </c>
    </row>
    <row r="173" spans="10:15" thickBot="1">
      <c r="J173" s="3188">
        <v>140</v>
      </c>
      <c r="K173" s="3170" t="s">
        <v>3858</v>
      </c>
      <c r="L173" s="3170" t="s">
        <v>3524</v>
      </c>
      <c r="M173" s="3170" t="s">
        <v>3859</v>
      </c>
      <c r="N173" s="3172">
        <v>26.38</v>
      </c>
      <c r="O173" s="3173" t="s">
        <v>3317</v>
      </c>
    </row>
    <row r="174" spans="10:15" thickBot="1">
      <c r="J174" s="3188">
        <v>141</v>
      </c>
      <c r="K174" s="3170" t="s">
        <v>3861</v>
      </c>
      <c r="L174" s="3170" t="s">
        <v>3524</v>
      </c>
      <c r="M174" s="3170" t="s">
        <v>3862</v>
      </c>
      <c r="N174" s="3172">
        <v>19.690000000000001</v>
      </c>
      <c r="O174" s="3173" t="s">
        <v>3317</v>
      </c>
    </row>
    <row r="175" spans="10:15" thickBot="1">
      <c r="J175" s="3188">
        <v>142</v>
      </c>
      <c r="K175" s="3170" t="s">
        <v>3864</v>
      </c>
      <c r="L175" s="3170" t="s">
        <v>3524</v>
      </c>
      <c r="M175" s="3170" t="s">
        <v>3865</v>
      </c>
      <c r="N175" s="3172">
        <v>19.690000000000001</v>
      </c>
      <c r="O175" s="3173" t="s">
        <v>3317</v>
      </c>
    </row>
    <row r="176" spans="10:15" thickBot="1">
      <c r="J176" s="3188">
        <v>143</v>
      </c>
      <c r="K176" s="3170" t="s">
        <v>3867</v>
      </c>
      <c r="L176" s="3170" t="s">
        <v>3524</v>
      </c>
      <c r="M176" s="3170" t="s">
        <v>3868</v>
      </c>
      <c r="N176" s="3172">
        <v>16.45</v>
      </c>
      <c r="O176" s="3173" t="s">
        <v>3317</v>
      </c>
    </row>
    <row r="177" spans="10:15" thickBot="1">
      <c r="J177" s="3188">
        <v>144</v>
      </c>
      <c r="K177" s="3170" t="s">
        <v>3879</v>
      </c>
      <c r="L177" s="3170" t="s">
        <v>3524</v>
      </c>
      <c r="M177" s="3170" t="s">
        <v>3880</v>
      </c>
      <c r="N177" s="3172">
        <v>23.61</v>
      </c>
      <c r="O177" s="3173" t="s">
        <v>3317</v>
      </c>
    </row>
    <row r="178" spans="10:15" thickBot="1">
      <c r="J178" s="3188">
        <v>145</v>
      </c>
      <c r="K178" s="3170" t="s">
        <v>3882</v>
      </c>
      <c r="L178" s="3170" t="s">
        <v>3524</v>
      </c>
      <c r="M178" s="3170" t="s">
        <v>3883</v>
      </c>
      <c r="N178" s="3172">
        <v>56.59</v>
      </c>
      <c r="O178" s="3173" t="s">
        <v>3317</v>
      </c>
    </row>
    <row r="179" spans="10:15" thickBot="1">
      <c r="J179" s="3188">
        <v>146</v>
      </c>
      <c r="K179" s="3170" t="s">
        <v>3885</v>
      </c>
      <c r="L179" s="3170" t="s">
        <v>3524</v>
      </c>
      <c r="M179" s="3170" t="s">
        <v>3886</v>
      </c>
      <c r="N179" s="3172">
        <v>41.38</v>
      </c>
      <c r="O179" s="3173" t="s">
        <v>3317</v>
      </c>
    </row>
    <row r="180" spans="10:15" thickBot="1">
      <c r="J180" s="3188">
        <v>147</v>
      </c>
      <c r="K180" s="3170" t="s">
        <v>3888</v>
      </c>
      <c r="L180" s="3170" t="s">
        <v>3524</v>
      </c>
      <c r="M180" s="3170" t="s">
        <v>3889</v>
      </c>
      <c r="N180" s="3172">
        <v>41.38</v>
      </c>
      <c r="O180" s="3173" t="s">
        <v>3317</v>
      </c>
    </row>
    <row r="181" spans="10:15" thickBot="1">
      <c r="J181" s="3188">
        <v>148</v>
      </c>
      <c r="K181" s="3170" t="s">
        <v>3891</v>
      </c>
      <c r="L181" s="3170" t="s">
        <v>3524</v>
      </c>
      <c r="M181" s="3170" t="s">
        <v>3892</v>
      </c>
      <c r="N181" s="3172">
        <v>56.59</v>
      </c>
      <c r="O181" s="3173" t="s">
        <v>3317</v>
      </c>
    </row>
    <row r="182" spans="10:15" thickBot="1">
      <c r="J182" s="3188">
        <v>149</v>
      </c>
      <c r="K182" s="3170" t="s">
        <v>3894</v>
      </c>
      <c r="L182" s="3170" t="s">
        <v>3524</v>
      </c>
      <c r="M182" s="3170" t="s">
        <v>3895</v>
      </c>
      <c r="N182" s="3172">
        <v>23.61</v>
      </c>
      <c r="O182" s="3173" t="s">
        <v>3317</v>
      </c>
    </row>
    <row r="183" spans="10:15" thickBot="1">
      <c r="J183" s="3188">
        <v>150</v>
      </c>
      <c r="K183" s="3170" t="s">
        <v>3897</v>
      </c>
      <c r="L183" s="3170" t="s">
        <v>3524</v>
      </c>
      <c r="M183" s="3170" t="s">
        <v>3898</v>
      </c>
      <c r="N183" s="3172">
        <v>41.07</v>
      </c>
      <c r="O183" s="3173" t="s">
        <v>3317</v>
      </c>
    </row>
    <row r="184" spans="10:15" thickBot="1">
      <c r="J184" s="3188">
        <v>151</v>
      </c>
      <c r="K184" s="3170" t="s">
        <v>3900</v>
      </c>
      <c r="L184" s="3170" t="s">
        <v>3524</v>
      </c>
      <c r="M184" s="3170" t="s">
        <v>3901</v>
      </c>
      <c r="N184" s="3172">
        <v>56.59</v>
      </c>
      <c r="O184" s="3173" t="s">
        <v>3317</v>
      </c>
    </row>
    <row r="185" spans="10:15" thickBot="1">
      <c r="J185" s="3188">
        <v>152</v>
      </c>
      <c r="K185" s="3170" t="s">
        <v>3903</v>
      </c>
      <c r="L185" s="3170" t="s">
        <v>3524</v>
      </c>
      <c r="M185" s="3170" t="s">
        <v>3904</v>
      </c>
      <c r="N185" s="3172">
        <v>23.61</v>
      </c>
      <c r="O185" s="3173" t="s">
        <v>3317</v>
      </c>
    </row>
    <row r="186" spans="10:15" thickBot="1">
      <c r="J186" s="3188">
        <v>153</v>
      </c>
      <c r="K186" s="3170" t="s">
        <v>3906</v>
      </c>
      <c r="L186" s="3170" t="s">
        <v>3524</v>
      </c>
      <c r="M186" s="3170" t="s">
        <v>3907</v>
      </c>
      <c r="N186" s="3172">
        <v>27.55</v>
      </c>
      <c r="O186" s="3173" t="s">
        <v>3317</v>
      </c>
    </row>
    <row r="187" spans="10:15" thickBot="1">
      <c r="J187" s="3188">
        <v>154</v>
      </c>
      <c r="K187" s="3170" t="s">
        <v>3909</v>
      </c>
      <c r="L187" s="3170" t="s">
        <v>3524</v>
      </c>
      <c r="M187" s="3170" t="s">
        <v>3910</v>
      </c>
      <c r="N187" s="3172">
        <v>19.11</v>
      </c>
      <c r="O187" s="3173" t="s">
        <v>3317</v>
      </c>
    </row>
    <row r="188" spans="10:15" thickBot="1">
      <c r="J188" s="3188">
        <v>155</v>
      </c>
      <c r="K188" s="3170" t="s">
        <v>3912</v>
      </c>
      <c r="L188" s="3170" t="s">
        <v>3524</v>
      </c>
      <c r="M188" s="3170" t="s">
        <v>3913</v>
      </c>
      <c r="N188" s="3172">
        <v>27.74</v>
      </c>
      <c r="O188" s="3173" t="s">
        <v>3317</v>
      </c>
    </row>
    <row r="189" spans="10:15" thickBot="1">
      <c r="J189" s="3188">
        <v>156</v>
      </c>
      <c r="K189" s="3170" t="s">
        <v>3915</v>
      </c>
      <c r="L189" s="3170" t="s">
        <v>3524</v>
      </c>
      <c r="M189" s="3170" t="s">
        <v>3916</v>
      </c>
      <c r="N189" s="3172">
        <v>27.55</v>
      </c>
      <c r="O189" s="3173" t="s">
        <v>3317</v>
      </c>
    </row>
    <row r="190" spans="10:15" thickBot="1">
      <c r="J190" s="3188">
        <v>157</v>
      </c>
      <c r="K190" s="3170" t="s">
        <v>3918</v>
      </c>
      <c r="L190" s="3170" t="s">
        <v>3524</v>
      </c>
      <c r="M190" s="3170" t="s">
        <v>3919</v>
      </c>
      <c r="N190" s="3172">
        <v>19.75</v>
      </c>
      <c r="O190" s="3173" t="s">
        <v>3317</v>
      </c>
    </row>
    <row r="191" spans="10:15" thickBot="1">
      <c r="J191" s="3188">
        <v>158</v>
      </c>
      <c r="K191" s="3170" t="s">
        <v>3921</v>
      </c>
      <c r="L191" s="3170" t="s">
        <v>3524</v>
      </c>
      <c r="M191" s="3170" t="s">
        <v>3922</v>
      </c>
      <c r="N191" s="3172">
        <v>16.329999999999998</v>
      </c>
      <c r="O191" s="3173" t="s">
        <v>3317</v>
      </c>
    </row>
    <row r="192" spans="10:15" thickBot="1">
      <c r="J192" s="3188">
        <v>159</v>
      </c>
      <c r="K192" s="3170" t="s">
        <v>3924</v>
      </c>
      <c r="L192" s="3170" t="s">
        <v>3524</v>
      </c>
      <c r="M192" s="3170" t="s">
        <v>3925</v>
      </c>
      <c r="N192" s="3172">
        <v>12.38</v>
      </c>
      <c r="O192" s="3173" t="s">
        <v>3317</v>
      </c>
    </row>
    <row r="193" spans="10:15" thickBot="1">
      <c r="J193" s="3188">
        <v>160</v>
      </c>
      <c r="K193" s="3170" t="s">
        <v>3927</v>
      </c>
      <c r="L193" s="3170" t="s">
        <v>3524</v>
      </c>
      <c r="M193" s="3170" t="s">
        <v>3928</v>
      </c>
      <c r="N193" s="3172">
        <v>12.38</v>
      </c>
      <c r="O193" s="3173" t="s">
        <v>3317</v>
      </c>
    </row>
    <row r="194" spans="10:15" thickBot="1">
      <c r="J194" s="3188">
        <v>161</v>
      </c>
      <c r="K194" s="3170" t="s">
        <v>3958</v>
      </c>
      <c r="L194" s="3170" t="s">
        <v>3524</v>
      </c>
      <c r="M194" s="3170" t="s">
        <v>3959</v>
      </c>
      <c r="N194" s="3172">
        <v>30.99</v>
      </c>
      <c r="O194" s="3173" t="s">
        <v>3317</v>
      </c>
    </row>
    <row r="195" spans="10:15" thickBot="1">
      <c r="J195" s="3188">
        <v>162</v>
      </c>
      <c r="K195" s="3170" t="s">
        <v>3961</v>
      </c>
      <c r="L195" s="3170" t="s">
        <v>3524</v>
      </c>
      <c r="M195" s="3170" t="s">
        <v>3962</v>
      </c>
      <c r="N195" s="3172">
        <v>16.059999999999999</v>
      </c>
      <c r="O195" s="3173" t="s">
        <v>3317</v>
      </c>
    </row>
    <row r="196" spans="10:15" thickBot="1">
      <c r="J196" s="3188">
        <v>163</v>
      </c>
      <c r="K196" s="3170" t="s">
        <v>3964</v>
      </c>
      <c r="L196" s="3170" t="s">
        <v>3524</v>
      </c>
      <c r="M196" s="3170" t="s">
        <v>3965</v>
      </c>
      <c r="N196" s="3172">
        <v>46.49</v>
      </c>
      <c r="O196" s="3173" t="s">
        <v>3317</v>
      </c>
    </row>
    <row r="197" spans="10:15" thickBot="1">
      <c r="J197" s="3188">
        <v>164</v>
      </c>
      <c r="K197" s="3170" t="s">
        <v>3967</v>
      </c>
      <c r="L197" s="3170" t="s">
        <v>3524</v>
      </c>
      <c r="M197" s="3170" t="s">
        <v>3968</v>
      </c>
      <c r="N197" s="3172">
        <v>53.7</v>
      </c>
      <c r="O197" s="3173" t="s">
        <v>3317</v>
      </c>
    </row>
    <row r="198" spans="10:15" thickBot="1">
      <c r="J198" s="3188">
        <v>165</v>
      </c>
      <c r="K198" s="3170" t="s">
        <v>3970</v>
      </c>
      <c r="L198" s="3170" t="s">
        <v>3524</v>
      </c>
      <c r="M198" s="3170" t="s">
        <v>3971</v>
      </c>
      <c r="N198" s="3172">
        <v>23.63</v>
      </c>
      <c r="O198" s="3173" t="s">
        <v>3317</v>
      </c>
    </row>
    <row r="199" spans="10:15" thickBot="1">
      <c r="J199" s="3188">
        <v>166</v>
      </c>
      <c r="K199" s="3170" t="s">
        <v>3973</v>
      </c>
      <c r="L199" s="3170" t="s">
        <v>3524</v>
      </c>
      <c r="M199" s="3170" t="s">
        <v>3974</v>
      </c>
      <c r="N199" s="3172">
        <v>56.67</v>
      </c>
      <c r="O199" s="3173" t="s">
        <v>3317</v>
      </c>
    </row>
    <row r="200" spans="10:15" thickBot="1">
      <c r="J200" s="3188">
        <v>167</v>
      </c>
      <c r="K200" s="3170" t="s">
        <v>3976</v>
      </c>
      <c r="L200" s="3170" t="s">
        <v>3524</v>
      </c>
      <c r="M200" s="3170" t="s">
        <v>3977</v>
      </c>
      <c r="N200" s="3172">
        <v>41.1</v>
      </c>
      <c r="O200" s="3173" t="s">
        <v>3317</v>
      </c>
    </row>
    <row r="201" spans="10:15" thickBot="1">
      <c r="J201" s="3188">
        <v>168</v>
      </c>
      <c r="K201" s="3170" t="s">
        <v>3979</v>
      </c>
      <c r="L201" s="3170" t="s">
        <v>3524</v>
      </c>
      <c r="M201" s="3170" t="s">
        <v>3980</v>
      </c>
      <c r="N201" s="3172">
        <v>41.1</v>
      </c>
      <c r="O201" s="3173" t="s">
        <v>3317</v>
      </c>
    </row>
    <row r="202" spans="10:15" thickBot="1">
      <c r="J202" s="3188">
        <v>169</v>
      </c>
      <c r="K202" s="3170" t="s">
        <v>3982</v>
      </c>
      <c r="L202" s="3170" t="s">
        <v>3524</v>
      </c>
      <c r="M202" s="3170" t="s">
        <v>3983</v>
      </c>
      <c r="N202" s="3172">
        <v>56.67</v>
      </c>
      <c r="O202" s="3173" t="s">
        <v>3317</v>
      </c>
    </row>
    <row r="203" spans="10:15" thickBot="1">
      <c r="J203" s="3188">
        <v>170</v>
      </c>
      <c r="K203" s="3170" t="s">
        <v>3985</v>
      </c>
      <c r="L203" s="3170" t="s">
        <v>3524</v>
      </c>
      <c r="M203" s="3170" t="s">
        <v>3986</v>
      </c>
      <c r="N203" s="3172">
        <v>23.63</v>
      </c>
      <c r="O203" s="3173" t="s">
        <v>3317</v>
      </c>
    </row>
    <row r="204" spans="10:15" thickBot="1">
      <c r="J204" s="3188">
        <v>171</v>
      </c>
      <c r="K204" s="3170" t="s">
        <v>3988</v>
      </c>
      <c r="L204" s="3170" t="s">
        <v>3524</v>
      </c>
      <c r="M204" s="3170" t="s">
        <v>3989</v>
      </c>
      <c r="N204" s="3172">
        <v>49.6</v>
      </c>
      <c r="O204" s="3173" t="s">
        <v>3317</v>
      </c>
    </row>
    <row r="205" spans="10:15" thickBot="1">
      <c r="J205" s="3188">
        <v>172</v>
      </c>
      <c r="K205" s="3170" t="s">
        <v>3991</v>
      </c>
      <c r="L205" s="3170" t="s">
        <v>3524</v>
      </c>
      <c r="M205" s="3170" t="s">
        <v>3992</v>
      </c>
      <c r="N205" s="3172">
        <v>47.97</v>
      </c>
      <c r="O205" s="3173" t="s">
        <v>3317</v>
      </c>
    </row>
    <row r="206" spans="10:15" thickBot="1">
      <c r="J206" s="3188">
        <v>173</v>
      </c>
      <c r="K206" s="3170" t="s">
        <v>3994</v>
      </c>
      <c r="L206" s="3170" t="s">
        <v>3524</v>
      </c>
      <c r="M206" s="3170" t="s">
        <v>3995</v>
      </c>
      <c r="N206" s="3172">
        <v>22.61</v>
      </c>
      <c r="O206" s="3173" t="s">
        <v>3317</v>
      </c>
    </row>
    <row r="207" spans="10:15" thickBot="1">
      <c r="J207" s="3188">
        <v>174</v>
      </c>
      <c r="K207" s="3170" t="s">
        <v>3997</v>
      </c>
      <c r="L207" s="3170" t="s">
        <v>3524</v>
      </c>
      <c r="M207" s="3170" t="s">
        <v>3998</v>
      </c>
      <c r="N207" s="3172">
        <v>27.98</v>
      </c>
      <c r="O207" s="3173" t="s">
        <v>3317</v>
      </c>
    </row>
    <row r="208" spans="10:15" thickBot="1">
      <c r="J208" s="3188">
        <v>175</v>
      </c>
      <c r="K208" s="3170" t="s">
        <v>4000</v>
      </c>
      <c r="L208" s="3170" t="s">
        <v>3524</v>
      </c>
      <c r="M208" s="3170" t="s">
        <v>4001</v>
      </c>
      <c r="N208" s="3172">
        <v>27.57</v>
      </c>
      <c r="O208" s="3173" t="s">
        <v>3317</v>
      </c>
    </row>
    <row r="209" spans="10:15" thickBot="1">
      <c r="J209" s="3188">
        <v>176</v>
      </c>
      <c r="K209" s="3170" t="s">
        <v>4003</v>
      </c>
      <c r="L209" s="3170" t="s">
        <v>3524</v>
      </c>
      <c r="M209" s="3170" t="s">
        <v>4004</v>
      </c>
      <c r="N209" s="3172">
        <v>19.13</v>
      </c>
      <c r="O209" s="3173" t="s">
        <v>3317</v>
      </c>
    </row>
    <row r="210" spans="10:15" thickBot="1">
      <c r="J210" s="3188">
        <v>177</v>
      </c>
      <c r="K210" s="3170" t="s">
        <v>4006</v>
      </c>
      <c r="L210" s="3170" t="s">
        <v>3524</v>
      </c>
      <c r="M210" s="3170" t="s">
        <v>4007</v>
      </c>
      <c r="N210" s="3172">
        <v>19.13</v>
      </c>
      <c r="O210" s="3173" t="s">
        <v>3317</v>
      </c>
    </row>
    <row r="211" spans="10:15" thickBot="1">
      <c r="J211" s="3188">
        <v>178</v>
      </c>
      <c r="K211" s="3170" t="s">
        <v>4009</v>
      </c>
      <c r="L211" s="3170" t="s">
        <v>3524</v>
      </c>
      <c r="M211" s="3170" t="s">
        <v>4010</v>
      </c>
      <c r="N211" s="3172">
        <v>27.57</v>
      </c>
      <c r="O211" s="3173" t="s">
        <v>3317</v>
      </c>
    </row>
    <row r="212" spans="10:15" thickBot="1">
      <c r="J212" s="3188">
        <v>179</v>
      </c>
      <c r="K212" s="3170" t="s">
        <v>4012</v>
      </c>
      <c r="L212" s="3170" t="s">
        <v>3524</v>
      </c>
      <c r="M212" s="3170" t="s">
        <v>4013</v>
      </c>
      <c r="N212" s="3172">
        <v>18.329999999999998</v>
      </c>
      <c r="O212" s="3173" t="s">
        <v>3317</v>
      </c>
    </row>
    <row r="213" spans="10:15" thickBot="1">
      <c r="J213" s="3188">
        <v>180</v>
      </c>
      <c r="K213" s="3170" t="s">
        <v>4015</v>
      </c>
      <c r="L213" s="3170" t="s">
        <v>3524</v>
      </c>
      <c r="M213" s="3170" t="s">
        <v>4016</v>
      </c>
      <c r="N213" s="3172">
        <v>16.350000000000001</v>
      </c>
      <c r="O213" s="3173" t="s">
        <v>3317</v>
      </c>
    </row>
    <row r="214" spans="10:15" thickBot="1">
      <c r="J214" s="3188">
        <v>181</v>
      </c>
      <c r="K214" s="3170" t="s">
        <v>4018</v>
      </c>
      <c r="L214" s="3170" t="s">
        <v>3524</v>
      </c>
      <c r="M214" s="3170" t="s">
        <v>4019</v>
      </c>
      <c r="N214" s="3172">
        <v>17.02</v>
      </c>
      <c r="O214" s="3173" t="s">
        <v>3317</v>
      </c>
    </row>
    <row r="215" spans="10:15" thickBot="1">
      <c r="J215" s="3188">
        <v>182</v>
      </c>
      <c r="K215" s="3170" t="s">
        <v>4030</v>
      </c>
      <c r="L215" s="3170" t="s">
        <v>3524</v>
      </c>
      <c r="M215" s="3170" t="s">
        <v>4031</v>
      </c>
      <c r="N215" s="3172">
        <v>27.99</v>
      </c>
      <c r="O215" s="3173" t="s">
        <v>3317</v>
      </c>
    </row>
    <row r="216" spans="10:15" thickBot="1">
      <c r="J216" s="3188">
        <v>183</v>
      </c>
      <c r="K216" s="3170" t="s">
        <v>4033</v>
      </c>
      <c r="L216" s="3170" t="s">
        <v>3524</v>
      </c>
      <c r="M216" s="3170" t="s">
        <v>4034</v>
      </c>
      <c r="N216" s="3172">
        <v>22.8</v>
      </c>
      <c r="O216" s="3173" t="s">
        <v>3317</v>
      </c>
    </row>
    <row r="217" spans="10:15" thickBot="1">
      <c r="J217" s="3188">
        <v>184</v>
      </c>
      <c r="K217" s="3170" t="s">
        <v>4036</v>
      </c>
      <c r="L217" s="3170" t="s">
        <v>3524</v>
      </c>
      <c r="M217" s="3170" t="s">
        <v>4037</v>
      </c>
      <c r="N217" s="3172">
        <v>48</v>
      </c>
      <c r="O217" s="3173" t="s">
        <v>3317</v>
      </c>
    </row>
    <row r="218" spans="10:15" thickBot="1">
      <c r="J218" s="3188">
        <v>185</v>
      </c>
      <c r="K218" s="3170" t="s">
        <v>4039</v>
      </c>
      <c r="L218" s="3170" t="s">
        <v>3524</v>
      </c>
      <c r="M218" s="3170" t="s">
        <v>4040</v>
      </c>
      <c r="N218" s="3172">
        <v>49.63</v>
      </c>
      <c r="O218" s="3173" t="s">
        <v>3317</v>
      </c>
    </row>
    <row r="219" spans="10:15" thickBot="1">
      <c r="J219" s="3188">
        <v>186</v>
      </c>
      <c r="K219" s="3170" t="s">
        <v>4042</v>
      </c>
      <c r="L219" s="3170" t="s">
        <v>3524</v>
      </c>
      <c r="M219" s="3170" t="s">
        <v>4043</v>
      </c>
      <c r="N219" s="3172">
        <v>23.64</v>
      </c>
      <c r="O219" s="3173" t="s">
        <v>3317</v>
      </c>
    </row>
    <row r="220" spans="10:15" thickBot="1">
      <c r="J220" s="3188">
        <v>187</v>
      </c>
      <c r="K220" s="3170" t="s">
        <v>4045</v>
      </c>
      <c r="L220" s="3170" t="s">
        <v>3524</v>
      </c>
      <c r="M220" s="3170" t="s">
        <v>4046</v>
      </c>
      <c r="N220" s="3172">
        <v>56.69</v>
      </c>
      <c r="O220" s="3173" t="s">
        <v>3317</v>
      </c>
    </row>
    <row r="221" spans="10:15" thickBot="1">
      <c r="J221" s="3188">
        <v>188</v>
      </c>
      <c r="K221" s="3170" t="s">
        <v>4048</v>
      </c>
      <c r="L221" s="3170" t="s">
        <v>3524</v>
      </c>
      <c r="M221" s="3170" t="s">
        <v>4049</v>
      </c>
      <c r="N221" s="3172">
        <v>41.12</v>
      </c>
      <c r="O221" s="3173" t="s">
        <v>3317</v>
      </c>
    </row>
    <row r="222" spans="10:15" thickBot="1">
      <c r="J222" s="3188">
        <v>189</v>
      </c>
      <c r="K222" s="3170" t="s">
        <v>4051</v>
      </c>
      <c r="L222" s="3170" t="s">
        <v>3524</v>
      </c>
      <c r="M222" s="3170" t="s">
        <v>4052</v>
      </c>
      <c r="N222" s="3172">
        <v>41.12</v>
      </c>
      <c r="O222" s="3173" t="s">
        <v>3317</v>
      </c>
    </row>
    <row r="223" spans="10:15" thickBot="1">
      <c r="J223" s="3188">
        <v>190</v>
      </c>
      <c r="K223" s="3170" t="s">
        <v>4054</v>
      </c>
      <c r="L223" s="3170" t="s">
        <v>3524</v>
      </c>
      <c r="M223" s="3170" t="s">
        <v>4055</v>
      </c>
      <c r="N223" s="3172">
        <v>56.69</v>
      </c>
      <c r="O223" s="3173" t="s">
        <v>3317</v>
      </c>
    </row>
    <row r="224" spans="10:15" thickBot="1">
      <c r="J224" s="3188">
        <v>191</v>
      </c>
      <c r="K224" s="3170" t="s">
        <v>4057</v>
      </c>
      <c r="L224" s="3170" t="s">
        <v>3524</v>
      </c>
      <c r="M224" s="3170" t="s">
        <v>4058</v>
      </c>
      <c r="N224" s="3172">
        <v>19.13</v>
      </c>
      <c r="O224" s="3173" t="s">
        <v>3317</v>
      </c>
    </row>
    <row r="225" spans="10:15" thickBot="1">
      <c r="J225" s="3188">
        <v>192</v>
      </c>
      <c r="K225" s="3170" t="s">
        <v>4060</v>
      </c>
      <c r="L225" s="3170" t="s">
        <v>3524</v>
      </c>
      <c r="M225" s="3170" t="s">
        <v>4061</v>
      </c>
      <c r="N225" s="3172">
        <v>27.59</v>
      </c>
      <c r="O225" s="3173" t="s">
        <v>3317</v>
      </c>
    </row>
    <row r="226" spans="10:15" thickBot="1">
      <c r="J226" s="3188">
        <v>193</v>
      </c>
      <c r="K226" s="3170" t="s">
        <v>4063</v>
      </c>
      <c r="L226" s="3170" t="s">
        <v>3524</v>
      </c>
      <c r="M226" s="3170" t="s">
        <v>4064</v>
      </c>
      <c r="N226" s="3172">
        <v>16.350000000000001</v>
      </c>
      <c r="O226" s="3173" t="s">
        <v>3317</v>
      </c>
    </row>
    <row r="227" spans="10:15" thickBot="1">
      <c r="J227" s="3188">
        <v>194</v>
      </c>
      <c r="K227" s="3170" t="s">
        <v>4066</v>
      </c>
      <c r="L227" s="3170" t="s">
        <v>3524</v>
      </c>
      <c r="M227" s="3170" t="s">
        <v>4067</v>
      </c>
      <c r="N227" s="3172">
        <v>17.78</v>
      </c>
      <c r="O227" s="3173" t="s">
        <v>3317</v>
      </c>
    </row>
    <row r="228" spans="10:15" thickBot="1">
      <c r="J228" s="3188">
        <v>195</v>
      </c>
      <c r="K228" s="3170" t="s">
        <v>4072</v>
      </c>
      <c r="L228" s="3170" t="s">
        <v>3524</v>
      </c>
      <c r="M228" s="3170" t="s">
        <v>4073</v>
      </c>
      <c r="N228" s="3172">
        <v>41.52</v>
      </c>
      <c r="O228" s="3173" t="s">
        <v>3317</v>
      </c>
    </row>
    <row r="229" spans="10:15" thickBot="1">
      <c r="J229" s="3188">
        <v>196</v>
      </c>
      <c r="K229" s="3170" t="s">
        <v>4075</v>
      </c>
      <c r="L229" s="3170" t="s">
        <v>3524</v>
      </c>
      <c r="M229" s="3170" t="s">
        <v>4076</v>
      </c>
      <c r="N229" s="3172">
        <v>56.78</v>
      </c>
      <c r="O229" s="3173" t="s">
        <v>3317</v>
      </c>
    </row>
    <row r="230" spans="10:15" thickBot="1">
      <c r="J230" s="3188">
        <v>197</v>
      </c>
      <c r="K230" s="3170" t="s">
        <v>4078</v>
      </c>
      <c r="L230" s="3170" t="s">
        <v>3524</v>
      </c>
      <c r="M230" s="3170" t="s">
        <v>4079</v>
      </c>
      <c r="N230" s="3172">
        <v>23.7</v>
      </c>
      <c r="O230" s="3173" t="s">
        <v>3317</v>
      </c>
    </row>
    <row r="231" spans="10:15" thickBot="1">
      <c r="J231" s="3188">
        <v>198</v>
      </c>
      <c r="K231" s="3170" t="s">
        <v>4081</v>
      </c>
      <c r="L231" s="3170" t="s">
        <v>3524</v>
      </c>
      <c r="M231" s="3170" t="s">
        <v>4082</v>
      </c>
      <c r="N231" s="3172">
        <v>27.65</v>
      </c>
      <c r="O231" s="3173" t="s">
        <v>3317</v>
      </c>
    </row>
    <row r="232" spans="10:15" thickBot="1">
      <c r="J232" s="3188">
        <v>199</v>
      </c>
      <c r="K232" s="3170" t="s">
        <v>4084</v>
      </c>
      <c r="L232" s="3170" t="s">
        <v>3524</v>
      </c>
      <c r="M232" s="3170" t="s">
        <v>4085</v>
      </c>
      <c r="N232" s="3172">
        <v>19.18</v>
      </c>
      <c r="O232" s="3173" t="s">
        <v>3317</v>
      </c>
    </row>
    <row r="233" spans="10:15" thickBot="1">
      <c r="J233" s="3188">
        <v>200</v>
      </c>
      <c r="K233" s="3170" t="s">
        <v>4087</v>
      </c>
      <c r="L233" s="3170" t="s">
        <v>3524</v>
      </c>
      <c r="M233" s="3170" t="s">
        <v>4088</v>
      </c>
      <c r="N233" s="3172">
        <v>19.18</v>
      </c>
      <c r="O233" s="3173" t="s">
        <v>3317</v>
      </c>
    </row>
    <row r="234" spans="10:15" thickBot="1">
      <c r="J234" s="3188">
        <v>201</v>
      </c>
      <c r="K234" s="3170" t="s">
        <v>4090</v>
      </c>
      <c r="L234" s="3170" t="s">
        <v>3524</v>
      </c>
      <c r="M234" s="3170" t="s">
        <v>4091</v>
      </c>
      <c r="N234" s="3172">
        <v>27.65</v>
      </c>
      <c r="O234" s="3173" t="s">
        <v>3317</v>
      </c>
    </row>
    <row r="235" spans="10:15" thickBot="1">
      <c r="J235" s="3188">
        <v>202</v>
      </c>
      <c r="K235" s="3170" t="s">
        <v>4093</v>
      </c>
      <c r="L235" s="3170" t="s">
        <v>3524</v>
      </c>
      <c r="M235" s="3170" t="s">
        <v>4094</v>
      </c>
      <c r="N235" s="3172">
        <v>19.82</v>
      </c>
      <c r="O235" s="3173" t="s">
        <v>3317</v>
      </c>
    </row>
    <row r="236" spans="10:15" thickBot="1">
      <c r="J236" s="3188">
        <v>203</v>
      </c>
      <c r="K236" s="3170" t="s">
        <v>4096</v>
      </c>
      <c r="L236" s="3170" t="s">
        <v>3524</v>
      </c>
      <c r="M236" s="3170" t="s">
        <v>4097</v>
      </c>
      <c r="N236" s="3172">
        <v>19.82</v>
      </c>
      <c r="O236" s="3173" t="s">
        <v>3317</v>
      </c>
    </row>
    <row r="237" spans="10:15" thickBot="1">
      <c r="J237" s="3188">
        <v>204</v>
      </c>
      <c r="K237" s="3170" t="s">
        <v>4099</v>
      </c>
      <c r="L237" s="3170" t="s">
        <v>3524</v>
      </c>
      <c r="M237" s="3170" t="s">
        <v>4100</v>
      </c>
      <c r="N237" s="3172">
        <v>27.65</v>
      </c>
      <c r="O237" s="3173" t="s">
        <v>3317</v>
      </c>
    </row>
    <row r="238" spans="10:15" thickBot="1">
      <c r="J238" s="3188">
        <v>205</v>
      </c>
      <c r="K238" s="3170" t="s">
        <v>4102</v>
      </c>
      <c r="L238" s="3170" t="s">
        <v>3524</v>
      </c>
      <c r="M238" s="3170" t="s">
        <v>4103</v>
      </c>
      <c r="N238" s="3172">
        <v>12.43</v>
      </c>
      <c r="O238" s="3173" t="s">
        <v>3317</v>
      </c>
    </row>
    <row r="239" spans="10:15" thickBot="1">
      <c r="J239" s="3188">
        <v>206</v>
      </c>
      <c r="K239" s="3170" t="s">
        <v>4154</v>
      </c>
      <c r="L239" s="3170" t="s">
        <v>3524</v>
      </c>
      <c r="M239" s="3170" t="s">
        <v>4155</v>
      </c>
      <c r="N239" s="3172">
        <v>34.11</v>
      </c>
      <c r="O239" s="3173" t="s">
        <v>3317</v>
      </c>
    </row>
    <row r="240" spans="10:15" thickBot="1">
      <c r="J240" s="3188">
        <v>207</v>
      </c>
      <c r="K240" s="3170" t="s">
        <v>4157</v>
      </c>
      <c r="L240" s="3170" t="s">
        <v>3524</v>
      </c>
      <c r="M240" s="3170" t="s">
        <v>4158</v>
      </c>
      <c r="N240" s="3172">
        <v>62.51</v>
      </c>
      <c r="O240" s="3173" t="s">
        <v>3317</v>
      </c>
    </row>
    <row r="241" spans="10:15" thickBot="1">
      <c r="J241" s="3188">
        <v>208</v>
      </c>
      <c r="K241" s="3170" t="s">
        <v>4160</v>
      </c>
      <c r="L241" s="3170" t="s">
        <v>3524</v>
      </c>
      <c r="M241" s="3170" t="s">
        <v>4161</v>
      </c>
      <c r="N241" s="3172">
        <v>47.4</v>
      </c>
      <c r="O241" s="3173" t="s">
        <v>3317</v>
      </c>
    </row>
    <row r="242" spans="10:15" thickBot="1">
      <c r="J242" s="3188">
        <v>209</v>
      </c>
      <c r="K242" s="3170" t="s">
        <v>4163</v>
      </c>
      <c r="L242" s="3170" t="s">
        <v>3524</v>
      </c>
      <c r="M242" s="3170" t="s">
        <v>4164</v>
      </c>
      <c r="N242" s="3172">
        <v>47.4</v>
      </c>
      <c r="O242" s="3173" t="s">
        <v>3317</v>
      </c>
    </row>
    <row r="243" spans="10:15" thickBot="1">
      <c r="J243" s="3188">
        <v>210</v>
      </c>
      <c r="K243" s="3170" t="s">
        <v>4166</v>
      </c>
      <c r="L243" s="3170" t="s">
        <v>3524</v>
      </c>
      <c r="M243" s="3170" t="s">
        <v>4167</v>
      </c>
      <c r="N243" s="3172">
        <v>62.51</v>
      </c>
      <c r="O243" s="3173" t="s">
        <v>3317</v>
      </c>
    </row>
    <row r="244" spans="10:15" thickBot="1">
      <c r="J244" s="3188">
        <v>211</v>
      </c>
      <c r="K244" s="3170" t="s">
        <v>4169</v>
      </c>
      <c r="L244" s="3170" t="s">
        <v>3524</v>
      </c>
      <c r="M244" s="3170" t="s">
        <v>4170</v>
      </c>
      <c r="N244" s="3172">
        <v>34.11</v>
      </c>
      <c r="O244" s="3173" t="s">
        <v>3317</v>
      </c>
    </row>
    <row r="245" spans="10:15" thickBot="1">
      <c r="J245" s="3188">
        <v>212</v>
      </c>
      <c r="K245" s="3170" t="s">
        <v>4172</v>
      </c>
      <c r="L245" s="3170" t="s">
        <v>3524</v>
      </c>
      <c r="M245" s="3170" t="s">
        <v>4173</v>
      </c>
      <c r="N245" s="3172">
        <v>34.11</v>
      </c>
      <c r="O245" s="3173" t="s">
        <v>3317</v>
      </c>
    </row>
    <row r="246" spans="10:15" thickBot="1">
      <c r="J246" s="3188">
        <v>213</v>
      </c>
      <c r="K246" s="3170" t="s">
        <v>4175</v>
      </c>
      <c r="L246" s="3170" t="s">
        <v>3524</v>
      </c>
      <c r="M246" s="3170" t="s">
        <v>4176</v>
      </c>
      <c r="N246" s="3172">
        <v>62.51</v>
      </c>
      <c r="O246" s="3173" t="s">
        <v>3317</v>
      </c>
    </row>
    <row r="247" spans="10:15" thickBot="1">
      <c r="J247" s="3188">
        <v>214</v>
      </c>
      <c r="K247" s="3170" t="s">
        <v>4178</v>
      </c>
      <c r="L247" s="3170" t="s">
        <v>3524</v>
      </c>
      <c r="M247" s="3170" t="s">
        <v>4179</v>
      </c>
      <c r="N247" s="3172">
        <v>47.07</v>
      </c>
      <c r="O247" s="3173" t="s">
        <v>3317</v>
      </c>
    </row>
    <row r="248" spans="10:15" thickBot="1">
      <c r="J248" s="3188">
        <v>215</v>
      </c>
      <c r="K248" s="3170" t="s">
        <v>4181</v>
      </c>
      <c r="L248" s="3170" t="s">
        <v>3524</v>
      </c>
      <c r="M248" s="3170" t="s">
        <v>4182</v>
      </c>
      <c r="N248" s="3172">
        <v>47.07</v>
      </c>
      <c r="O248" s="3173" t="s">
        <v>3317</v>
      </c>
    </row>
    <row r="249" spans="10:15" thickBot="1">
      <c r="J249" s="3188">
        <v>216</v>
      </c>
      <c r="K249" s="3170" t="s">
        <v>4184</v>
      </c>
      <c r="L249" s="3170" t="s">
        <v>3524</v>
      </c>
      <c r="M249" s="3170" t="s">
        <v>4185</v>
      </c>
      <c r="N249" s="3172">
        <v>62.51</v>
      </c>
      <c r="O249" s="3173" t="s">
        <v>3317</v>
      </c>
    </row>
    <row r="250" spans="10:15" thickBot="1">
      <c r="J250" s="3188">
        <v>217</v>
      </c>
      <c r="K250" s="3170" t="s">
        <v>4187</v>
      </c>
      <c r="L250" s="3170" t="s">
        <v>3524</v>
      </c>
      <c r="M250" s="3170" t="s">
        <v>4188</v>
      </c>
      <c r="N250" s="3172">
        <v>34.11</v>
      </c>
      <c r="O250" s="3173" t="s">
        <v>3317</v>
      </c>
    </row>
    <row r="251" spans="10:15" thickBot="1">
      <c r="J251" s="3188">
        <v>218</v>
      </c>
      <c r="K251" s="3170" t="s">
        <v>4190</v>
      </c>
      <c r="L251" s="3170" t="s">
        <v>3524</v>
      </c>
      <c r="M251" s="3170" t="s">
        <v>4191</v>
      </c>
      <c r="N251" s="3172">
        <v>34.11</v>
      </c>
      <c r="O251" s="3173" t="s">
        <v>3317</v>
      </c>
    </row>
    <row r="252" spans="10:15" thickBot="1">
      <c r="J252" s="3188">
        <v>219</v>
      </c>
      <c r="K252" s="3170" t="s">
        <v>4193</v>
      </c>
      <c r="L252" s="3170" t="s">
        <v>3524</v>
      </c>
      <c r="M252" s="3170" t="s">
        <v>4194</v>
      </c>
      <c r="N252" s="3172">
        <v>62.51</v>
      </c>
      <c r="O252" s="3173" t="s">
        <v>3317</v>
      </c>
    </row>
    <row r="253" spans="10:15" thickBot="1">
      <c r="J253" s="3188">
        <v>220</v>
      </c>
      <c r="K253" s="3170" t="s">
        <v>4196</v>
      </c>
      <c r="L253" s="3170" t="s">
        <v>3524</v>
      </c>
      <c r="M253" s="3170" t="s">
        <v>4197</v>
      </c>
      <c r="N253" s="3172">
        <v>55.87</v>
      </c>
      <c r="O253" s="3173" t="s">
        <v>3317</v>
      </c>
    </row>
    <row r="254" spans="10:15" thickBot="1">
      <c r="J254" s="3188">
        <v>221</v>
      </c>
      <c r="K254" s="3170" t="s">
        <v>4199</v>
      </c>
      <c r="L254" s="3170" t="s">
        <v>3524</v>
      </c>
      <c r="M254" s="3170" t="s">
        <v>4200</v>
      </c>
      <c r="N254" s="3172">
        <v>28.64</v>
      </c>
      <c r="O254" s="3173" t="s">
        <v>3317</v>
      </c>
    </row>
    <row r="255" spans="10:15" thickBot="1">
      <c r="J255" s="3188">
        <v>222</v>
      </c>
      <c r="K255" s="3170" t="s">
        <v>4202</v>
      </c>
      <c r="L255" s="3170" t="s">
        <v>3524</v>
      </c>
      <c r="M255" s="3170" t="s">
        <v>4203</v>
      </c>
      <c r="N255" s="3172">
        <v>22.66</v>
      </c>
      <c r="O255" s="3173" t="s">
        <v>3317</v>
      </c>
    </row>
    <row r="256" spans="10:15" thickBot="1">
      <c r="J256" s="3188">
        <v>223</v>
      </c>
      <c r="K256" s="3170" t="s">
        <v>4205</v>
      </c>
      <c r="L256" s="3170" t="s">
        <v>3524</v>
      </c>
      <c r="M256" s="3170" t="s">
        <v>4206</v>
      </c>
      <c r="N256" s="3172">
        <v>28.54</v>
      </c>
      <c r="O256" s="3173" t="s">
        <v>3317</v>
      </c>
    </row>
    <row r="257" spans="10:15" thickBot="1">
      <c r="J257" s="3188">
        <v>224</v>
      </c>
      <c r="K257" s="3170" t="s">
        <v>4208</v>
      </c>
      <c r="L257" s="3170" t="s">
        <v>3524</v>
      </c>
      <c r="M257" s="3170" t="s">
        <v>4209</v>
      </c>
      <c r="N257" s="3172">
        <v>28.54</v>
      </c>
      <c r="O257" s="3173" t="s">
        <v>3317</v>
      </c>
    </row>
    <row r="258" spans="10:15" thickBot="1">
      <c r="J258" s="3188">
        <v>225</v>
      </c>
      <c r="K258" s="3170" t="s">
        <v>4211</v>
      </c>
      <c r="L258" s="3170" t="s">
        <v>3524</v>
      </c>
      <c r="M258" s="3170" t="s">
        <v>4212</v>
      </c>
      <c r="N258" s="3172">
        <v>43.21</v>
      </c>
      <c r="O258" s="3173" t="s">
        <v>3317</v>
      </c>
    </row>
    <row r="259" spans="10:15" thickBot="1">
      <c r="J259" s="3188">
        <v>226</v>
      </c>
      <c r="K259" s="3170" t="s">
        <v>4214</v>
      </c>
      <c r="L259" s="3170" t="s">
        <v>3524</v>
      </c>
      <c r="M259" s="3170" t="s">
        <v>4215</v>
      </c>
      <c r="N259" s="3172">
        <v>43.12</v>
      </c>
      <c r="O259" s="3173" t="s">
        <v>3317</v>
      </c>
    </row>
    <row r="260" spans="10:15" thickBot="1">
      <c r="J260" s="3188">
        <v>227</v>
      </c>
      <c r="K260" s="3170" t="s">
        <v>4217</v>
      </c>
      <c r="L260" s="3170" t="s">
        <v>3524</v>
      </c>
      <c r="M260" s="3170" t="s">
        <v>4218</v>
      </c>
      <c r="N260" s="3172">
        <v>19.97</v>
      </c>
      <c r="O260" s="3173" t="s">
        <v>3317</v>
      </c>
    </row>
    <row r="261" spans="10:15" thickBot="1">
      <c r="J261" s="3188">
        <v>228</v>
      </c>
      <c r="K261" s="3170" t="s">
        <v>4220</v>
      </c>
      <c r="L261" s="3170" t="s">
        <v>3524</v>
      </c>
      <c r="M261" s="3170" t="s">
        <v>4221</v>
      </c>
      <c r="N261" s="3172">
        <v>19.97</v>
      </c>
      <c r="O261" s="3173" t="s">
        <v>3317</v>
      </c>
    </row>
    <row r="262" spans="10:15" thickBot="1">
      <c r="J262" s="3188">
        <v>229</v>
      </c>
      <c r="K262" s="3170" t="s">
        <v>4223</v>
      </c>
      <c r="L262" s="3170" t="s">
        <v>3524</v>
      </c>
      <c r="M262" s="3170" t="s">
        <v>4224</v>
      </c>
      <c r="N262" s="3172">
        <v>19.97</v>
      </c>
      <c r="O262" s="3173" t="s">
        <v>3317</v>
      </c>
    </row>
    <row r="263" spans="10:15" thickBot="1">
      <c r="J263" s="3188">
        <v>230</v>
      </c>
      <c r="K263" s="3170" t="s">
        <v>4226</v>
      </c>
      <c r="L263" s="3170" t="s">
        <v>3524</v>
      </c>
      <c r="M263" s="3170" t="s">
        <v>4227</v>
      </c>
      <c r="N263" s="3172">
        <v>19.97</v>
      </c>
      <c r="O263" s="3173" t="s">
        <v>3317</v>
      </c>
    </row>
    <row r="264" spans="10:15" thickBot="1">
      <c r="J264" s="3188">
        <v>231</v>
      </c>
      <c r="K264" s="3170" t="s">
        <v>4229</v>
      </c>
      <c r="L264" s="3170" t="s">
        <v>3524</v>
      </c>
      <c r="M264" s="3170" t="s">
        <v>4230</v>
      </c>
      <c r="N264" s="3172">
        <v>19.97</v>
      </c>
      <c r="O264" s="3173" t="s">
        <v>3317</v>
      </c>
    </row>
    <row r="265" spans="10:15" thickBot="1">
      <c r="J265" s="3188">
        <v>232</v>
      </c>
      <c r="K265" s="3170" t="s">
        <v>4251</v>
      </c>
      <c r="L265" s="3170" t="s">
        <v>3524</v>
      </c>
      <c r="M265" s="3170" t="s">
        <v>4252</v>
      </c>
      <c r="N265" s="3172">
        <v>12.98</v>
      </c>
      <c r="O265" s="3173" t="s">
        <v>3317</v>
      </c>
    </row>
    <row r="266" spans="10:15" thickBot="1">
      <c r="J266" s="3188">
        <v>233</v>
      </c>
      <c r="K266" s="3170" t="s">
        <v>4254</v>
      </c>
      <c r="L266" s="3170" t="s">
        <v>3524</v>
      </c>
      <c r="M266" s="3170" t="s">
        <v>4255</v>
      </c>
      <c r="N266" s="3172">
        <v>38.93</v>
      </c>
      <c r="O266" s="3173" t="s">
        <v>3317</v>
      </c>
    </row>
    <row r="267" spans="10:15" thickBot="1">
      <c r="J267" s="3188">
        <v>234</v>
      </c>
      <c r="K267" s="3170" t="s">
        <v>4257</v>
      </c>
      <c r="L267" s="3170" t="s">
        <v>3524</v>
      </c>
      <c r="M267" s="3170" t="s">
        <v>4258</v>
      </c>
      <c r="N267" s="3172">
        <v>47.04</v>
      </c>
      <c r="O267" s="3173" t="s">
        <v>3317</v>
      </c>
    </row>
    <row r="268" spans="10:15" thickBot="1">
      <c r="J268" s="3188">
        <v>235</v>
      </c>
      <c r="K268" s="3170" t="s">
        <v>4260</v>
      </c>
      <c r="L268" s="3170" t="s">
        <v>3524</v>
      </c>
      <c r="M268" s="3170" t="s">
        <v>4261</v>
      </c>
      <c r="N268" s="3172">
        <v>62.16</v>
      </c>
      <c r="O268" s="3173" t="s">
        <v>3317</v>
      </c>
    </row>
    <row r="269" spans="10:15" thickBot="1">
      <c r="J269" s="3188">
        <v>236</v>
      </c>
      <c r="K269" s="3170" t="s">
        <v>4263</v>
      </c>
      <c r="L269" s="3170" t="s">
        <v>3524</v>
      </c>
      <c r="M269" s="3170" t="s">
        <v>4264</v>
      </c>
      <c r="N269" s="3172">
        <v>61.2</v>
      </c>
      <c r="O269" s="3173" t="s">
        <v>3317</v>
      </c>
    </row>
    <row r="270" spans="10:15" thickBot="1">
      <c r="J270" s="3188">
        <v>237</v>
      </c>
      <c r="K270" s="3170" t="s">
        <v>4266</v>
      </c>
      <c r="L270" s="3170" t="s">
        <v>3524</v>
      </c>
      <c r="M270" s="3170" t="s">
        <v>4267</v>
      </c>
      <c r="N270" s="3172">
        <v>61.2</v>
      </c>
      <c r="O270" s="3173" t="s">
        <v>3317</v>
      </c>
    </row>
    <row r="271" spans="10:15" thickBot="1">
      <c r="J271" s="3188">
        <v>238</v>
      </c>
      <c r="K271" s="3170" t="s">
        <v>4269</v>
      </c>
      <c r="L271" s="3170" t="s">
        <v>3524</v>
      </c>
      <c r="M271" s="3170" t="s">
        <v>4270</v>
      </c>
      <c r="N271" s="3172">
        <v>62.16</v>
      </c>
      <c r="O271" s="3173" t="s">
        <v>3317</v>
      </c>
    </row>
    <row r="272" spans="10:15" thickBot="1">
      <c r="J272" s="3188">
        <v>239</v>
      </c>
      <c r="K272" s="3170" t="s">
        <v>4272</v>
      </c>
      <c r="L272" s="3170" t="s">
        <v>3524</v>
      </c>
      <c r="M272" s="3170" t="s">
        <v>4273</v>
      </c>
      <c r="N272" s="3172">
        <v>47.04</v>
      </c>
      <c r="O272" s="3173" t="s">
        <v>3317</v>
      </c>
    </row>
    <row r="273" spans="10:15" thickBot="1">
      <c r="J273" s="3188">
        <v>240</v>
      </c>
      <c r="K273" s="3170" t="s">
        <v>4275</v>
      </c>
      <c r="L273" s="3170" t="s">
        <v>3524</v>
      </c>
      <c r="M273" s="3170" t="s">
        <v>4276</v>
      </c>
      <c r="N273" s="3172">
        <v>42.64</v>
      </c>
      <c r="O273" s="3173" t="s">
        <v>3317</v>
      </c>
    </row>
    <row r="274" spans="10:15" thickBot="1">
      <c r="J274" s="3188">
        <v>241</v>
      </c>
      <c r="K274" s="3170" t="s">
        <v>4278</v>
      </c>
      <c r="L274" s="3170" t="s">
        <v>3524</v>
      </c>
      <c r="M274" s="3170" t="s">
        <v>4279</v>
      </c>
      <c r="N274" s="3172">
        <v>42.64</v>
      </c>
      <c r="O274" s="3173" t="s">
        <v>3317</v>
      </c>
    </row>
    <row r="275" spans="10:15" thickBot="1">
      <c r="J275" s="3188">
        <v>242</v>
      </c>
      <c r="K275" s="3170" t="s">
        <v>4281</v>
      </c>
      <c r="L275" s="3170" t="s">
        <v>3524</v>
      </c>
      <c r="M275" s="3170" t="s">
        <v>4282</v>
      </c>
      <c r="N275" s="3172">
        <v>47.04</v>
      </c>
      <c r="O275" s="3173" t="s">
        <v>3317</v>
      </c>
    </row>
    <row r="276" spans="10:15" thickBot="1">
      <c r="J276" s="3188">
        <v>243</v>
      </c>
      <c r="K276" s="3170" t="s">
        <v>4284</v>
      </c>
      <c r="L276" s="3170" t="s">
        <v>3524</v>
      </c>
      <c r="M276" s="3170" t="s">
        <v>4285</v>
      </c>
      <c r="N276" s="3172">
        <v>62.16</v>
      </c>
      <c r="O276" s="3173" t="s">
        <v>3317</v>
      </c>
    </row>
    <row r="277" spans="10:15" thickBot="1">
      <c r="J277" s="3188">
        <v>244</v>
      </c>
      <c r="K277" s="3170" t="s">
        <v>4287</v>
      </c>
      <c r="L277" s="3170" t="s">
        <v>3524</v>
      </c>
      <c r="M277" s="3170" t="s">
        <v>4288</v>
      </c>
      <c r="N277" s="3172">
        <v>61.2</v>
      </c>
      <c r="O277" s="3173" t="s">
        <v>3317</v>
      </c>
    </row>
    <row r="278" spans="10:15" thickBot="1">
      <c r="J278" s="3188">
        <v>245</v>
      </c>
      <c r="K278" s="3170" t="s">
        <v>4290</v>
      </c>
      <c r="L278" s="3170" t="s">
        <v>3524</v>
      </c>
      <c r="M278" s="3170" t="s">
        <v>4291</v>
      </c>
      <c r="N278" s="3172">
        <v>61.2</v>
      </c>
      <c r="O278" s="3173" t="s">
        <v>3317</v>
      </c>
    </row>
    <row r="279" spans="10:15" thickBot="1">
      <c r="J279" s="3188">
        <v>246</v>
      </c>
      <c r="K279" s="3170" t="s">
        <v>4293</v>
      </c>
      <c r="L279" s="3170" t="s">
        <v>3524</v>
      </c>
      <c r="M279" s="3170" t="s">
        <v>4294</v>
      </c>
      <c r="N279" s="3172">
        <v>62.16</v>
      </c>
      <c r="O279" s="3173" t="s">
        <v>3317</v>
      </c>
    </row>
    <row r="280" spans="10:15" thickBot="1">
      <c r="J280" s="3188">
        <v>247</v>
      </c>
      <c r="K280" s="3170" t="s">
        <v>4296</v>
      </c>
      <c r="L280" s="3170" t="s">
        <v>3524</v>
      </c>
      <c r="M280" s="3170" t="s">
        <v>4297</v>
      </c>
      <c r="N280" s="3172">
        <v>47.04</v>
      </c>
      <c r="O280" s="3173" t="s">
        <v>3317</v>
      </c>
    </row>
    <row r="281" spans="10:15" thickBot="1">
      <c r="J281" s="3188">
        <v>248</v>
      </c>
      <c r="K281" s="3170" t="s">
        <v>4299</v>
      </c>
      <c r="L281" s="3170" t="s">
        <v>3524</v>
      </c>
      <c r="M281" s="3170" t="s">
        <v>4300</v>
      </c>
      <c r="N281" s="3172">
        <v>54.27</v>
      </c>
      <c r="O281" s="3173" t="s">
        <v>3317</v>
      </c>
    </row>
    <row r="282" spans="10:15" thickBot="1">
      <c r="J282" s="3188">
        <v>249</v>
      </c>
      <c r="K282" s="3170" t="s">
        <v>4302</v>
      </c>
      <c r="L282" s="3170" t="s">
        <v>3524</v>
      </c>
      <c r="M282" s="3170" t="s">
        <v>4303</v>
      </c>
      <c r="N282" s="3172">
        <v>15.1</v>
      </c>
      <c r="O282" s="3173" t="s">
        <v>3317</v>
      </c>
    </row>
    <row r="283" spans="10:15" thickBot="1">
      <c r="J283" s="3188">
        <v>250</v>
      </c>
      <c r="K283" s="3170" t="s">
        <v>4305</v>
      </c>
      <c r="L283" s="3170" t="s">
        <v>3524</v>
      </c>
      <c r="M283" s="3170" t="s">
        <v>4306</v>
      </c>
      <c r="N283" s="3172">
        <v>22.83</v>
      </c>
      <c r="O283" s="3173" t="s">
        <v>3317</v>
      </c>
    </row>
    <row r="284" spans="10:15" thickBot="1">
      <c r="J284" s="3188">
        <v>251</v>
      </c>
      <c r="K284" s="3170" t="s">
        <v>4308</v>
      </c>
      <c r="L284" s="3170" t="s">
        <v>3524</v>
      </c>
      <c r="M284" s="3170" t="s">
        <v>4309</v>
      </c>
      <c r="N284" s="3172">
        <v>22.83</v>
      </c>
      <c r="O284" s="3173" t="s">
        <v>3317</v>
      </c>
    </row>
    <row r="285" spans="10:15" thickBot="1">
      <c r="J285" s="3188">
        <v>252</v>
      </c>
      <c r="K285" s="3170" t="s">
        <v>4311</v>
      </c>
      <c r="L285" s="3170" t="s">
        <v>3524</v>
      </c>
      <c r="M285" s="3170" t="s">
        <v>4312</v>
      </c>
      <c r="N285" s="3172">
        <v>23.28</v>
      </c>
      <c r="O285" s="3173" t="s">
        <v>3317</v>
      </c>
    </row>
    <row r="286" spans="10:15" thickBot="1">
      <c r="J286" s="3188">
        <v>253</v>
      </c>
      <c r="K286" s="3170" t="s">
        <v>4314</v>
      </c>
      <c r="L286" s="3170" t="s">
        <v>3524</v>
      </c>
      <c r="M286" s="3170" t="s">
        <v>4315</v>
      </c>
      <c r="N286" s="3172">
        <v>23.49</v>
      </c>
      <c r="O286" s="3173" t="s">
        <v>3317</v>
      </c>
    </row>
    <row r="287" spans="10:15" thickBot="1">
      <c r="J287" s="3188">
        <v>254</v>
      </c>
      <c r="K287" s="3170" t="s">
        <v>4328</v>
      </c>
      <c r="L287" s="3170" t="s">
        <v>3524</v>
      </c>
      <c r="M287" s="3170" t="s">
        <v>4329</v>
      </c>
      <c r="N287" s="3172">
        <v>40.770000000000003</v>
      </c>
      <c r="O287" s="3173" t="s">
        <v>3317</v>
      </c>
    </row>
    <row r="288" spans="10:15" thickBot="1">
      <c r="J288" s="3188">
        <v>255</v>
      </c>
      <c r="K288" s="3170" t="s">
        <v>4331</v>
      </c>
      <c r="L288" s="3170" t="s">
        <v>3524</v>
      </c>
      <c r="M288" s="3170" t="s">
        <v>4332</v>
      </c>
      <c r="N288" s="3172">
        <v>55.75</v>
      </c>
      <c r="O288" s="3173" t="s">
        <v>3317</v>
      </c>
    </row>
    <row r="289" spans="10:15" thickBot="1">
      <c r="J289" s="3188">
        <v>256</v>
      </c>
      <c r="K289" s="3170" t="s">
        <v>4334</v>
      </c>
      <c r="L289" s="3170" t="s">
        <v>3524</v>
      </c>
      <c r="M289" s="3170" t="s">
        <v>4335</v>
      </c>
      <c r="N289" s="3172">
        <v>23.27</v>
      </c>
      <c r="O289" s="3173" t="s">
        <v>3317</v>
      </c>
    </row>
    <row r="290" spans="10:15" thickBot="1">
      <c r="J290" s="3188">
        <v>257</v>
      </c>
      <c r="K290" s="3170" t="s">
        <v>4337</v>
      </c>
      <c r="L290" s="3170" t="s">
        <v>3524</v>
      </c>
      <c r="M290" s="3170" t="s">
        <v>4338</v>
      </c>
      <c r="N290" s="3172">
        <v>40.47</v>
      </c>
      <c r="O290" s="3173" t="s">
        <v>3317</v>
      </c>
    </row>
    <row r="291" spans="10:15" thickBot="1">
      <c r="J291" s="3188">
        <v>258</v>
      </c>
      <c r="K291" s="3170" t="s">
        <v>4340</v>
      </c>
      <c r="L291" s="3170" t="s">
        <v>3524</v>
      </c>
      <c r="M291" s="3170" t="s">
        <v>4341</v>
      </c>
      <c r="N291" s="3172">
        <v>55.75</v>
      </c>
      <c r="O291" s="3173" t="s">
        <v>3317</v>
      </c>
    </row>
    <row r="292" spans="10:15" thickBot="1">
      <c r="J292" s="3188">
        <v>259</v>
      </c>
      <c r="K292" s="3170" t="s">
        <v>4343</v>
      </c>
      <c r="L292" s="3170" t="s">
        <v>3524</v>
      </c>
      <c r="M292" s="3170" t="s">
        <v>4344</v>
      </c>
      <c r="N292" s="3172">
        <v>23.27</v>
      </c>
      <c r="O292" s="3173" t="s">
        <v>3317</v>
      </c>
    </row>
    <row r="293" spans="10:15" thickBot="1">
      <c r="J293" s="3188">
        <v>260</v>
      </c>
      <c r="K293" s="3170" t="s">
        <v>4346</v>
      </c>
      <c r="L293" s="3170" t="s">
        <v>3524</v>
      </c>
      <c r="M293" s="3170" t="s">
        <v>4347</v>
      </c>
      <c r="N293" s="3172">
        <v>23.27</v>
      </c>
      <c r="O293" s="3173" t="s">
        <v>3317</v>
      </c>
    </row>
    <row r="294" spans="10:15" thickBot="1">
      <c r="J294" s="3188">
        <v>261</v>
      </c>
      <c r="K294" s="3170" t="s">
        <v>4349</v>
      </c>
      <c r="L294" s="3170" t="s">
        <v>3524</v>
      </c>
      <c r="M294" s="3170" t="s">
        <v>4350</v>
      </c>
      <c r="N294" s="3172">
        <v>52.87</v>
      </c>
      <c r="O294" s="3173" t="s">
        <v>3317</v>
      </c>
    </row>
    <row r="295" spans="10:15" thickBot="1">
      <c r="J295" s="3188">
        <v>262</v>
      </c>
      <c r="K295" s="3170" t="s">
        <v>4352</v>
      </c>
      <c r="L295" s="3170" t="s">
        <v>3524</v>
      </c>
      <c r="M295" s="3170" t="s">
        <v>4353</v>
      </c>
      <c r="N295" s="3172">
        <v>45.77</v>
      </c>
      <c r="O295" s="3173" t="s">
        <v>3317</v>
      </c>
    </row>
    <row r="296" spans="10:15" thickBot="1">
      <c r="J296" s="3188">
        <v>263</v>
      </c>
      <c r="K296" s="3170" t="s">
        <v>4355</v>
      </c>
      <c r="L296" s="3170" t="s">
        <v>3524</v>
      </c>
      <c r="M296" s="3170" t="s">
        <v>4356</v>
      </c>
      <c r="N296" s="3172">
        <v>16.02</v>
      </c>
      <c r="O296" s="3173" t="s">
        <v>3317</v>
      </c>
    </row>
    <row r="297" spans="10:15" thickBot="1">
      <c r="J297" s="3188">
        <v>264</v>
      </c>
      <c r="K297" s="3170" t="s">
        <v>4358</v>
      </c>
      <c r="L297" s="3170" t="s">
        <v>3524</v>
      </c>
      <c r="M297" s="3170" t="s">
        <v>4359</v>
      </c>
      <c r="N297" s="3172">
        <v>30.51</v>
      </c>
      <c r="O297" s="3173" t="s">
        <v>3317</v>
      </c>
    </row>
    <row r="298" spans="10:15" thickBot="1">
      <c r="J298" s="3188">
        <v>265</v>
      </c>
      <c r="K298" s="3170" t="s">
        <v>4361</v>
      </c>
      <c r="L298" s="3170" t="s">
        <v>3524</v>
      </c>
      <c r="M298" s="3170" t="s">
        <v>4362</v>
      </c>
      <c r="N298" s="3172">
        <v>15.06</v>
      </c>
      <c r="O298" s="3173" t="s">
        <v>3317</v>
      </c>
    </row>
    <row r="299" spans="10:15" thickBot="1">
      <c r="J299" s="3188">
        <v>266</v>
      </c>
      <c r="K299" s="3170" t="s">
        <v>4364</v>
      </c>
      <c r="L299" s="3170" t="s">
        <v>3524</v>
      </c>
      <c r="M299" s="3170" t="s">
        <v>4365</v>
      </c>
      <c r="N299" s="3172">
        <v>18.829999999999998</v>
      </c>
      <c r="O299" s="3173" t="s">
        <v>3317</v>
      </c>
    </row>
    <row r="300" spans="10:15" thickBot="1">
      <c r="J300" s="3188">
        <v>267</v>
      </c>
      <c r="K300" s="3170" t="s">
        <v>4367</v>
      </c>
      <c r="L300" s="3170" t="s">
        <v>3524</v>
      </c>
      <c r="M300" s="3170" t="s">
        <v>4368</v>
      </c>
      <c r="N300" s="3172">
        <v>15.06</v>
      </c>
      <c r="O300" s="3173" t="s">
        <v>3317</v>
      </c>
    </row>
    <row r="301" spans="10:15" thickBot="1">
      <c r="J301" s="3188">
        <v>268</v>
      </c>
      <c r="K301" s="3170" t="s">
        <v>4370</v>
      </c>
      <c r="L301" s="3170" t="s">
        <v>3524</v>
      </c>
      <c r="M301" s="3170" t="s">
        <v>4371</v>
      </c>
      <c r="N301" s="3172">
        <v>27.15</v>
      </c>
      <c r="O301" s="3173" t="s">
        <v>3317</v>
      </c>
    </row>
    <row r="302" spans="10:15" thickBot="1">
      <c r="J302" s="3188">
        <v>269</v>
      </c>
      <c r="K302" s="3170" t="s">
        <v>4373</v>
      </c>
      <c r="L302" s="3170" t="s">
        <v>3524</v>
      </c>
      <c r="M302" s="3170" t="s">
        <v>4374</v>
      </c>
      <c r="N302" s="3172">
        <v>19.46</v>
      </c>
      <c r="O302" s="3173" t="s">
        <v>3317</v>
      </c>
    </row>
    <row r="303" spans="10:15" thickBot="1">
      <c r="J303" s="3188">
        <v>270</v>
      </c>
      <c r="K303" s="3170" t="s">
        <v>4376</v>
      </c>
      <c r="L303" s="3170" t="s">
        <v>3524</v>
      </c>
      <c r="M303" s="3170" t="s">
        <v>4377</v>
      </c>
      <c r="N303" s="3172">
        <v>15.06</v>
      </c>
      <c r="O303" s="3173" t="s">
        <v>3317</v>
      </c>
    </row>
    <row r="304" spans="10:15" thickBot="1">
      <c r="J304" s="3188">
        <v>271</v>
      </c>
      <c r="K304" s="3170" t="s">
        <v>4379</v>
      </c>
      <c r="L304" s="3170" t="s">
        <v>3524</v>
      </c>
      <c r="M304" s="3170" t="s">
        <v>4380</v>
      </c>
      <c r="N304" s="3172">
        <v>16.489999999999998</v>
      </c>
      <c r="O304" s="3173" t="s">
        <v>3317</v>
      </c>
    </row>
    <row r="305" spans="10:15" thickBot="1">
      <c r="J305" s="3188">
        <v>272</v>
      </c>
      <c r="K305" s="3170" t="s">
        <v>4382</v>
      </c>
      <c r="L305" s="3170" t="s">
        <v>3524</v>
      </c>
      <c r="M305" s="3170" t="s">
        <v>4383</v>
      </c>
      <c r="N305" s="3172">
        <v>17.079999999999998</v>
      </c>
      <c r="O305" s="3173" t="s">
        <v>3317</v>
      </c>
    </row>
    <row r="306" spans="10:15" thickBot="1">
      <c r="J306" s="3188">
        <v>273</v>
      </c>
      <c r="K306" s="3170" t="s">
        <v>4385</v>
      </c>
      <c r="L306" s="3170" t="s">
        <v>3524</v>
      </c>
      <c r="M306" s="3170" t="s">
        <v>4386</v>
      </c>
      <c r="N306" s="3172">
        <v>19.05</v>
      </c>
      <c r="O306" s="3173" t="s">
        <v>3317</v>
      </c>
    </row>
    <row r="307" spans="10:15" thickBot="1">
      <c r="J307" s="3188">
        <v>274</v>
      </c>
      <c r="K307" s="3170" t="s">
        <v>4388</v>
      </c>
      <c r="L307" s="3170" t="s">
        <v>3524</v>
      </c>
      <c r="M307" s="3170" t="s">
        <v>4389</v>
      </c>
      <c r="N307" s="3172">
        <v>16.489999999999998</v>
      </c>
      <c r="O307" s="3173" t="s">
        <v>3317</v>
      </c>
    </row>
    <row r="308" spans="10:15" thickBot="1">
      <c r="J308" s="3188">
        <v>275</v>
      </c>
      <c r="K308" s="3170" t="s">
        <v>4401</v>
      </c>
      <c r="L308" s="3170" t="s">
        <v>3524</v>
      </c>
      <c r="M308" s="3170" t="s">
        <v>4402</v>
      </c>
      <c r="N308" s="3172">
        <v>61.41</v>
      </c>
      <c r="O308" s="3173" t="s">
        <v>3317</v>
      </c>
    </row>
    <row r="309" spans="10:15" thickBot="1">
      <c r="J309" s="3188">
        <v>276</v>
      </c>
      <c r="K309" s="3170" t="s">
        <v>4404</v>
      </c>
      <c r="L309" s="3170" t="s">
        <v>3524</v>
      </c>
      <c r="M309" s="3170" t="s">
        <v>4405</v>
      </c>
      <c r="N309" s="3172">
        <v>62.37</v>
      </c>
      <c r="O309" s="3173" t="s">
        <v>3317</v>
      </c>
    </row>
    <row r="310" spans="10:15" thickBot="1">
      <c r="J310" s="3188">
        <v>277</v>
      </c>
      <c r="K310" s="3170" t="s">
        <v>4407</v>
      </c>
      <c r="L310" s="3170" t="s">
        <v>3524</v>
      </c>
      <c r="M310" s="3170" t="s">
        <v>4408</v>
      </c>
      <c r="N310" s="3172">
        <v>47.2</v>
      </c>
      <c r="O310" s="3173" t="s">
        <v>3317</v>
      </c>
    </row>
    <row r="311" spans="10:15" thickBot="1">
      <c r="J311" s="3188">
        <v>278</v>
      </c>
      <c r="K311" s="3170" t="s">
        <v>4410</v>
      </c>
      <c r="L311" s="3170" t="s">
        <v>3524</v>
      </c>
      <c r="M311" s="3170" t="s">
        <v>4411</v>
      </c>
      <c r="N311" s="3172">
        <v>42.79</v>
      </c>
      <c r="O311" s="3173" t="s">
        <v>3317</v>
      </c>
    </row>
    <row r="312" spans="10:15" thickBot="1">
      <c r="J312" s="3188">
        <v>279</v>
      </c>
      <c r="K312" s="3170" t="s">
        <v>4413</v>
      </c>
      <c r="L312" s="3170" t="s">
        <v>3524</v>
      </c>
      <c r="M312" s="3170" t="s">
        <v>4414</v>
      </c>
      <c r="N312" s="3172">
        <v>42.79</v>
      </c>
      <c r="O312" s="3173" t="s">
        <v>3317</v>
      </c>
    </row>
    <row r="313" spans="10:15" thickBot="1">
      <c r="J313" s="3188">
        <v>280</v>
      </c>
      <c r="K313" s="3170" t="s">
        <v>4416</v>
      </c>
      <c r="L313" s="3170" t="s">
        <v>3524</v>
      </c>
      <c r="M313" s="3170" t="s">
        <v>4417</v>
      </c>
      <c r="N313" s="3172">
        <v>47.2</v>
      </c>
      <c r="O313" s="3173" t="s">
        <v>3317</v>
      </c>
    </row>
    <row r="314" spans="10:15" thickBot="1">
      <c r="J314" s="3188">
        <v>281</v>
      </c>
      <c r="K314" s="3170" t="s">
        <v>4419</v>
      </c>
      <c r="L314" s="3170" t="s">
        <v>3524</v>
      </c>
      <c r="M314" s="3170" t="s">
        <v>4420</v>
      </c>
      <c r="N314" s="3172">
        <v>62.37</v>
      </c>
      <c r="O314" s="3173" t="s">
        <v>3317</v>
      </c>
    </row>
    <row r="315" spans="10:15" thickBot="1">
      <c r="J315" s="3188">
        <v>282</v>
      </c>
      <c r="K315" s="3170" t="s">
        <v>4422</v>
      </c>
      <c r="L315" s="3170" t="s">
        <v>3524</v>
      </c>
      <c r="M315" s="3170" t="s">
        <v>4423</v>
      </c>
      <c r="N315" s="3172">
        <v>61.41</v>
      </c>
      <c r="O315" s="3173" t="s">
        <v>3317</v>
      </c>
    </row>
    <row r="316" spans="10:15" thickBot="1">
      <c r="J316" s="3188">
        <v>283</v>
      </c>
      <c r="K316" s="3170" t="s">
        <v>4425</v>
      </c>
      <c r="L316" s="3170" t="s">
        <v>3524</v>
      </c>
      <c r="M316" s="3170" t="s">
        <v>4426</v>
      </c>
      <c r="N316" s="3172">
        <v>14.88</v>
      </c>
      <c r="O316" s="3173" t="s">
        <v>3317</v>
      </c>
    </row>
    <row r="317" spans="10:15" thickBot="1">
      <c r="J317" s="3188">
        <v>284</v>
      </c>
      <c r="K317" s="3170" t="s">
        <v>4428</v>
      </c>
      <c r="L317" s="3170" t="s">
        <v>3524</v>
      </c>
      <c r="M317" s="3170" t="s">
        <v>4429</v>
      </c>
      <c r="N317" s="3172">
        <v>22.9</v>
      </c>
      <c r="O317" s="3173" t="s">
        <v>3317</v>
      </c>
    </row>
    <row r="318" spans="10:15" thickBot="1">
      <c r="J318" s="3188">
        <v>285</v>
      </c>
      <c r="K318" s="3170" t="s">
        <v>4431</v>
      </c>
      <c r="L318" s="3170" t="s">
        <v>3524</v>
      </c>
      <c r="M318" s="3170" t="s">
        <v>4432</v>
      </c>
      <c r="N318" s="3172">
        <v>22.9</v>
      </c>
      <c r="O318" s="3173" t="s">
        <v>3317</v>
      </c>
    </row>
    <row r="319" spans="10:15" thickBot="1">
      <c r="J319" s="3188">
        <v>286</v>
      </c>
      <c r="K319" s="3170" t="s">
        <v>4442</v>
      </c>
      <c r="L319" s="3170" t="s">
        <v>3524</v>
      </c>
      <c r="M319" s="3170" t="s">
        <v>4443</v>
      </c>
      <c r="N319" s="3172">
        <v>47.66</v>
      </c>
      <c r="O319" s="3173" t="s">
        <v>3317</v>
      </c>
    </row>
    <row r="320" spans="10:15" thickBot="1">
      <c r="J320" s="3188">
        <v>287</v>
      </c>
      <c r="K320" s="3170" t="s">
        <v>4445</v>
      </c>
      <c r="L320" s="3170" t="s">
        <v>3524</v>
      </c>
      <c r="M320" s="3170" t="s">
        <v>4446</v>
      </c>
      <c r="N320" s="3172">
        <v>63.3</v>
      </c>
      <c r="O320" s="3173" t="s">
        <v>3317</v>
      </c>
    </row>
    <row r="321" spans="10:15" thickBot="1">
      <c r="J321" s="3188">
        <v>288</v>
      </c>
      <c r="K321" s="3170" t="s">
        <v>4448</v>
      </c>
      <c r="L321" s="3170" t="s">
        <v>3524</v>
      </c>
      <c r="M321" s="3170" t="s">
        <v>4449</v>
      </c>
      <c r="N321" s="3172">
        <v>34.54</v>
      </c>
      <c r="O321" s="3173" t="s">
        <v>3317</v>
      </c>
    </row>
    <row r="322" spans="10:15" thickBot="1">
      <c r="J322" s="3188">
        <v>289</v>
      </c>
      <c r="K322" s="3170" t="s">
        <v>4451</v>
      </c>
      <c r="L322" s="3170" t="s">
        <v>3524</v>
      </c>
      <c r="M322" s="3170" t="s">
        <v>4452</v>
      </c>
      <c r="N322" s="3172">
        <v>17.670000000000002</v>
      </c>
      <c r="O322" s="3173" t="s">
        <v>3317</v>
      </c>
    </row>
    <row r="323" spans="10:15" thickBot="1">
      <c r="J323" s="3188">
        <v>290</v>
      </c>
      <c r="K323" s="3170" t="s">
        <v>4472</v>
      </c>
      <c r="L323" s="3170" t="s">
        <v>3524</v>
      </c>
      <c r="M323" s="3170" t="s">
        <v>4473</v>
      </c>
      <c r="N323" s="3172">
        <v>15.2</v>
      </c>
      <c r="O323" s="3173" t="s">
        <v>3317</v>
      </c>
    </row>
    <row r="324" spans="10:15" thickBot="1">
      <c r="J324" s="3188">
        <v>291</v>
      </c>
      <c r="K324" s="3170" t="s">
        <v>4475</v>
      </c>
      <c r="L324" s="3170" t="s">
        <v>3524</v>
      </c>
      <c r="M324" s="3170" t="s">
        <v>4476</v>
      </c>
      <c r="N324" s="3172">
        <v>54.63</v>
      </c>
      <c r="O324" s="3173" t="s">
        <v>3317</v>
      </c>
    </row>
    <row r="325" spans="10:15" thickBot="1">
      <c r="J325" s="3188">
        <v>292</v>
      </c>
      <c r="K325" s="3170" t="s">
        <v>4478</v>
      </c>
      <c r="L325" s="3170" t="s">
        <v>3524</v>
      </c>
      <c r="M325" s="3170" t="s">
        <v>4479</v>
      </c>
      <c r="N325" s="3172">
        <v>47.35</v>
      </c>
      <c r="O325" s="3173" t="s">
        <v>3317</v>
      </c>
    </row>
    <row r="326" spans="10:15" thickBot="1">
      <c r="J326" s="3188">
        <v>293</v>
      </c>
      <c r="K326" s="3170" t="s">
        <v>4481</v>
      </c>
      <c r="L326" s="3170" t="s">
        <v>3524</v>
      </c>
      <c r="M326" s="3170" t="s">
        <v>4482</v>
      </c>
      <c r="N326" s="3172">
        <v>62.58</v>
      </c>
      <c r="O326" s="3173" t="s">
        <v>3317</v>
      </c>
    </row>
    <row r="327" spans="10:15" thickBot="1">
      <c r="J327" s="3188">
        <v>294</v>
      </c>
      <c r="K327" s="3170" t="s">
        <v>4484</v>
      </c>
      <c r="L327" s="3170" t="s">
        <v>3524</v>
      </c>
      <c r="M327" s="3170" t="s">
        <v>4485</v>
      </c>
      <c r="N327" s="3172">
        <v>61.62</v>
      </c>
      <c r="O327" s="3173" t="s">
        <v>3317</v>
      </c>
    </row>
    <row r="328" spans="10:15" thickBot="1">
      <c r="J328" s="3188">
        <v>295</v>
      </c>
      <c r="K328" s="3170" t="s">
        <v>4487</v>
      </c>
      <c r="L328" s="3170" t="s">
        <v>3524</v>
      </c>
      <c r="M328" s="3170" t="s">
        <v>4488</v>
      </c>
      <c r="N328" s="3172">
        <v>61.62</v>
      </c>
      <c r="O328" s="3173" t="s">
        <v>3317</v>
      </c>
    </row>
    <row r="329" spans="10:15" thickBot="1">
      <c r="J329" s="3188">
        <v>296</v>
      </c>
      <c r="K329" s="3170" t="s">
        <v>4490</v>
      </c>
      <c r="L329" s="3170" t="s">
        <v>3524</v>
      </c>
      <c r="M329" s="3170" t="s">
        <v>4491</v>
      </c>
      <c r="N329" s="3172">
        <v>62.58</v>
      </c>
      <c r="O329" s="3173" t="s">
        <v>3317</v>
      </c>
    </row>
    <row r="330" spans="10:15" thickBot="1">
      <c r="J330" s="3188">
        <v>297</v>
      </c>
      <c r="K330" s="3170" t="s">
        <v>4493</v>
      </c>
      <c r="L330" s="3170" t="s">
        <v>3524</v>
      </c>
      <c r="M330" s="3170" t="s">
        <v>4494</v>
      </c>
      <c r="N330" s="3172">
        <v>47.35</v>
      </c>
      <c r="O330" s="3173" t="s">
        <v>3317</v>
      </c>
    </row>
    <row r="331" spans="10:15" thickBot="1">
      <c r="J331" s="3188">
        <v>298</v>
      </c>
      <c r="K331" s="3170" t="s">
        <v>4496</v>
      </c>
      <c r="L331" s="3170" t="s">
        <v>3524</v>
      </c>
      <c r="M331" s="3170" t="s">
        <v>4497</v>
      </c>
      <c r="N331" s="3172">
        <v>42.93</v>
      </c>
      <c r="O331" s="3173" t="s">
        <v>3317</v>
      </c>
    </row>
    <row r="332" spans="10:15" thickBot="1">
      <c r="J332" s="3188">
        <v>299</v>
      </c>
      <c r="K332" s="3170" t="s">
        <v>4499</v>
      </c>
      <c r="L332" s="3170" t="s">
        <v>3524</v>
      </c>
      <c r="M332" s="3170" t="s">
        <v>4500</v>
      </c>
      <c r="N332" s="3172">
        <v>14.93</v>
      </c>
      <c r="O332" s="3173" t="s">
        <v>3317</v>
      </c>
    </row>
    <row r="333" spans="10:15" thickBot="1">
      <c r="J333" s="3188">
        <v>300</v>
      </c>
      <c r="K333" s="3170" t="s">
        <v>4502</v>
      </c>
      <c r="L333" s="3170" t="s">
        <v>3524</v>
      </c>
      <c r="M333" s="3170" t="s">
        <v>4503</v>
      </c>
      <c r="N333" s="3172">
        <v>22.98</v>
      </c>
      <c r="O333" s="3173" t="s">
        <v>3317</v>
      </c>
    </row>
    <row r="334" spans="10:15" thickBot="1">
      <c r="J334" s="3188">
        <v>301</v>
      </c>
      <c r="K334" s="3170" t="s">
        <v>4505</v>
      </c>
      <c r="L334" s="3170" t="s">
        <v>3524</v>
      </c>
      <c r="M334" s="3170" t="s">
        <v>4506</v>
      </c>
      <c r="N334" s="3172">
        <v>22.98</v>
      </c>
      <c r="O334" s="3173" t="s">
        <v>3317</v>
      </c>
    </row>
    <row r="335" spans="10:15" thickBot="1">
      <c r="J335" s="3188">
        <v>302</v>
      </c>
      <c r="K335" s="3170" t="s">
        <v>4528</v>
      </c>
      <c r="L335" s="3170" t="s">
        <v>3524</v>
      </c>
      <c r="M335" s="3170" t="s">
        <v>4529</v>
      </c>
      <c r="N335" s="3172">
        <v>33.51</v>
      </c>
      <c r="O335" s="3173" t="s">
        <v>3317</v>
      </c>
    </row>
    <row r="336" spans="10:15" thickBot="1">
      <c r="J336" s="3188">
        <v>303</v>
      </c>
      <c r="K336" s="3170" t="s">
        <v>4531</v>
      </c>
      <c r="L336" s="3170" t="s">
        <v>3524</v>
      </c>
      <c r="M336" s="3170" t="s">
        <v>4532</v>
      </c>
      <c r="N336" s="3172">
        <v>61.41</v>
      </c>
      <c r="O336" s="3173" t="s">
        <v>3317</v>
      </c>
    </row>
    <row r="337" spans="10:15" thickBot="1">
      <c r="J337" s="3188">
        <v>304</v>
      </c>
      <c r="K337" s="3170" t="s">
        <v>4534</v>
      </c>
      <c r="L337" s="3170" t="s">
        <v>3524</v>
      </c>
      <c r="M337" s="3170" t="s">
        <v>4535</v>
      </c>
      <c r="N337" s="3172">
        <v>46.57</v>
      </c>
      <c r="O337" s="3173" t="s">
        <v>3317</v>
      </c>
    </row>
    <row r="338" spans="10:15" thickBot="1">
      <c r="J338" s="3188">
        <v>305</v>
      </c>
      <c r="K338" s="3170" t="s">
        <v>4537</v>
      </c>
      <c r="L338" s="3170" t="s">
        <v>3524</v>
      </c>
      <c r="M338" s="3170" t="s">
        <v>4538</v>
      </c>
      <c r="N338" s="3172">
        <v>46.57</v>
      </c>
      <c r="O338" s="3173" t="s">
        <v>3317</v>
      </c>
    </row>
    <row r="339" spans="10:15" thickBot="1">
      <c r="J339" s="3188">
        <v>306</v>
      </c>
      <c r="K339" s="3170" t="s">
        <v>4540</v>
      </c>
      <c r="L339" s="3170" t="s">
        <v>3524</v>
      </c>
      <c r="M339" s="3170" t="s">
        <v>4541</v>
      </c>
      <c r="N339" s="3172">
        <v>61.41</v>
      </c>
      <c r="O339" s="3173" t="s">
        <v>3317</v>
      </c>
    </row>
    <row r="340" spans="10:15" thickBot="1">
      <c r="J340" s="3188">
        <v>307</v>
      </c>
      <c r="K340" s="3170" t="s">
        <v>4543</v>
      </c>
      <c r="L340" s="3170" t="s">
        <v>3524</v>
      </c>
      <c r="M340" s="3170" t="s">
        <v>4544</v>
      </c>
      <c r="N340" s="3172">
        <v>33.51</v>
      </c>
      <c r="O340" s="3173" t="s">
        <v>3317</v>
      </c>
    </row>
    <row r="341" spans="10:15" thickBot="1">
      <c r="J341" s="3188">
        <v>308</v>
      </c>
      <c r="K341" s="3170" t="s">
        <v>4546</v>
      </c>
      <c r="L341" s="3170" t="s">
        <v>3524</v>
      </c>
      <c r="M341" s="3170" t="s">
        <v>4547</v>
      </c>
      <c r="N341" s="3172">
        <v>28.04</v>
      </c>
      <c r="O341" s="3173" t="s">
        <v>3317</v>
      </c>
    </row>
    <row r="342" spans="10:15" thickBot="1">
      <c r="J342" s="3188">
        <v>309</v>
      </c>
      <c r="K342" s="3170" t="s">
        <v>4549</v>
      </c>
      <c r="L342" s="3170" t="s">
        <v>3524</v>
      </c>
      <c r="M342" s="3170" t="s">
        <v>4550</v>
      </c>
      <c r="N342" s="3172">
        <v>42.46</v>
      </c>
      <c r="O342" s="3173" t="s">
        <v>3317</v>
      </c>
    </row>
    <row r="343" spans="10:15" thickBot="1">
      <c r="J343" s="3188">
        <v>310</v>
      </c>
      <c r="K343" s="3170" t="s">
        <v>4552</v>
      </c>
      <c r="L343" s="3170" t="s">
        <v>3524</v>
      </c>
      <c r="M343" s="3170" t="s">
        <v>4553</v>
      </c>
      <c r="N343" s="3172">
        <v>31.78</v>
      </c>
      <c r="O343" s="3173" t="s">
        <v>3317</v>
      </c>
    </row>
    <row r="344" spans="10:15" thickBot="1">
      <c r="J344" s="3188">
        <v>311</v>
      </c>
      <c r="K344" s="3170" t="s">
        <v>4555</v>
      </c>
      <c r="L344" s="3170" t="s">
        <v>3524</v>
      </c>
      <c r="M344" s="3170" t="s">
        <v>4556</v>
      </c>
      <c r="N344" s="3172">
        <v>30.25</v>
      </c>
      <c r="O344" s="3173" t="s">
        <v>3317</v>
      </c>
    </row>
    <row r="345" spans="10:15" thickBot="1">
      <c r="J345" s="3188">
        <v>312</v>
      </c>
      <c r="K345" s="3170" t="s">
        <v>4558</v>
      </c>
      <c r="L345" s="3170" t="s">
        <v>3524</v>
      </c>
      <c r="M345" s="3170" t="s">
        <v>4559</v>
      </c>
      <c r="N345" s="3172">
        <v>24.05</v>
      </c>
      <c r="O345" s="3173" t="s">
        <v>3317</v>
      </c>
    </row>
    <row r="346" spans="10:15" thickBot="1">
      <c r="J346" s="3188">
        <v>313</v>
      </c>
      <c r="K346" s="3170" t="s">
        <v>4561</v>
      </c>
      <c r="L346" s="3170" t="s">
        <v>3524</v>
      </c>
      <c r="M346" s="3170" t="s">
        <v>4562</v>
      </c>
      <c r="N346" s="3172">
        <v>24.05</v>
      </c>
      <c r="O346" s="3173" t="s">
        <v>3317</v>
      </c>
    </row>
    <row r="347" spans="10:15" thickBot="1">
      <c r="J347" s="3188">
        <v>314</v>
      </c>
      <c r="K347" s="3170" t="s">
        <v>4564</v>
      </c>
      <c r="L347" s="3170" t="s">
        <v>3524</v>
      </c>
      <c r="M347" s="3170" t="s">
        <v>4565</v>
      </c>
      <c r="N347" s="3172">
        <v>25.51</v>
      </c>
      <c r="O347" s="3173" t="s">
        <v>3317</v>
      </c>
    </row>
    <row r="348" spans="10:15" thickBot="1">
      <c r="J348" s="3188">
        <v>315</v>
      </c>
      <c r="K348" s="3170" t="s">
        <v>4567</v>
      </c>
      <c r="L348" s="3170" t="s">
        <v>3524</v>
      </c>
      <c r="M348" s="3170" t="s">
        <v>4568</v>
      </c>
      <c r="N348" s="3172">
        <v>25.51</v>
      </c>
      <c r="O348" s="3173" t="s">
        <v>3317</v>
      </c>
    </row>
    <row r="349" spans="10:15" thickBot="1">
      <c r="J349" s="3188">
        <v>316</v>
      </c>
      <c r="K349" s="3170" t="s">
        <v>4570</v>
      </c>
      <c r="L349" s="3170" t="s">
        <v>3524</v>
      </c>
      <c r="M349" s="3170" t="s">
        <v>4571</v>
      </c>
      <c r="N349" s="3172">
        <v>24.05</v>
      </c>
      <c r="O349" s="3173" t="s">
        <v>3317</v>
      </c>
    </row>
    <row r="350" spans="10:15" thickBot="1">
      <c r="J350" s="3188">
        <v>317</v>
      </c>
      <c r="K350" s="3170" t="s">
        <v>4573</v>
      </c>
      <c r="L350" s="3170" t="s">
        <v>3524</v>
      </c>
      <c r="M350" s="3170" t="s">
        <v>4574</v>
      </c>
      <c r="N350" s="3172">
        <v>31.71</v>
      </c>
      <c r="O350" s="3173" t="s">
        <v>3317</v>
      </c>
    </row>
    <row r="351" spans="10:15" thickBot="1">
      <c r="J351" s="3188">
        <v>318</v>
      </c>
      <c r="K351" s="3170" t="s">
        <v>4576</v>
      </c>
      <c r="L351" s="3170" t="s">
        <v>3524</v>
      </c>
      <c r="M351" s="3170" t="s">
        <v>4577</v>
      </c>
      <c r="N351" s="3172">
        <v>22.66</v>
      </c>
      <c r="O351" s="3173" t="s">
        <v>3317</v>
      </c>
    </row>
    <row r="352" spans="10:15" thickBot="1">
      <c r="J352" s="3188">
        <v>319</v>
      </c>
      <c r="K352" s="3170" t="s">
        <v>4579</v>
      </c>
      <c r="L352" s="3170" t="s">
        <v>3524</v>
      </c>
      <c r="M352" s="3170" t="s">
        <v>4580</v>
      </c>
      <c r="N352" s="3172">
        <v>22.66</v>
      </c>
      <c r="O352" s="3173" t="s">
        <v>3317</v>
      </c>
    </row>
    <row r="353" spans="10:15" thickBot="1">
      <c r="J353" s="3188">
        <v>320</v>
      </c>
      <c r="K353" s="3170" t="s">
        <v>4599</v>
      </c>
      <c r="L353" s="3170" t="s">
        <v>3524</v>
      </c>
      <c r="M353" s="3170" t="s">
        <v>4600</v>
      </c>
      <c r="N353" s="3172">
        <v>33.869999999999997</v>
      </c>
      <c r="O353" s="3173" t="s">
        <v>3317</v>
      </c>
    </row>
    <row r="354" spans="10:15" thickBot="1">
      <c r="J354" s="3188">
        <v>321</v>
      </c>
      <c r="K354" s="3170" t="s">
        <v>4602</v>
      </c>
      <c r="L354" s="3170" t="s">
        <v>3524</v>
      </c>
      <c r="M354" s="3170" t="s">
        <v>4603</v>
      </c>
      <c r="N354" s="3172">
        <v>62.07</v>
      </c>
      <c r="O354" s="3173" t="s">
        <v>3317</v>
      </c>
    </row>
    <row r="355" spans="10:15" thickBot="1">
      <c r="J355" s="3188">
        <v>322</v>
      </c>
      <c r="K355" s="3170" t="s">
        <v>4605</v>
      </c>
      <c r="L355" s="3170" t="s">
        <v>3524</v>
      </c>
      <c r="M355" s="3170" t="s">
        <v>4606</v>
      </c>
      <c r="N355" s="3172">
        <v>47.07</v>
      </c>
      <c r="O355" s="3173" t="s">
        <v>3317</v>
      </c>
    </row>
    <row r="356" spans="10:15" thickBot="1">
      <c r="J356" s="3188">
        <v>323</v>
      </c>
      <c r="K356" s="3170" t="s">
        <v>4608</v>
      </c>
      <c r="L356" s="3170" t="s">
        <v>3524</v>
      </c>
      <c r="M356" s="3170" t="s">
        <v>4609</v>
      </c>
      <c r="N356" s="3172">
        <v>47.07</v>
      </c>
      <c r="O356" s="3173" t="s">
        <v>3317</v>
      </c>
    </row>
    <row r="357" spans="10:15" thickBot="1">
      <c r="J357" s="3188">
        <v>324</v>
      </c>
      <c r="K357" s="3170" t="s">
        <v>4611</v>
      </c>
      <c r="L357" s="3170" t="s">
        <v>3524</v>
      </c>
      <c r="M357" s="3170" t="s">
        <v>4612</v>
      </c>
      <c r="N357" s="3172">
        <v>62.07</v>
      </c>
      <c r="O357" s="3173" t="s">
        <v>3317</v>
      </c>
    </row>
    <row r="358" spans="10:15" thickBot="1">
      <c r="J358" s="3188">
        <v>325</v>
      </c>
      <c r="K358" s="3170" t="s">
        <v>4614</v>
      </c>
      <c r="L358" s="3170" t="s">
        <v>3524</v>
      </c>
      <c r="M358" s="3170" t="s">
        <v>4615</v>
      </c>
      <c r="N358" s="3172">
        <v>33.869999999999997</v>
      </c>
      <c r="O358" s="3173" t="s">
        <v>3317</v>
      </c>
    </row>
    <row r="359" spans="10:15" thickBot="1">
      <c r="J359" s="3188">
        <v>326</v>
      </c>
      <c r="K359" s="3170" t="s">
        <v>4617</v>
      </c>
      <c r="L359" s="3170" t="s">
        <v>3524</v>
      </c>
      <c r="M359" s="3170" t="s">
        <v>4618</v>
      </c>
      <c r="N359" s="3172">
        <v>46.73</v>
      </c>
      <c r="O359" s="3173" t="s">
        <v>3317</v>
      </c>
    </row>
    <row r="360" spans="10:15" thickBot="1">
      <c r="J360" s="3188">
        <v>327</v>
      </c>
      <c r="K360" s="3170" t="s">
        <v>4620</v>
      </c>
      <c r="L360" s="3170" t="s">
        <v>3524</v>
      </c>
      <c r="M360" s="3170" t="s">
        <v>4621</v>
      </c>
      <c r="N360" s="3172">
        <v>62.07</v>
      </c>
      <c r="O360" s="3173" t="s">
        <v>3317</v>
      </c>
    </row>
    <row r="361" spans="10:15" thickBot="1">
      <c r="J361" s="3188">
        <v>328</v>
      </c>
      <c r="K361" s="3170" t="s">
        <v>4623</v>
      </c>
      <c r="L361" s="3170" t="s">
        <v>3524</v>
      </c>
      <c r="M361" s="3170" t="s">
        <v>4624</v>
      </c>
      <c r="N361" s="3172">
        <v>33.869999999999997</v>
      </c>
      <c r="O361" s="3173" t="s">
        <v>3317</v>
      </c>
    </row>
    <row r="362" spans="10:15" thickBot="1">
      <c r="J362" s="3188">
        <v>329</v>
      </c>
      <c r="K362" s="3170" t="s">
        <v>4626</v>
      </c>
      <c r="L362" s="3170" t="s">
        <v>3524</v>
      </c>
      <c r="M362" s="3170" t="s">
        <v>4627</v>
      </c>
      <c r="N362" s="3172">
        <v>33.869999999999997</v>
      </c>
      <c r="O362" s="3173" t="s">
        <v>3317</v>
      </c>
    </row>
    <row r="363" spans="10:15" thickBot="1">
      <c r="J363" s="3188">
        <v>330</v>
      </c>
      <c r="K363" s="3170" t="s">
        <v>4629</v>
      </c>
      <c r="L363" s="3170" t="s">
        <v>3524</v>
      </c>
      <c r="M363" s="3170" t="s">
        <v>4630</v>
      </c>
      <c r="N363" s="3172">
        <v>62.35</v>
      </c>
      <c r="O363" s="3173" t="s">
        <v>3317</v>
      </c>
    </row>
    <row r="364" spans="10:15" thickBot="1">
      <c r="J364" s="3188">
        <v>331</v>
      </c>
      <c r="K364" s="3170" t="s">
        <v>4632</v>
      </c>
      <c r="L364" s="3170" t="s">
        <v>3524</v>
      </c>
      <c r="M364" s="3170" t="s">
        <v>4633</v>
      </c>
      <c r="N364" s="3172">
        <v>56.69</v>
      </c>
      <c r="O364" s="3173" t="s">
        <v>3317</v>
      </c>
    </row>
    <row r="365" spans="10:15" thickBot="1">
      <c r="J365" s="3188">
        <v>332</v>
      </c>
      <c r="K365" s="3170" t="s">
        <v>4635</v>
      </c>
      <c r="L365" s="3170" t="s">
        <v>3524</v>
      </c>
      <c r="M365" s="3170" t="s">
        <v>4636</v>
      </c>
      <c r="N365" s="3172">
        <v>30.6</v>
      </c>
      <c r="O365" s="3173" t="s">
        <v>3317</v>
      </c>
    </row>
    <row r="366" spans="10:15" thickBot="1">
      <c r="J366" s="3188">
        <v>333</v>
      </c>
      <c r="K366" s="3170" t="s">
        <v>4638</v>
      </c>
      <c r="L366" s="3170" t="s">
        <v>3524</v>
      </c>
      <c r="M366" s="3170" t="s">
        <v>4639</v>
      </c>
      <c r="N366" s="3172">
        <v>25.04</v>
      </c>
      <c r="O366" s="3173" t="s">
        <v>3317</v>
      </c>
    </row>
    <row r="367" spans="10:15" thickBot="1">
      <c r="J367" s="3188">
        <v>334</v>
      </c>
      <c r="K367" s="3170" t="s">
        <v>4641</v>
      </c>
      <c r="L367" s="3170" t="s">
        <v>3524</v>
      </c>
      <c r="M367" s="3170" t="s">
        <v>4642</v>
      </c>
      <c r="N367" s="3172">
        <v>28.34</v>
      </c>
      <c r="O367" s="3173" t="s">
        <v>3317</v>
      </c>
    </row>
    <row r="368" spans="10:15" thickBot="1">
      <c r="J368" s="3188">
        <v>335</v>
      </c>
      <c r="K368" s="3170" t="s">
        <v>4644</v>
      </c>
      <c r="L368" s="3170" t="s">
        <v>3524</v>
      </c>
      <c r="M368" s="3170" t="s">
        <v>4645</v>
      </c>
      <c r="N368" s="3172">
        <v>28.34</v>
      </c>
      <c r="O368" s="3173" t="s">
        <v>3317</v>
      </c>
    </row>
    <row r="369" spans="10:15" thickBot="1">
      <c r="J369" s="3188">
        <v>336</v>
      </c>
      <c r="K369" s="3170" t="s">
        <v>4647</v>
      </c>
      <c r="L369" s="3170" t="s">
        <v>3524</v>
      </c>
      <c r="M369" s="3170" t="s">
        <v>4648</v>
      </c>
      <c r="N369" s="3172">
        <v>22.15</v>
      </c>
      <c r="O369" s="3173" t="s">
        <v>3317</v>
      </c>
    </row>
    <row r="370" spans="10:15" thickBot="1">
      <c r="J370" s="3188">
        <v>337</v>
      </c>
      <c r="K370" s="3170" t="s">
        <v>4650</v>
      </c>
      <c r="L370" s="3170" t="s">
        <v>3524</v>
      </c>
      <c r="M370" s="3170" t="s">
        <v>4651</v>
      </c>
      <c r="N370" s="3172">
        <v>42.9</v>
      </c>
      <c r="O370" s="3173" t="s">
        <v>3317</v>
      </c>
    </row>
    <row r="371" spans="10:15" thickBot="1">
      <c r="J371" s="3188">
        <v>338</v>
      </c>
      <c r="K371" s="3170" t="s">
        <v>4653</v>
      </c>
      <c r="L371" s="3170" t="s">
        <v>3524</v>
      </c>
      <c r="M371" s="3170" t="s">
        <v>4654</v>
      </c>
      <c r="N371" s="3172">
        <v>42.8</v>
      </c>
      <c r="O371" s="3173" t="s">
        <v>3317</v>
      </c>
    </row>
    <row r="372" spans="10:15" thickBot="1">
      <c r="J372" s="3188">
        <v>339</v>
      </c>
      <c r="K372" s="3170" t="s">
        <v>4656</v>
      </c>
      <c r="L372" s="3170" t="s">
        <v>3524</v>
      </c>
      <c r="M372" s="3170" t="s">
        <v>4657</v>
      </c>
      <c r="N372" s="3172">
        <v>19.829999999999998</v>
      </c>
      <c r="O372" s="3173" t="s">
        <v>3317</v>
      </c>
    </row>
    <row r="373" spans="10:15" thickBot="1">
      <c r="J373" s="3188">
        <v>340</v>
      </c>
      <c r="K373" s="3170" t="s">
        <v>4659</v>
      </c>
      <c r="L373" s="3170" t="s">
        <v>3524</v>
      </c>
      <c r="M373" s="3170" t="s">
        <v>4660</v>
      </c>
      <c r="N373" s="3172">
        <v>19.829999999999998</v>
      </c>
      <c r="O373" s="3173" t="s">
        <v>3317</v>
      </c>
    </row>
    <row r="374" spans="10:15" thickBot="1">
      <c r="J374" s="3188">
        <v>341</v>
      </c>
      <c r="K374" s="3170" t="s">
        <v>4662</v>
      </c>
      <c r="L374" s="3170" t="s">
        <v>3524</v>
      </c>
      <c r="M374" s="3170" t="s">
        <v>4663</v>
      </c>
      <c r="N374" s="3172">
        <v>19.829999999999998</v>
      </c>
      <c r="O374" s="3173" t="s">
        <v>3317</v>
      </c>
    </row>
    <row r="375" spans="10:15" thickBot="1">
      <c r="J375" s="3188">
        <v>342</v>
      </c>
      <c r="K375" s="3170" t="s">
        <v>4665</v>
      </c>
      <c r="L375" s="3170" t="s">
        <v>3524</v>
      </c>
      <c r="M375" s="3170" t="s">
        <v>4666</v>
      </c>
      <c r="N375" s="3172">
        <v>19.829999999999998</v>
      </c>
      <c r="O375" s="3173" t="s">
        <v>3317</v>
      </c>
    </row>
    <row r="376" spans="10:15" thickBot="1">
      <c r="J376" s="3188">
        <v>343</v>
      </c>
      <c r="K376" s="3170" t="s">
        <v>4668</v>
      </c>
      <c r="L376" s="3170" t="s">
        <v>3524</v>
      </c>
      <c r="M376" s="3170" t="s">
        <v>4669</v>
      </c>
      <c r="N376" s="3172">
        <v>23.64</v>
      </c>
      <c r="O376" s="3173" t="s">
        <v>3317</v>
      </c>
    </row>
    <row r="377" spans="10:15" thickBot="1">
      <c r="J377" s="3188">
        <v>344</v>
      </c>
      <c r="K377" s="3170" t="s">
        <v>4683</v>
      </c>
      <c r="L377" s="3170" t="s">
        <v>3524</v>
      </c>
      <c r="M377" s="3170" t="s">
        <v>4684</v>
      </c>
      <c r="N377" s="3172">
        <v>24.31</v>
      </c>
      <c r="O377" s="3173" t="s">
        <v>3317</v>
      </c>
    </row>
    <row r="378" spans="10:15" thickBot="1">
      <c r="J378" s="3188">
        <v>345</v>
      </c>
      <c r="K378" s="3170" t="s">
        <v>4686</v>
      </c>
      <c r="L378" s="3170" t="s">
        <v>3524</v>
      </c>
      <c r="M378" s="3170" t="s">
        <v>4687</v>
      </c>
      <c r="N378" s="3172">
        <v>30.33</v>
      </c>
      <c r="O378" s="3173" t="s">
        <v>3317</v>
      </c>
    </row>
    <row r="379" spans="10:15" thickBot="1">
      <c r="J379" s="3188">
        <v>346</v>
      </c>
      <c r="K379" s="3170" t="s">
        <v>4689</v>
      </c>
      <c r="L379" s="3170" t="s">
        <v>3524</v>
      </c>
      <c r="M379" s="3170" t="s">
        <v>4690</v>
      </c>
      <c r="N379" s="3172">
        <v>56.2</v>
      </c>
      <c r="O379" s="3173" t="s">
        <v>3317</v>
      </c>
    </row>
    <row r="380" spans="10:15" thickBot="1">
      <c r="J380" s="3188">
        <v>347</v>
      </c>
      <c r="K380" s="3170" t="s">
        <v>4692</v>
      </c>
      <c r="L380" s="3170" t="s">
        <v>3524</v>
      </c>
      <c r="M380" s="3170" t="s">
        <v>4693</v>
      </c>
      <c r="N380" s="3172">
        <v>61.81</v>
      </c>
      <c r="O380" s="3173" t="s">
        <v>3317</v>
      </c>
    </row>
    <row r="381" spans="10:15" thickBot="1">
      <c r="J381" s="3188">
        <v>348</v>
      </c>
      <c r="K381" s="3170" t="s">
        <v>4695</v>
      </c>
      <c r="L381" s="3170" t="s">
        <v>3524</v>
      </c>
      <c r="M381" s="3170" t="s">
        <v>4696</v>
      </c>
      <c r="N381" s="3172">
        <v>33.22</v>
      </c>
      <c r="O381" s="3173" t="s">
        <v>3317</v>
      </c>
    </row>
    <row r="382" spans="10:15" thickBot="1">
      <c r="J382" s="3188">
        <v>349</v>
      </c>
      <c r="K382" s="3170" t="s">
        <v>4698</v>
      </c>
      <c r="L382" s="3170" t="s">
        <v>3524</v>
      </c>
      <c r="M382" s="3170" t="s">
        <v>4699</v>
      </c>
      <c r="N382" s="3172">
        <v>33.22</v>
      </c>
      <c r="O382" s="3173" t="s">
        <v>3317</v>
      </c>
    </row>
    <row r="383" spans="10:15" thickBot="1">
      <c r="J383" s="3188">
        <v>350</v>
      </c>
      <c r="K383" s="3170" t="s">
        <v>4701</v>
      </c>
      <c r="L383" s="3170" t="s">
        <v>3524</v>
      </c>
      <c r="M383" s="3170" t="s">
        <v>4702</v>
      </c>
      <c r="N383" s="3172">
        <v>61.53</v>
      </c>
      <c r="O383" s="3173" t="s">
        <v>3317</v>
      </c>
    </row>
    <row r="384" spans="10:15" thickBot="1">
      <c r="J384" s="3188">
        <v>351</v>
      </c>
      <c r="K384" s="3170" t="s">
        <v>4704</v>
      </c>
      <c r="L384" s="3170" t="s">
        <v>3524</v>
      </c>
      <c r="M384" s="3170" t="s">
        <v>4705</v>
      </c>
      <c r="N384" s="3172">
        <v>46.65</v>
      </c>
      <c r="O384" s="3173" t="s">
        <v>3317</v>
      </c>
    </row>
    <row r="385" spans="10:15" thickBot="1">
      <c r="J385" s="3188">
        <v>352</v>
      </c>
      <c r="K385" s="3170" t="s">
        <v>4707</v>
      </c>
      <c r="L385" s="3170" t="s">
        <v>3524</v>
      </c>
      <c r="M385" s="3170" t="s">
        <v>4708</v>
      </c>
      <c r="N385" s="3172">
        <v>46.65</v>
      </c>
      <c r="O385" s="3173" t="s">
        <v>3317</v>
      </c>
    </row>
    <row r="386" spans="10:15" thickBot="1">
      <c r="J386" s="3188">
        <v>353</v>
      </c>
      <c r="K386" s="3170" t="s">
        <v>4710</v>
      </c>
      <c r="L386" s="3170" t="s">
        <v>3524</v>
      </c>
      <c r="M386" s="3170" t="s">
        <v>4711</v>
      </c>
      <c r="N386" s="3172">
        <v>61.53</v>
      </c>
      <c r="O386" s="3173" t="s">
        <v>3317</v>
      </c>
    </row>
    <row r="387" spans="10:15" thickBot="1">
      <c r="J387" s="3188">
        <v>354</v>
      </c>
      <c r="K387" s="3170" t="s">
        <v>4713</v>
      </c>
      <c r="L387" s="3170" t="s">
        <v>3524</v>
      </c>
      <c r="M387" s="3170" t="s">
        <v>4714</v>
      </c>
      <c r="N387" s="3172">
        <v>33.22</v>
      </c>
      <c r="O387" s="3173" t="s">
        <v>3317</v>
      </c>
    </row>
    <row r="388" spans="10:15" thickBot="1">
      <c r="J388" s="3188">
        <v>355</v>
      </c>
      <c r="K388" s="3170" t="s">
        <v>4716</v>
      </c>
      <c r="L388" s="3170" t="s">
        <v>3524</v>
      </c>
      <c r="M388" s="3170" t="s">
        <v>4717</v>
      </c>
      <c r="N388" s="3172">
        <v>33.22</v>
      </c>
      <c r="O388" s="3173" t="s">
        <v>3317</v>
      </c>
    </row>
    <row r="389" spans="10:15" thickBot="1">
      <c r="J389" s="3188">
        <v>356</v>
      </c>
      <c r="K389" s="3170" t="s">
        <v>4719</v>
      </c>
      <c r="L389" s="3170" t="s">
        <v>3524</v>
      </c>
      <c r="M389" s="3170" t="s">
        <v>4720</v>
      </c>
      <c r="N389" s="3172">
        <v>61.53</v>
      </c>
      <c r="O389" s="3173" t="s">
        <v>3317</v>
      </c>
    </row>
    <row r="390" spans="10:15" thickBot="1">
      <c r="J390" s="3188">
        <v>357</v>
      </c>
      <c r="K390" s="3170" t="s">
        <v>4722</v>
      </c>
      <c r="L390" s="3170" t="s">
        <v>3524</v>
      </c>
      <c r="M390" s="3170" t="s">
        <v>4723</v>
      </c>
      <c r="N390" s="3172">
        <v>46.33</v>
      </c>
      <c r="O390" s="3173" t="s">
        <v>3317</v>
      </c>
    </row>
    <row r="391" spans="10:15" thickBot="1">
      <c r="J391" s="3188">
        <v>358</v>
      </c>
      <c r="K391" s="3170" t="s">
        <v>4725</v>
      </c>
      <c r="L391" s="3170" t="s">
        <v>3524</v>
      </c>
      <c r="M391" s="3170" t="s">
        <v>4726</v>
      </c>
      <c r="N391" s="3172">
        <v>32.729999999999997</v>
      </c>
      <c r="O391" s="3173" t="s">
        <v>3317</v>
      </c>
    </row>
    <row r="392" spans="10:15" thickBot="1">
      <c r="J392" s="3188">
        <v>359</v>
      </c>
      <c r="K392" s="3170" t="s">
        <v>4728</v>
      </c>
      <c r="L392" s="3170" t="s">
        <v>3524</v>
      </c>
      <c r="M392" s="3170" t="s">
        <v>4729</v>
      </c>
      <c r="N392" s="3172">
        <v>21.42</v>
      </c>
      <c r="O392" s="3173" t="s">
        <v>3317</v>
      </c>
    </row>
    <row r="393" spans="10:15" thickBot="1">
      <c r="J393" s="3188">
        <v>360</v>
      </c>
      <c r="K393" s="3170" t="s">
        <v>4731</v>
      </c>
      <c r="L393" s="3170" t="s">
        <v>3524</v>
      </c>
      <c r="M393" s="3170" t="s">
        <v>4732</v>
      </c>
      <c r="N393" s="3172">
        <v>42.45</v>
      </c>
      <c r="O393" s="3173" t="s">
        <v>3317</v>
      </c>
    </row>
    <row r="394" spans="10:15" thickBot="1">
      <c r="J394" s="3188">
        <v>361</v>
      </c>
      <c r="K394" s="3170" t="s">
        <v>4734</v>
      </c>
      <c r="L394" s="3170" t="s">
        <v>3524</v>
      </c>
      <c r="M394" s="3170" t="s">
        <v>4735</v>
      </c>
      <c r="N394" s="3172">
        <v>22.35</v>
      </c>
      <c r="O394" s="3173" t="s">
        <v>3317</v>
      </c>
    </row>
    <row r="395" spans="10:15" thickBot="1">
      <c r="J395" s="3188">
        <v>362</v>
      </c>
      <c r="K395" s="3170" t="s">
        <v>4737</v>
      </c>
      <c r="L395" s="3170" t="s">
        <v>3524</v>
      </c>
      <c r="M395" s="3170" t="s">
        <v>4738</v>
      </c>
      <c r="N395" s="3172">
        <v>22.59</v>
      </c>
      <c r="O395" s="3173" t="s">
        <v>3317</v>
      </c>
    </row>
    <row r="396" spans="10:15" thickBot="1">
      <c r="J396" s="3188">
        <v>363</v>
      </c>
      <c r="K396" s="3170" t="s">
        <v>4740</v>
      </c>
      <c r="L396" s="3170" t="s">
        <v>3524</v>
      </c>
      <c r="M396" s="3170" t="s">
        <v>4741</v>
      </c>
      <c r="N396" s="3172">
        <v>22.59</v>
      </c>
      <c r="O396" s="3173" t="s">
        <v>3317</v>
      </c>
    </row>
    <row r="397" spans="10:15" thickBot="1">
      <c r="J397" s="3188">
        <v>364</v>
      </c>
      <c r="K397" s="3170" t="s">
        <v>4743</v>
      </c>
      <c r="L397" s="3170" t="s">
        <v>3524</v>
      </c>
      <c r="M397" s="3170" t="s">
        <v>4744</v>
      </c>
      <c r="N397" s="3172">
        <v>30.67</v>
      </c>
      <c r="O397" s="3173" t="s">
        <v>3317</v>
      </c>
    </row>
    <row r="398" spans="10:15" thickBot="1">
      <c r="J398" s="3188">
        <v>365</v>
      </c>
      <c r="K398" s="3170" t="s">
        <v>4746</v>
      </c>
      <c r="L398" s="3170" t="s">
        <v>3524</v>
      </c>
      <c r="M398" s="3170" t="s">
        <v>4747</v>
      </c>
      <c r="N398" s="3172">
        <v>27.09</v>
      </c>
      <c r="O398" s="3173" t="s">
        <v>3317</v>
      </c>
    </row>
    <row r="399" spans="10:15" thickBot="1">
      <c r="J399" s="3188">
        <v>366</v>
      </c>
      <c r="K399" s="3170" t="s">
        <v>4749</v>
      </c>
      <c r="L399" s="3170" t="s">
        <v>3524</v>
      </c>
      <c r="M399" s="3170" t="s">
        <v>4750</v>
      </c>
      <c r="N399" s="3172">
        <v>16.13</v>
      </c>
      <c r="O399" s="3173" t="s">
        <v>3317</v>
      </c>
    </row>
    <row r="400" spans="10:15" thickBot="1">
      <c r="J400" s="3188">
        <v>367</v>
      </c>
      <c r="K400" s="3170" t="s">
        <v>4752</v>
      </c>
      <c r="L400" s="3170" t="s">
        <v>3524</v>
      </c>
      <c r="M400" s="3170" t="s">
        <v>4753</v>
      </c>
      <c r="N400" s="3172">
        <v>22.59</v>
      </c>
      <c r="O400" s="3173" t="s">
        <v>3317</v>
      </c>
    </row>
    <row r="401" spans="10:15" thickBot="1">
      <c r="J401" s="3188">
        <v>368</v>
      </c>
      <c r="K401" s="3170" t="s">
        <v>4758</v>
      </c>
      <c r="L401" s="3170" t="s">
        <v>3524</v>
      </c>
      <c r="M401" s="3170" t="s">
        <v>4759</v>
      </c>
      <c r="N401" s="3172">
        <v>24.49</v>
      </c>
      <c r="O401" s="3173" t="s">
        <v>3317</v>
      </c>
    </row>
    <row r="402" spans="10:15" thickBot="1">
      <c r="J402" s="3188">
        <v>369</v>
      </c>
      <c r="K402" s="3170" t="s">
        <v>4761</v>
      </c>
      <c r="L402" s="3170" t="s">
        <v>3524</v>
      </c>
      <c r="M402" s="3170" t="s">
        <v>4762</v>
      </c>
      <c r="N402" s="3172">
        <v>30.56</v>
      </c>
      <c r="O402" s="3173" t="s">
        <v>3317</v>
      </c>
    </row>
    <row r="403" spans="10:15" thickBot="1">
      <c r="J403" s="3188">
        <v>370</v>
      </c>
      <c r="K403" s="3170" t="s">
        <v>4764</v>
      </c>
      <c r="L403" s="3170" t="s">
        <v>3524</v>
      </c>
      <c r="M403" s="3170" t="s">
        <v>4765</v>
      </c>
      <c r="N403" s="3172">
        <v>56.63</v>
      </c>
      <c r="O403" s="3173" t="s">
        <v>3317</v>
      </c>
    </row>
    <row r="404" spans="10:15" thickBot="1">
      <c r="J404" s="3188">
        <v>371</v>
      </c>
      <c r="K404" s="3170" t="s">
        <v>4767</v>
      </c>
      <c r="L404" s="3170" t="s">
        <v>3524</v>
      </c>
      <c r="M404" s="3170" t="s">
        <v>4768</v>
      </c>
      <c r="N404" s="3172">
        <v>62.28</v>
      </c>
      <c r="O404" s="3173" t="s">
        <v>3317</v>
      </c>
    </row>
    <row r="405" spans="10:15" thickBot="1">
      <c r="J405" s="3188">
        <v>372</v>
      </c>
      <c r="K405" s="3170" t="s">
        <v>4770</v>
      </c>
      <c r="L405" s="3170" t="s">
        <v>3524</v>
      </c>
      <c r="M405" s="3170" t="s">
        <v>4771</v>
      </c>
      <c r="N405" s="3172">
        <v>33.47</v>
      </c>
      <c r="O405" s="3173" t="s">
        <v>3317</v>
      </c>
    </row>
    <row r="406" spans="10:15" thickBot="1">
      <c r="J406" s="3188">
        <v>373</v>
      </c>
      <c r="K406" s="3170" t="s">
        <v>4773</v>
      </c>
      <c r="L406" s="3170" t="s">
        <v>3524</v>
      </c>
      <c r="M406" s="3170" t="s">
        <v>4774</v>
      </c>
      <c r="N406" s="3172">
        <v>42.78</v>
      </c>
      <c r="O406" s="3173" t="s">
        <v>3317</v>
      </c>
    </row>
    <row r="407" spans="10:15" thickBot="1">
      <c r="J407" s="3188">
        <v>374</v>
      </c>
      <c r="K407" s="3170" t="s">
        <v>4776</v>
      </c>
      <c r="L407" s="3170" t="s">
        <v>3524</v>
      </c>
      <c r="M407" s="3170" t="s">
        <v>4777</v>
      </c>
      <c r="N407" s="3172">
        <v>22.52</v>
      </c>
      <c r="O407" s="3173" t="s">
        <v>3317</v>
      </c>
    </row>
    <row r="408" spans="10:15" thickBot="1">
      <c r="J408" s="3188">
        <v>375</v>
      </c>
      <c r="K408" s="3170" t="s">
        <v>4779</v>
      </c>
      <c r="L408" s="3170" t="s">
        <v>3524</v>
      </c>
      <c r="M408" s="3170" t="s">
        <v>4780</v>
      </c>
      <c r="N408" s="3172">
        <v>25.39</v>
      </c>
      <c r="O408" s="3173" t="s">
        <v>3317</v>
      </c>
    </row>
    <row r="409" spans="10:15" thickBot="1">
      <c r="J409" s="3188">
        <v>376</v>
      </c>
      <c r="K409" s="3170" t="s">
        <v>4782</v>
      </c>
      <c r="L409" s="3170" t="s">
        <v>3524</v>
      </c>
      <c r="M409" s="3170" t="s">
        <v>4783</v>
      </c>
      <c r="N409" s="3172">
        <v>26.12</v>
      </c>
      <c r="O409" s="3173" t="s">
        <v>3317</v>
      </c>
    </row>
    <row r="410" spans="10:15" ht="13.5">
      <c r="J410"/>
      <c r="K410"/>
      <c r="L410"/>
      <c r="M410"/>
      <c r="N410">
        <f>SUM(N34:N409)</f>
        <v>13149.680000000002</v>
      </c>
      <c r="O410"/>
    </row>
    <row r="411" spans="10:15" ht="13.5">
      <c r="J411"/>
      <c r="K411"/>
      <c r="L411"/>
      <c r="M411"/>
      <c r="N411"/>
      <c r="O411"/>
    </row>
    <row r="412" spans="10:15" ht="13.5">
      <c r="J412"/>
      <c r="K412"/>
      <c r="L412"/>
      <c r="M412"/>
      <c r="N412"/>
      <c r="O412"/>
    </row>
    <row r="413" spans="10:15" ht="13.5">
      <c r="J413"/>
      <c r="K413"/>
      <c r="L413"/>
      <c r="M413"/>
      <c r="N413"/>
      <c r="O413"/>
    </row>
    <row r="414" spans="10:15" ht="13.5">
      <c r="J414"/>
      <c r="K414"/>
      <c r="L414"/>
      <c r="M414"/>
      <c r="N414"/>
      <c r="O414"/>
    </row>
    <row r="415" spans="10:15" ht="13.5">
      <c r="J415"/>
      <c r="K415"/>
      <c r="L415"/>
      <c r="M415"/>
      <c r="N415"/>
      <c r="O415"/>
    </row>
    <row r="416" spans="10:15" ht="13.5">
      <c r="J416"/>
      <c r="K416"/>
      <c r="L416"/>
      <c r="M416"/>
      <c r="N416"/>
      <c r="O416"/>
    </row>
    <row r="417" customFormat="1" ht="13.5"/>
    <row r="418" customFormat="1" ht="13.5"/>
    <row r="419" customFormat="1" ht="13.5"/>
    <row r="420" customFormat="1" ht="13.5"/>
    <row r="421" customFormat="1" ht="13.5"/>
    <row r="422" customFormat="1" ht="13.5"/>
    <row r="423" customFormat="1" ht="13.5"/>
    <row r="424" customFormat="1" ht="13.5"/>
    <row r="425" customFormat="1" ht="13.5"/>
    <row r="426" customFormat="1" ht="13.5"/>
    <row r="427" customFormat="1" ht="13.5"/>
    <row r="428" customFormat="1" ht="13.5"/>
    <row r="429" customFormat="1" ht="13.5"/>
    <row r="430" customFormat="1" ht="13.5"/>
    <row r="431" customFormat="1" ht="13.5"/>
    <row r="432" customFormat="1" ht="13.5"/>
    <row r="433" customFormat="1" ht="13.5"/>
    <row r="434" customFormat="1" ht="13.5"/>
    <row r="435" customFormat="1" ht="13.5"/>
    <row r="436" customFormat="1" ht="13.5"/>
    <row r="437" customFormat="1" ht="13.5"/>
    <row r="438" customFormat="1" ht="13.5"/>
    <row r="439" customFormat="1" ht="13.5"/>
    <row r="440" customFormat="1" ht="13.5"/>
    <row r="441" customFormat="1" ht="13.5"/>
    <row r="442" customFormat="1" ht="13.5"/>
    <row r="443" customFormat="1" ht="13.5"/>
    <row r="444" customFormat="1" ht="13.5"/>
    <row r="445" customFormat="1" ht="13.5"/>
    <row r="446" customFormat="1" ht="13.5"/>
    <row r="447" customFormat="1" ht="13.5"/>
    <row r="448" customFormat="1" ht="13.5"/>
    <row r="449" customFormat="1" ht="13.5"/>
    <row r="450" customFormat="1" ht="13.5"/>
    <row r="451" customFormat="1" ht="13.5"/>
    <row r="452" customFormat="1" ht="13.5"/>
    <row r="453" customFormat="1" ht="13.5"/>
    <row r="454" customFormat="1" ht="13.5"/>
    <row r="455" customFormat="1" ht="13.5"/>
    <row r="456" customFormat="1" ht="13.5"/>
    <row r="457" customFormat="1" ht="13.5"/>
    <row r="458" customFormat="1" ht="13.5"/>
    <row r="459" customFormat="1" ht="13.5"/>
    <row r="460" customFormat="1" ht="13.5"/>
    <row r="461" customFormat="1" ht="13.5"/>
    <row r="462" customFormat="1" ht="13.5"/>
    <row r="463" customFormat="1" ht="13.5"/>
    <row r="464" customFormat="1" ht="13.5"/>
    <row r="465" customFormat="1" ht="13.5"/>
    <row r="466" customFormat="1" ht="13.5"/>
    <row r="467" customFormat="1" ht="13.5"/>
    <row r="468" customFormat="1" ht="13.5"/>
    <row r="469" customFormat="1" ht="13.5"/>
    <row r="470" customFormat="1" ht="13.5"/>
    <row r="471" customFormat="1" ht="13.5"/>
    <row r="472" customFormat="1" ht="13.5"/>
    <row r="473" customFormat="1" ht="13.5"/>
    <row r="474" customFormat="1" ht="13.5"/>
    <row r="475" customFormat="1" ht="13.5"/>
    <row r="476" customFormat="1" ht="13.5"/>
    <row r="477" customFormat="1" ht="13.5"/>
    <row r="478" customFormat="1" ht="13.5"/>
    <row r="479" customFormat="1" ht="13.5"/>
    <row r="480" customFormat="1" ht="13.5"/>
    <row r="481" customFormat="1" ht="13.5"/>
    <row r="482" customFormat="1" ht="13.5"/>
    <row r="483" customFormat="1" ht="13.5"/>
    <row r="484" customFormat="1" ht="13.5"/>
    <row r="485" customFormat="1" ht="13.5"/>
    <row r="486" customFormat="1" ht="13.5"/>
    <row r="487" customFormat="1" ht="13.5"/>
    <row r="488" customFormat="1" ht="13.5"/>
    <row r="489" customFormat="1" ht="13.5"/>
    <row r="490" customFormat="1" ht="13.5"/>
    <row r="491" customFormat="1" ht="13.5"/>
    <row r="492" customFormat="1" ht="13.5"/>
    <row r="493" customFormat="1" ht="13.5"/>
    <row r="494" customFormat="1" ht="13.5"/>
    <row r="495" customFormat="1" ht="13.5"/>
    <row r="496" customFormat="1" ht="13.5"/>
    <row r="497" customFormat="1" ht="13.5"/>
    <row r="498" customFormat="1" ht="13.5"/>
    <row r="499" customFormat="1" ht="13.5"/>
    <row r="500" customFormat="1" ht="13.5"/>
    <row r="501" customFormat="1" ht="13.5"/>
    <row r="502" customFormat="1" ht="13.5"/>
    <row r="503" customFormat="1" ht="13.5"/>
    <row r="504" customFormat="1" ht="13.5"/>
    <row r="505" customFormat="1" ht="13.5"/>
    <row r="506" customFormat="1" ht="13.5"/>
    <row r="507" customFormat="1" ht="13.5"/>
    <row r="508" customFormat="1" ht="13.5"/>
    <row r="509" customFormat="1" ht="13.5"/>
    <row r="510" customFormat="1" ht="13.5"/>
    <row r="511" customFormat="1" ht="13.5"/>
    <row r="512" customFormat="1" ht="13.5"/>
    <row r="513" customFormat="1" ht="13.5"/>
    <row r="514" customFormat="1" ht="13.5"/>
    <row r="515" customFormat="1" ht="13.5"/>
    <row r="516" customFormat="1" ht="13.5"/>
    <row r="517" customFormat="1" ht="13.5"/>
    <row r="518" customFormat="1" ht="13.5"/>
    <row r="519" customFormat="1" ht="13.5"/>
    <row r="520" customFormat="1" ht="13.5"/>
    <row r="521" customFormat="1" ht="13.5"/>
    <row r="522" customFormat="1" ht="13.5"/>
    <row r="523" customFormat="1" ht="13.5"/>
    <row r="524" customFormat="1" ht="13.5"/>
    <row r="525" customFormat="1" ht="13.5"/>
    <row r="526" customFormat="1" ht="13.5"/>
    <row r="527" customFormat="1" ht="13.5"/>
    <row r="528" customFormat="1" ht="13.5"/>
    <row r="529" customFormat="1" ht="13.5"/>
    <row r="530" customFormat="1" ht="13.5"/>
    <row r="531" customFormat="1" ht="13.5"/>
    <row r="532" customFormat="1" ht="13.5"/>
    <row r="533" customFormat="1" ht="13.5"/>
    <row r="534" customFormat="1" ht="13.5"/>
    <row r="535" customFormat="1" ht="13.5"/>
    <row r="536" customFormat="1" ht="13.5"/>
    <row r="537" customFormat="1" ht="13.5"/>
    <row r="538" customFormat="1" ht="13.5"/>
    <row r="539" customFormat="1" ht="13.5"/>
    <row r="540" customFormat="1" ht="13.5"/>
    <row r="541" customFormat="1" ht="13.5"/>
    <row r="542" customFormat="1" ht="13.5"/>
    <row r="543" customFormat="1" ht="13.5"/>
    <row r="544" customFormat="1" ht="13.5"/>
    <row r="545" customFormat="1" ht="13.5"/>
    <row r="546" customFormat="1" ht="13.5"/>
    <row r="547" customFormat="1" ht="13.5"/>
    <row r="548" customFormat="1" ht="13.5"/>
    <row r="549" customFormat="1" ht="13.5"/>
    <row r="550" customFormat="1" ht="13.5"/>
    <row r="551" customFormat="1" ht="13.5"/>
    <row r="552" customFormat="1" ht="13.5"/>
    <row r="553" customFormat="1" ht="13.5"/>
    <row r="554" customFormat="1" ht="13.5"/>
    <row r="555" customFormat="1" ht="13.5"/>
    <row r="556" customFormat="1" ht="13.5"/>
    <row r="557" customFormat="1" ht="13.5"/>
    <row r="558" customFormat="1" ht="13.5"/>
    <row r="559" customFormat="1" ht="13.5"/>
    <row r="560" customFormat="1" ht="13.5"/>
    <row r="561" customFormat="1" ht="13.5"/>
    <row r="562" customFormat="1" ht="13.5"/>
    <row r="563" customFormat="1" ht="13.5"/>
    <row r="564" customFormat="1" ht="13.5"/>
    <row r="565" customFormat="1" ht="13.5"/>
    <row r="566" customFormat="1" ht="13.5"/>
    <row r="567" customFormat="1" ht="13.5"/>
    <row r="568" customFormat="1" ht="13.5"/>
    <row r="569" customFormat="1" ht="13.5"/>
    <row r="570" customFormat="1" ht="13.5"/>
    <row r="571" customFormat="1" ht="13.5"/>
    <row r="572" customFormat="1" ht="13.5"/>
    <row r="573" customFormat="1" ht="13.5"/>
    <row r="574" customFormat="1" ht="13.5"/>
    <row r="575" customFormat="1" ht="13.5"/>
    <row r="576" customFormat="1" ht="13.5"/>
    <row r="577" customFormat="1" ht="13.5"/>
    <row r="578" customFormat="1" ht="13.5"/>
    <row r="579" customFormat="1" ht="13.5"/>
    <row r="580" customFormat="1" ht="13.5"/>
    <row r="581" customFormat="1" ht="13.5"/>
    <row r="582" customFormat="1" ht="13.5"/>
    <row r="583" customFormat="1" ht="13.5"/>
    <row r="584" customFormat="1" ht="13.5"/>
    <row r="585" customFormat="1" ht="13.5"/>
    <row r="586" customFormat="1" ht="13.5"/>
    <row r="587" customFormat="1" ht="13.5"/>
    <row r="588" customFormat="1" ht="13.5"/>
    <row r="589" customFormat="1" ht="13.5"/>
    <row r="590" customFormat="1" ht="13.5"/>
    <row r="591" customFormat="1" ht="13.5"/>
    <row r="592" customFormat="1" ht="13.5"/>
    <row r="593" customFormat="1" ht="13.5"/>
    <row r="594" customFormat="1" ht="13.5"/>
    <row r="595" customFormat="1" ht="13.5"/>
    <row r="596" customFormat="1" ht="13.5"/>
    <row r="597" customFormat="1" ht="13.5"/>
    <row r="598" customFormat="1" ht="13.5"/>
    <row r="599" customFormat="1" ht="13.5"/>
    <row r="600" customFormat="1" ht="13.5"/>
    <row r="601" customFormat="1" ht="13.5"/>
    <row r="602" customFormat="1" ht="13.5"/>
    <row r="603" customFormat="1" ht="13.5"/>
    <row r="604" customFormat="1" ht="13.5"/>
    <row r="605" customFormat="1" ht="13.5"/>
    <row r="606" customFormat="1" ht="13.5"/>
    <row r="607" customFormat="1" ht="13.5"/>
    <row r="608" customFormat="1" ht="13.5"/>
    <row r="609" customFormat="1" ht="13.5"/>
    <row r="610" customFormat="1" ht="13.5"/>
    <row r="611" customFormat="1" ht="13.5"/>
    <row r="612" customFormat="1" ht="13.5"/>
    <row r="613" customFormat="1" ht="13.5"/>
    <row r="614" customFormat="1" ht="13.5"/>
    <row r="615" customFormat="1" ht="13.5"/>
    <row r="616" customFormat="1" ht="13.5"/>
    <row r="617" customFormat="1" ht="13.5"/>
    <row r="618" customFormat="1" ht="13.5"/>
    <row r="619" customFormat="1" ht="13.5"/>
    <row r="620" customFormat="1" ht="13.5"/>
    <row r="621" customFormat="1" ht="13.5"/>
    <row r="622" customFormat="1" ht="13.5"/>
    <row r="623" customFormat="1" ht="13.5"/>
    <row r="624" customFormat="1" ht="13.5"/>
    <row r="625" customFormat="1" ht="13.5"/>
    <row r="626" customFormat="1" ht="13.5"/>
    <row r="627" customFormat="1" ht="13.5"/>
    <row r="628" customFormat="1" ht="13.5"/>
    <row r="629" customFormat="1" ht="13.5"/>
    <row r="630" customFormat="1" ht="13.5"/>
    <row r="631" customFormat="1" ht="13.5"/>
    <row r="632" customFormat="1" ht="13.5"/>
    <row r="633" customFormat="1" ht="13.5"/>
    <row r="634" customFormat="1" ht="13.5"/>
    <row r="635" customFormat="1" ht="13.5"/>
    <row r="636" customFormat="1" ht="13.5"/>
    <row r="637" customFormat="1" ht="13.5"/>
    <row r="638" customFormat="1" ht="13.5"/>
    <row r="639" customFormat="1" ht="13.5"/>
    <row r="640" customFormat="1" ht="13.5"/>
    <row r="641" customFormat="1" ht="13.5"/>
    <row r="642" customFormat="1" ht="13.5"/>
    <row r="643" customFormat="1" ht="13.5"/>
    <row r="644" customFormat="1" ht="13.5"/>
    <row r="645" customFormat="1" ht="13.5"/>
    <row r="646" customFormat="1" ht="13.5"/>
    <row r="647" customFormat="1" ht="13.5"/>
    <row r="648" customFormat="1" ht="13.5"/>
    <row r="649" customFormat="1" ht="13.5"/>
    <row r="650" customFormat="1" ht="13.5"/>
    <row r="651" customFormat="1" ht="13.5"/>
    <row r="652" customFormat="1" ht="13.5"/>
    <row r="653" customFormat="1" ht="13.5"/>
    <row r="654" customFormat="1" ht="13.5"/>
    <row r="655" customFormat="1" ht="13.5"/>
    <row r="656" customFormat="1" ht="13.5"/>
    <row r="657" customFormat="1" ht="13.5"/>
    <row r="658" customFormat="1" ht="13.5"/>
    <row r="659" customFormat="1" ht="13.5"/>
    <row r="660" customFormat="1" ht="13.5"/>
    <row r="661" customFormat="1" ht="13.5"/>
    <row r="662" customFormat="1" ht="13.5"/>
    <row r="663" customFormat="1" ht="13.5"/>
    <row r="664" customFormat="1" ht="13.5"/>
    <row r="665" customFormat="1" ht="13.5"/>
    <row r="666" customFormat="1" ht="13.5"/>
    <row r="667" customFormat="1" ht="13.5"/>
    <row r="668" customFormat="1" ht="13.5"/>
    <row r="669" customFormat="1" ht="13.5"/>
    <row r="670" customFormat="1" ht="13.5"/>
    <row r="671" customFormat="1" ht="13.5"/>
    <row r="672" customFormat="1" ht="13.5"/>
    <row r="673" customFormat="1" ht="13.5"/>
    <row r="674" customFormat="1" ht="13.5"/>
    <row r="675" customFormat="1" ht="13.5"/>
    <row r="676" customFormat="1" ht="13.5"/>
    <row r="677" customFormat="1" ht="13.5"/>
    <row r="678" customFormat="1" ht="13.5"/>
    <row r="679" customFormat="1" ht="13.5"/>
    <row r="680" customFormat="1" ht="13.5"/>
    <row r="681" customFormat="1" ht="13.5"/>
    <row r="682" customFormat="1" ht="13.5"/>
    <row r="683" customFormat="1" ht="13.5"/>
    <row r="684" customFormat="1" ht="13.5"/>
    <row r="685" customFormat="1" ht="13.5"/>
    <row r="686" customFormat="1" ht="13.5"/>
    <row r="687" customFormat="1" ht="13.5"/>
    <row r="688" customFormat="1" ht="13.5"/>
    <row r="689" customFormat="1" ht="13.5"/>
    <row r="690" customFormat="1" ht="13.5"/>
    <row r="691" customFormat="1" ht="13.5"/>
    <row r="692" customFormat="1" ht="13.5"/>
    <row r="693" customFormat="1" ht="13.5"/>
    <row r="694" customFormat="1" ht="13.5"/>
    <row r="695" customFormat="1" ht="13.5"/>
    <row r="696" customFormat="1" ht="13.5"/>
    <row r="697" customFormat="1" ht="13.5"/>
    <row r="698" customFormat="1" ht="13.5"/>
    <row r="699" customFormat="1" ht="13.5"/>
    <row r="700" customFormat="1" ht="13.5"/>
    <row r="701" customFormat="1" ht="13.5"/>
    <row r="702" customFormat="1" ht="13.5"/>
    <row r="703" customFormat="1" ht="13.5"/>
    <row r="704" customFormat="1" ht="13.5"/>
    <row r="705" customFormat="1" ht="13.5"/>
    <row r="706" customFormat="1" ht="13.5"/>
    <row r="707" customFormat="1" ht="13.5"/>
    <row r="708" customFormat="1" ht="13.5"/>
    <row r="709" customFormat="1" ht="13.5"/>
    <row r="710" customFormat="1" ht="13.5"/>
    <row r="711" customFormat="1" ht="13.5"/>
    <row r="712" customFormat="1" ht="13.5"/>
    <row r="713" customFormat="1" ht="13.5"/>
    <row r="714" customFormat="1" ht="13.5"/>
    <row r="715" customFormat="1" ht="13.5"/>
    <row r="716" customFormat="1" ht="13.5"/>
    <row r="717" customFormat="1" ht="13.5"/>
    <row r="718" customFormat="1" ht="13.5"/>
    <row r="719" customFormat="1" ht="13.5"/>
    <row r="720" customFormat="1" ht="13.5"/>
    <row r="721" customFormat="1" ht="13.5"/>
    <row r="722" customFormat="1" ht="13.5"/>
    <row r="723" customFormat="1" ht="13.5"/>
    <row r="724" customFormat="1" ht="13.5"/>
    <row r="725" customFormat="1" ht="13.5"/>
    <row r="726" customFormat="1" ht="13.5"/>
    <row r="727" customFormat="1" ht="13.5"/>
    <row r="728" customFormat="1" ht="13.5"/>
    <row r="729" customFormat="1" ht="13.5"/>
    <row r="730" customFormat="1" ht="13.5"/>
    <row r="731" customFormat="1" ht="13.5"/>
    <row r="732" customFormat="1" ht="13.5"/>
    <row r="733" customFormat="1" ht="13.5"/>
    <row r="734" customFormat="1" ht="13.5"/>
    <row r="735" customFormat="1" ht="13.5"/>
    <row r="736" customFormat="1" ht="13.5"/>
    <row r="737" customFormat="1" ht="13.5"/>
    <row r="738" customFormat="1" ht="13.5"/>
    <row r="739" customFormat="1" ht="13.5"/>
    <row r="740" customFormat="1" ht="13.5"/>
    <row r="741" customFormat="1" ht="13.5"/>
    <row r="742" customFormat="1" ht="13.5"/>
    <row r="743" customFormat="1" ht="13.5"/>
    <row r="744" customFormat="1" ht="13.5"/>
    <row r="745" customFormat="1" ht="13.5"/>
    <row r="746" customFormat="1" ht="13.5"/>
    <row r="747" customFormat="1" ht="13.5"/>
    <row r="748" customFormat="1" ht="13.5"/>
    <row r="749" customFormat="1" ht="13.5"/>
    <row r="750" customFormat="1" ht="13.5"/>
    <row r="751" customFormat="1" ht="13.5"/>
    <row r="752" customFormat="1" ht="13.5"/>
    <row r="753" customFormat="1" ht="13.5"/>
    <row r="754" customFormat="1" ht="13.5"/>
    <row r="755" customFormat="1" ht="13.5"/>
    <row r="756" customFormat="1" ht="13.5"/>
    <row r="757" customFormat="1" ht="13.5"/>
    <row r="758" customFormat="1" ht="13.5"/>
    <row r="759" customFormat="1" ht="13.5"/>
    <row r="760" customFormat="1" ht="13.5"/>
    <row r="761" customFormat="1" ht="13.5"/>
    <row r="762" customFormat="1" ht="13.5"/>
    <row r="763" customFormat="1" ht="13.5"/>
    <row r="764" customFormat="1" ht="13.5"/>
    <row r="765" customFormat="1" ht="13.5"/>
    <row r="766" customFormat="1" ht="13.5"/>
    <row r="767" customFormat="1" ht="13.5"/>
    <row r="768" customFormat="1" ht="13.5"/>
    <row r="769" customFormat="1" ht="13.5"/>
    <row r="770" customFormat="1" ht="13.5"/>
    <row r="771" customFormat="1" ht="13.5"/>
    <row r="772" customFormat="1" ht="13.5"/>
    <row r="773" customFormat="1" ht="13.5"/>
    <row r="774" customFormat="1" ht="13.5"/>
    <row r="775" customFormat="1" ht="13.5"/>
    <row r="776" customFormat="1" ht="13.5"/>
    <row r="777" customFormat="1" ht="13.5"/>
    <row r="778" customFormat="1" ht="13.5"/>
    <row r="779" customFormat="1" ht="13.5"/>
    <row r="780" customFormat="1" ht="13.5"/>
    <row r="781" customFormat="1" ht="13.5"/>
    <row r="782" customFormat="1" ht="13.5"/>
    <row r="783" customFormat="1" ht="13.5"/>
    <row r="784" customFormat="1" ht="13.5"/>
    <row r="785" customFormat="1" ht="13.5"/>
    <row r="786" customFormat="1" ht="13.5"/>
    <row r="787" customFormat="1" ht="13.5"/>
    <row r="788" customFormat="1" ht="13.5"/>
    <row r="789" customFormat="1" ht="13.5"/>
    <row r="790" customFormat="1" ht="13.5"/>
    <row r="791" customFormat="1" ht="13.5"/>
    <row r="792" customFormat="1" ht="13.5"/>
    <row r="793" customFormat="1" ht="13.5"/>
    <row r="794" customFormat="1" ht="13.5"/>
    <row r="795" customFormat="1" ht="13.5"/>
    <row r="796" customFormat="1" ht="13.5"/>
    <row r="797" customFormat="1" ht="13.5"/>
    <row r="798" customFormat="1" ht="13.5"/>
    <row r="799" customFormat="1" ht="13.5"/>
    <row r="800" customFormat="1" ht="13.5"/>
    <row r="801" customFormat="1" ht="13.5"/>
    <row r="802" customFormat="1" ht="13.5"/>
    <row r="803" customFormat="1" ht="13.5"/>
    <row r="804" customFormat="1" ht="13.5"/>
    <row r="805" customFormat="1" ht="13.5"/>
    <row r="806" customFormat="1" ht="13.5"/>
    <row r="807" customFormat="1" ht="13.5"/>
    <row r="808" customFormat="1" ht="13.5"/>
    <row r="809" customFormat="1" ht="13.5"/>
    <row r="810" customFormat="1" ht="13.5"/>
    <row r="811" customFormat="1" ht="13.5"/>
    <row r="812" customFormat="1" ht="13.5"/>
    <row r="813" customFormat="1" ht="13.5"/>
    <row r="814" customFormat="1" ht="13.5"/>
    <row r="815" customFormat="1" ht="13.5"/>
    <row r="816" customFormat="1" ht="13.5"/>
    <row r="817" customFormat="1" ht="13.5"/>
    <row r="818" customFormat="1" ht="13.5"/>
    <row r="819" customFormat="1" ht="13.5"/>
    <row r="820" customFormat="1" ht="13.5"/>
    <row r="821" customFormat="1" ht="13.5"/>
    <row r="822" customFormat="1" ht="13.5"/>
    <row r="823" customFormat="1" ht="13.5"/>
    <row r="824" customFormat="1" ht="13.5"/>
    <row r="825" customFormat="1" ht="13.5"/>
    <row r="826" customFormat="1" ht="13.5"/>
    <row r="827" customFormat="1" ht="13.5"/>
    <row r="828" customFormat="1" ht="13.5"/>
    <row r="829" customFormat="1" ht="13.5"/>
    <row r="830" customFormat="1" ht="13.5"/>
    <row r="831" customFormat="1" ht="13.5"/>
    <row r="832" customFormat="1" ht="13.5"/>
    <row r="833" customFormat="1" ht="13.5"/>
    <row r="834" customFormat="1" ht="13.5"/>
    <row r="835" customFormat="1" ht="13.5"/>
    <row r="836" customFormat="1" ht="13.5"/>
    <row r="837" customFormat="1" ht="13.5"/>
    <row r="838" customFormat="1" ht="13.5"/>
    <row r="839" customFormat="1" ht="13.5"/>
    <row r="840" customFormat="1" ht="13.5"/>
    <row r="841" customFormat="1" ht="13.5"/>
    <row r="842" customFormat="1" ht="13.5"/>
    <row r="843" customFormat="1" ht="13.5"/>
    <row r="844" customFormat="1" ht="13.5"/>
    <row r="845" customFormat="1" ht="13.5"/>
    <row r="846" customFormat="1" ht="13.5"/>
    <row r="847" customFormat="1" ht="13.5"/>
    <row r="848" customFormat="1" ht="13.5"/>
    <row r="849" customFormat="1" ht="13.5"/>
    <row r="850" customFormat="1" ht="13.5"/>
    <row r="851" customFormat="1" ht="13.5"/>
    <row r="852" customFormat="1" ht="13.5"/>
    <row r="853" customFormat="1" ht="13.5"/>
    <row r="854" customFormat="1" ht="13.5"/>
    <row r="855" customFormat="1" ht="13.5"/>
    <row r="856" customFormat="1" ht="13.5"/>
    <row r="857" customFormat="1" ht="13.5"/>
    <row r="858" customFormat="1" ht="13.5"/>
    <row r="859" customFormat="1" ht="13.5"/>
    <row r="860" customFormat="1" ht="13.5"/>
    <row r="861" customFormat="1" ht="13.5"/>
    <row r="862" customFormat="1" ht="13.5"/>
    <row r="863" customFormat="1" ht="13.5"/>
    <row r="864" customFormat="1" ht="13.5"/>
    <row r="865" customFormat="1" ht="13.5"/>
    <row r="866" customFormat="1" ht="13.5"/>
    <row r="867" customFormat="1" ht="13.5"/>
    <row r="868" customFormat="1" ht="13.5"/>
    <row r="869" customFormat="1" ht="13.5"/>
    <row r="870" customFormat="1" ht="13.5"/>
    <row r="871" customFormat="1" ht="13.5"/>
    <row r="872" customFormat="1" ht="13.5"/>
    <row r="873" customFormat="1" ht="13.5"/>
    <row r="874" customFormat="1" ht="13.5"/>
    <row r="875" customFormat="1" ht="13.5"/>
    <row r="876" customFormat="1" ht="13.5"/>
    <row r="877" customFormat="1" ht="13.5"/>
    <row r="878" customFormat="1" ht="13.5"/>
    <row r="879" customFormat="1" ht="13.5"/>
    <row r="880" customFormat="1" ht="13.5"/>
    <row r="881" customFormat="1" ht="13.5"/>
    <row r="882" customFormat="1" ht="13.5"/>
    <row r="883" customFormat="1" ht="13.5"/>
    <row r="884" customFormat="1" ht="13.5"/>
    <row r="885" customFormat="1" ht="13.5"/>
    <row r="886" customFormat="1" ht="13.5"/>
    <row r="887" customFormat="1" ht="13.5"/>
    <row r="888" customFormat="1" ht="13.5"/>
    <row r="889" customFormat="1" ht="13.5"/>
    <row r="890" customFormat="1" ht="13.5"/>
    <row r="891" customFormat="1" ht="13.5"/>
    <row r="892" customFormat="1" ht="13.5"/>
    <row r="893" customFormat="1" ht="13.5"/>
    <row r="894" customFormat="1" ht="13.5"/>
    <row r="895" customFormat="1" ht="13.5"/>
    <row r="896" customFormat="1" ht="13.5"/>
    <row r="897" customFormat="1" ht="13.5"/>
    <row r="898" customFormat="1" ht="13.5"/>
    <row r="899" customFormat="1" ht="13.5"/>
    <row r="900" customFormat="1" ht="13.5"/>
    <row r="901" customFormat="1" ht="13.5"/>
    <row r="902" customFormat="1" ht="13.5"/>
    <row r="903" customFormat="1" ht="13.5"/>
    <row r="904" customFormat="1" ht="13.5"/>
    <row r="905" customFormat="1" ht="13.5"/>
    <row r="906" customFormat="1" ht="13.5"/>
    <row r="907" customFormat="1" ht="13.5"/>
    <row r="908" customFormat="1" ht="13.5"/>
    <row r="909" customFormat="1" ht="13.5"/>
    <row r="910" customFormat="1" ht="13.5"/>
    <row r="911" customFormat="1" ht="13.5"/>
    <row r="912" customFormat="1" ht="13.5"/>
    <row r="913" customFormat="1" ht="13.5"/>
    <row r="914" customFormat="1" ht="13.5"/>
    <row r="915" customFormat="1" ht="13.5"/>
    <row r="916" customFormat="1" ht="13.5"/>
    <row r="917" customFormat="1" ht="13.5"/>
    <row r="918" customFormat="1" ht="13.5"/>
    <row r="919" customFormat="1" ht="13.5"/>
    <row r="920" customFormat="1" ht="13.5"/>
    <row r="921" customFormat="1" ht="13.5"/>
    <row r="922" customFormat="1" ht="13.5"/>
    <row r="923" customFormat="1" ht="13.5"/>
    <row r="924" customFormat="1" ht="13.5"/>
    <row r="925" customFormat="1" ht="13.5"/>
    <row r="926" customFormat="1" ht="13.5"/>
    <row r="927" customFormat="1" ht="13.5"/>
    <row r="928" customFormat="1" ht="13.5"/>
    <row r="929" customFormat="1" ht="13.5"/>
    <row r="930" customFormat="1" ht="13.5"/>
    <row r="931" customFormat="1" ht="13.5"/>
    <row r="932" customFormat="1" ht="13.5"/>
    <row r="933" customFormat="1" ht="13.5"/>
    <row r="934" customFormat="1" ht="13.5"/>
    <row r="935" customFormat="1" ht="13.5"/>
    <row r="936" customFormat="1" ht="13.5"/>
    <row r="937" customFormat="1" ht="13.5"/>
    <row r="938" customFormat="1" ht="13.5"/>
    <row r="939" customFormat="1" ht="13.5"/>
    <row r="940" customFormat="1" ht="13.5"/>
    <row r="941" customFormat="1" ht="13.5"/>
    <row r="942" customFormat="1" ht="13.5"/>
    <row r="943" customFormat="1" ht="13.5"/>
    <row r="944" customFormat="1" ht="13.5"/>
    <row r="945" customFormat="1" ht="13.5"/>
    <row r="946" customFormat="1" ht="13.5"/>
    <row r="947" customFormat="1" ht="13.5"/>
    <row r="948" customFormat="1" ht="13.5"/>
    <row r="949" customFormat="1" ht="13.5"/>
    <row r="950" customFormat="1" ht="13.5"/>
    <row r="951" customFormat="1" ht="13.5"/>
    <row r="952" customFormat="1" ht="13.5"/>
    <row r="953" customFormat="1" ht="13.5"/>
    <row r="954" customFormat="1" ht="13.5"/>
    <row r="955" customFormat="1" ht="13.5"/>
    <row r="956" customFormat="1" ht="13.5"/>
    <row r="957" customFormat="1" ht="13.5"/>
    <row r="958" customFormat="1" ht="13.5"/>
    <row r="959" customFormat="1" ht="13.5"/>
    <row r="960" customFormat="1" ht="13.5"/>
    <row r="961" customFormat="1" ht="13.5"/>
    <row r="962" customFormat="1" ht="13.5"/>
    <row r="963" customFormat="1" ht="13.5"/>
    <row r="964" customFormat="1" ht="13.5"/>
    <row r="965" customFormat="1" ht="13.5"/>
    <row r="966" customFormat="1" ht="13.5"/>
    <row r="967" customFormat="1" ht="13.5"/>
    <row r="968" customFormat="1" ht="13.5"/>
    <row r="969" customFormat="1" ht="13.5"/>
    <row r="970" customFormat="1" ht="13.5"/>
    <row r="971" customFormat="1" ht="13.5"/>
    <row r="972" customFormat="1" ht="13.5"/>
    <row r="973" customFormat="1" ht="13.5"/>
    <row r="974" customFormat="1" ht="13.5"/>
    <row r="975" customFormat="1" ht="13.5"/>
    <row r="976" customFormat="1" ht="13.5"/>
    <row r="977" customFormat="1" ht="13.5"/>
    <row r="978" customFormat="1" ht="13.5"/>
    <row r="979" customFormat="1" ht="13.5"/>
    <row r="980" customFormat="1" ht="13.5"/>
    <row r="981" customFormat="1" ht="13.5"/>
    <row r="982" customFormat="1" ht="13.5"/>
    <row r="983" customFormat="1" ht="13.5"/>
    <row r="984" customFormat="1" ht="13.5"/>
    <row r="985" customFormat="1" ht="13.5"/>
    <row r="986" customFormat="1" ht="13.5"/>
    <row r="987" customFormat="1" ht="13.5"/>
    <row r="988" customFormat="1" ht="13.5"/>
    <row r="989" customFormat="1" ht="13.5"/>
    <row r="990" customFormat="1" ht="13.5"/>
    <row r="991" customFormat="1" ht="13.5"/>
    <row r="992" customFormat="1" ht="13.5"/>
    <row r="993" customFormat="1" ht="13.5"/>
    <row r="994" customFormat="1" ht="13.5"/>
    <row r="995" customFormat="1" ht="13.5"/>
    <row r="996" customFormat="1" ht="13.5"/>
    <row r="997" customFormat="1" ht="13.5"/>
    <row r="998" customFormat="1" ht="13.5"/>
    <row r="999" customFormat="1" ht="13.5"/>
    <row r="1000" customFormat="1" ht="13.5"/>
    <row r="1001" customFormat="1" ht="13.5"/>
    <row r="1002" customFormat="1" ht="13.5"/>
    <row r="1003" customFormat="1" ht="13.5"/>
    <row r="1004" customFormat="1" ht="13.5"/>
    <row r="1005" customFormat="1" ht="13.5"/>
    <row r="1006" customFormat="1" ht="13.5"/>
    <row r="1007" customFormat="1" ht="13.5"/>
    <row r="1008" customFormat="1" ht="13.5"/>
    <row r="1009" customFormat="1" ht="13.5"/>
    <row r="1010" customFormat="1" ht="13.5"/>
    <row r="1011" customFormat="1" ht="13.5"/>
    <row r="1012" customFormat="1" ht="13.5"/>
    <row r="1013" customFormat="1" ht="13.5"/>
    <row r="1014" customFormat="1" ht="13.5"/>
    <row r="1015" customFormat="1" ht="13.5"/>
    <row r="1016" customFormat="1" ht="13.5"/>
    <row r="1017" customFormat="1" ht="13.5"/>
    <row r="1018" customFormat="1" ht="13.5"/>
    <row r="1019" customFormat="1" ht="13.5"/>
    <row r="1020" customFormat="1" ht="13.5"/>
    <row r="1021" customFormat="1" ht="13.5"/>
    <row r="1022" customFormat="1" ht="13.5"/>
    <row r="1023" customFormat="1" ht="13.5"/>
    <row r="1024" customFormat="1" ht="13.5"/>
    <row r="1025" customFormat="1" ht="13.5"/>
    <row r="1026" customFormat="1" ht="13.5"/>
    <row r="1027" customFormat="1" ht="13.5"/>
    <row r="1028" customFormat="1" ht="13.5"/>
    <row r="1029" customFormat="1" ht="13.5"/>
    <row r="1030" customFormat="1" ht="13.5"/>
    <row r="1031" customFormat="1" ht="13.5"/>
    <row r="1032" customFormat="1" ht="13.5"/>
    <row r="1033" customFormat="1" ht="13.5"/>
    <row r="1034" customFormat="1" ht="13.5"/>
    <row r="1035" customFormat="1" ht="13.5"/>
    <row r="1036" customFormat="1" ht="13.5"/>
    <row r="1037" customFormat="1" ht="13.5"/>
    <row r="1038" customFormat="1" ht="13.5"/>
    <row r="1039" customFormat="1" ht="13.5"/>
    <row r="1040" customFormat="1" ht="13.5"/>
    <row r="1041" customFormat="1" ht="13.5"/>
    <row r="1042" customFormat="1" ht="13.5"/>
    <row r="1043" customFormat="1" ht="13.5"/>
    <row r="1044" customFormat="1" ht="13.5"/>
    <row r="1045" customFormat="1" ht="13.5"/>
    <row r="1046" customFormat="1" ht="13.5"/>
    <row r="1047" customFormat="1" ht="13.5"/>
    <row r="1048" customFormat="1" ht="13.5"/>
    <row r="1049" customFormat="1" ht="13.5"/>
    <row r="1050" customFormat="1" ht="13.5"/>
    <row r="1051" customFormat="1" ht="13.5"/>
    <row r="1052" customFormat="1" ht="13.5"/>
    <row r="1053" customFormat="1" ht="13.5"/>
    <row r="1054" customFormat="1" ht="13.5"/>
    <row r="1055" customFormat="1" ht="13.5"/>
    <row r="1056" customFormat="1" ht="13.5"/>
    <row r="1057" customFormat="1" ht="13.5"/>
    <row r="1058" customFormat="1" ht="13.5"/>
    <row r="1059" customFormat="1" ht="13.5"/>
    <row r="1060" customFormat="1" ht="13.5"/>
    <row r="1061" customFormat="1" ht="13.5"/>
    <row r="1062" customFormat="1" ht="13.5"/>
    <row r="1063" customFormat="1" ht="13.5"/>
    <row r="1064" customFormat="1" ht="13.5"/>
    <row r="1065" customFormat="1" ht="13.5"/>
    <row r="1066" customFormat="1" ht="13.5"/>
    <row r="1067" customFormat="1" ht="13.5"/>
    <row r="1068" customFormat="1" ht="13.5"/>
    <row r="1069" customFormat="1" ht="13.5"/>
    <row r="1070" customFormat="1" ht="13.5"/>
    <row r="1071" customFormat="1" ht="13.5"/>
    <row r="1072" customFormat="1" ht="13.5"/>
    <row r="1073" customFormat="1" ht="13.5"/>
    <row r="1074" customFormat="1" ht="13.5"/>
    <row r="1075" customFormat="1" ht="13.5"/>
    <row r="1076" customFormat="1" ht="13.5"/>
    <row r="1077" customFormat="1" ht="13.5"/>
    <row r="1078" customFormat="1" ht="13.5"/>
    <row r="1079" customFormat="1" ht="13.5"/>
    <row r="1080" customFormat="1" ht="13.5"/>
    <row r="1081" customFormat="1" ht="13.5"/>
    <row r="1082" customFormat="1" ht="13.5"/>
    <row r="1083" customFormat="1" ht="13.5"/>
    <row r="1084" customFormat="1" ht="13.5"/>
    <row r="1085" customFormat="1" ht="13.5"/>
    <row r="1086" customFormat="1" ht="13.5"/>
    <row r="1087" customFormat="1" ht="13.5"/>
    <row r="1088" customFormat="1" ht="13.5"/>
    <row r="1089" customFormat="1" ht="13.5"/>
    <row r="1090" customFormat="1" ht="13.5"/>
    <row r="1091" customFormat="1" ht="13.5"/>
    <row r="1092" customFormat="1" ht="13.5"/>
    <row r="1093" customFormat="1" ht="13.5"/>
    <row r="1094" customFormat="1" ht="13.5"/>
    <row r="1095" customFormat="1" ht="13.5"/>
    <row r="1096" customFormat="1" ht="13.5"/>
    <row r="1097" customFormat="1" ht="13.5"/>
    <row r="1098" customFormat="1" ht="13.5"/>
    <row r="1099" customFormat="1" ht="13.5"/>
    <row r="1100" customFormat="1" ht="13.5"/>
    <row r="1101" customFormat="1" ht="13.5"/>
    <row r="1102" customFormat="1" ht="13.5"/>
    <row r="1103" customFormat="1" ht="13.5"/>
    <row r="1104" customFormat="1" ht="13.5"/>
    <row r="1105" customFormat="1" ht="13.5"/>
    <row r="1106" customFormat="1" ht="13.5"/>
    <row r="1107" customFormat="1" ht="13.5"/>
    <row r="1108" customFormat="1" ht="13.5"/>
    <row r="1109" customFormat="1" ht="13.5"/>
    <row r="1110" customFormat="1" ht="13.5"/>
    <row r="1111" customFormat="1" ht="13.5"/>
    <row r="1112" customFormat="1" ht="13.5"/>
    <row r="1113" customFormat="1" ht="13.5"/>
    <row r="1114" customFormat="1" ht="13.5"/>
    <row r="1115" customFormat="1" ht="13.5"/>
    <row r="1116" customFormat="1" ht="13.5"/>
    <row r="1117" customFormat="1" ht="13.5"/>
    <row r="1118" customFormat="1" ht="13.5"/>
    <row r="1119" customFormat="1" ht="13.5"/>
    <row r="1120" customFormat="1" ht="13.5"/>
    <row r="1121" customFormat="1" ht="13.5"/>
    <row r="1122" customFormat="1" ht="13.5"/>
    <row r="1123" customFormat="1" ht="13.5"/>
    <row r="1124" customFormat="1" ht="13.5"/>
    <row r="1125" customFormat="1" ht="13.5"/>
    <row r="1126" customFormat="1" ht="13.5"/>
    <row r="1127" customFormat="1" ht="13.5"/>
    <row r="1128" customFormat="1" ht="13.5"/>
    <row r="1129" customFormat="1" ht="13.5"/>
    <row r="1130" customFormat="1" ht="13.5"/>
    <row r="1131" customFormat="1" ht="13.5"/>
    <row r="1132" customFormat="1" ht="13.5"/>
    <row r="1133" customFormat="1" ht="13.5"/>
    <row r="1134" customFormat="1" ht="13.5"/>
    <row r="1135" customFormat="1" ht="13.5"/>
    <row r="1136" customFormat="1" ht="13.5"/>
    <row r="1137" customFormat="1" ht="13.5"/>
    <row r="1138" customFormat="1" ht="13.5"/>
    <row r="1139" customFormat="1" ht="13.5"/>
    <row r="1140" customFormat="1" ht="13.5"/>
    <row r="1141" customFormat="1" ht="13.5"/>
    <row r="1142" customFormat="1" ht="13.5"/>
    <row r="1143" customFormat="1" ht="13.5"/>
    <row r="1144" customFormat="1" ht="13.5"/>
    <row r="1145" customFormat="1" ht="13.5"/>
    <row r="1146" customFormat="1" ht="13.5"/>
    <row r="1147" customFormat="1" ht="13.5"/>
    <row r="1148" customFormat="1" ht="13.5"/>
    <row r="1149" customFormat="1" ht="13.5"/>
    <row r="1150" customFormat="1" ht="13.5"/>
    <row r="1151" customFormat="1" ht="13.5"/>
    <row r="1152" customFormat="1" ht="13.5"/>
    <row r="1153" customFormat="1" ht="13.5"/>
    <row r="1154" customFormat="1" ht="13.5"/>
    <row r="1155" customFormat="1" ht="13.5"/>
    <row r="1156" customFormat="1" ht="13.5"/>
    <row r="1157" customFormat="1" ht="13.5"/>
    <row r="1158" customFormat="1" ht="13.5"/>
    <row r="1159" customFormat="1" ht="13.5"/>
    <row r="1160" customFormat="1" ht="13.5"/>
    <row r="1161" customFormat="1" ht="13.5"/>
    <row r="1162" customFormat="1" ht="13.5"/>
    <row r="1163" customFormat="1" ht="13.5"/>
    <row r="1164" customFormat="1" ht="13.5"/>
    <row r="1165" customFormat="1" ht="13.5"/>
    <row r="1166" customFormat="1" ht="13.5"/>
    <row r="1167" customFormat="1" ht="13.5"/>
    <row r="1168" customFormat="1" ht="13.5"/>
    <row r="1169" customFormat="1" ht="13.5"/>
    <row r="1170" customFormat="1" ht="13.5"/>
    <row r="1171" customFormat="1" ht="13.5"/>
    <row r="1172" customFormat="1" ht="13.5"/>
    <row r="1173" customFormat="1" ht="13.5"/>
    <row r="1174" customFormat="1" ht="13.5"/>
    <row r="1175" customFormat="1" ht="13.5"/>
    <row r="1176" customFormat="1" ht="13.5"/>
    <row r="1177" customFormat="1" ht="13.5"/>
    <row r="1178" customFormat="1" ht="13.5"/>
    <row r="1179" customFormat="1" ht="13.5"/>
    <row r="1180" customFormat="1" ht="13.5"/>
    <row r="1181" customFormat="1" ht="13.5"/>
    <row r="1182" customFormat="1" ht="13.5"/>
    <row r="1183" customFormat="1" ht="13.5"/>
    <row r="1184" customFormat="1" ht="13.5"/>
    <row r="1185" customFormat="1" ht="13.5"/>
    <row r="1186" customFormat="1" ht="13.5"/>
    <row r="1187" customFormat="1" ht="13.5"/>
    <row r="1188" customFormat="1" ht="13.5"/>
    <row r="1189" customFormat="1" ht="13.5"/>
    <row r="1190" customFormat="1" ht="13.5"/>
    <row r="1191" customFormat="1" ht="13.5"/>
    <row r="1192" customFormat="1" ht="13.5"/>
    <row r="1193" customFormat="1" ht="13.5"/>
    <row r="1194" customFormat="1" ht="13.5"/>
    <row r="1195" customFormat="1" ht="13.5"/>
    <row r="1196" customFormat="1" ht="13.5"/>
    <row r="1197" customFormat="1" ht="13.5"/>
    <row r="1198" customFormat="1" ht="13.5"/>
    <row r="1199" customFormat="1" ht="13.5"/>
    <row r="1200" customFormat="1" ht="13.5"/>
    <row r="1201" customFormat="1" ht="13.5"/>
    <row r="1202" customFormat="1" ht="13.5"/>
    <row r="1203" customFormat="1" ht="13.5"/>
    <row r="1204" customFormat="1" ht="13.5"/>
    <row r="1205" customFormat="1" ht="13.5"/>
    <row r="1206" customFormat="1" ht="13.5"/>
    <row r="1207" customFormat="1" ht="13.5"/>
    <row r="1208" customFormat="1" ht="13.5"/>
    <row r="1209" customFormat="1" ht="13.5"/>
    <row r="1210" customFormat="1" ht="13.5"/>
    <row r="1211" customFormat="1" ht="13.5"/>
    <row r="1212" customFormat="1" ht="13.5"/>
    <row r="1213" customFormat="1" ht="13.5"/>
    <row r="1214" customFormat="1" ht="13.5"/>
    <row r="1215" customFormat="1" ht="13.5"/>
    <row r="1216" customFormat="1" ht="13.5"/>
    <row r="1217" customFormat="1" ht="13.5"/>
    <row r="1218" customFormat="1" ht="13.5"/>
    <row r="1219" customFormat="1" ht="13.5"/>
    <row r="1220" customFormat="1" ht="13.5"/>
    <row r="1221" customFormat="1" ht="13.5"/>
    <row r="1222" customFormat="1" ht="13.5"/>
    <row r="1223" customFormat="1" ht="13.5"/>
    <row r="1224" customFormat="1" ht="13.5"/>
    <row r="1225" customFormat="1" ht="13.5"/>
    <row r="1226" customFormat="1" ht="13.5"/>
    <row r="1227" customFormat="1" ht="13.5"/>
    <row r="1228" customFormat="1" ht="13.5"/>
    <row r="1229" customFormat="1" ht="13.5"/>
    <row r="1230" customFormat="1" ht="13.5"/>
    <row r="1231" customFormat="1" ht="13.5"/>
    <row r="1232" customFormat="1" ht="13.5"/>
    <row r="1233" customFormat="1" ht="13.5"/>
    <row r="1234" customFormat="1" ht="13.5"/>
    <row r="1235" customFormat="1" ht="13.5"/>
    <row r="1236" customFormat="1" ht="13.5"/>
    <row r="1237" customFormat="1" ht="13.5"/>
    <row r="1238" customFormat="1" ht="13.5"/>
    <row r="1239" customFormat="1" ht="13.5"/>
    <row r="1240" customFormat="1" ht="13.5"/>
    <row r="1241" customFormat="1" ht="13.5"/>
    <row r="1242" customFormat="1" ht="13.5"/>
    <row r="1243" customFormat="1" ht="13.5"/>
    <row r="1244" customFormat="1" ht="13.5"/>
    <row r="1245" customFormat="1" ht="13.5"/>
    <row r="1246" customFormat="1" ht="13.5"/>
    <row r="1247" customFormat="1" ht="13.5"/>
    <row r="1248" customFormat="1" ht="13.5"/>
    <row r="1249" customFormat="1" ht="13.5"/>
    <row r="1250" customFormat="1" ht="13.5"/>
    <row r="1251" customFormat="1" ht="13.5"/>
    <row r="1252" customFormat="1" ht="13.5"/>
    <row r="1253" customFormat="1" ht="13.5"/>
    <row r="1254" customFormat="1" ht="13.5"/>
    <row r="1255" customFormat="1" ht="13.5"/>
    <row r="1256" customFormat="1" ht="13.5"/>
    <row r="1257" customFormat="1" ht="13.5"/>
    <row r="1258" customFormat="1" ht="13.5"/>
    <row r="1259" customFormat="1" ht="13.5"/>
    <row r="1260" customFormat="1" ht="13.5"/>
    <row r="1261" customFormat="1" ht="13.5"/>
    <row r="1262" customFormat="1" ht="13.5"/>
    <row r="1263" customFormat="1" ht="13.5"/>
    <row r="1264" customFormat="1" ht="13.5"/>
    <row r="1265" customFormat="1" ht="13.5"/>
    <row r="1266" customFormat="1" ht="13.5"/>
    <row r="1267" customFormat="1" ht="13.5"/>
    <row r="1268" customFormat="1" ht="13.5"/>
    <row r="1269" customFormat="1" ht="13.5"/>
    <row r="1270" customFormat="1" ht="13.5"/>
    <row r="1271" customFormat="1" ht="13.5"/>
    <row r="1272" customFormat="1" ht="13.5"/>
    <row r="1273" customFormat="1" ht="13.5"/>
    <row r="1274" customFormat="1" ht="13.5"/>
    <row r="1275" customFormat="1" ht="13.5"/>
    <row r="1276" customFormat="1" ht="13.5"/>
    <row r="1277" customFormat="1" ht="13.5"/>
    <row r="1278" customFormat="1" ht="13.5"/>
    <row r="1279" customFormat="1" ht="13.5"/>
    <row r="1280" customFormat="1" ht="13.5"/>
    <row r="1281" customFormat="1" ht="13.5"/>
    <row r="1282" customFormat="1" ht="13.5"/>
    <row r="1283" customFormat="1" ht="13.5"/>
    <row r="1284" customFormat="1" ht="13.5"/>
    <row r="1285" customFormat="1" ht="13.5"/>
    <row r="1286" customFormat="1" ht="13.5"/>
    <row r="1287" customFormat="1" ht="13.5"/>
    <row r="1288" customFormat="1" ht="13.5"/>
    <row r="1289" customFormat="1" ht="13.5"/>
    <row r="1290" customFormat="1" ht="13.5"/>
    <row r="1291" customFormat="1" ht="13.5"/>
    <row r="1292" customFormat="1" ht="13.5"/>
    <row r="1293" customFormat="1" ht="13.5"/>
    <row r="1294" customFormat="1" ht="13.5"/>
    <row r="1295" customFormat="1" ht="13.5"/>
    <row r="1296" customFormat="1" ht="13.5"/>
    <row r="1297" customFormat="1" ht="13.5"/>
    <row r="1298" customFormat="1" ht="13.5"/>
    <row r="1299" customFormat="1" ht="13.5"/>
    <row r="1300" customFormat="1" ht="13.5"/>
    <row r="1301" customFormat="1" ht="13.5"/>
    <row r="1302" customFormat="1" ht="13.5"/>
    <row r="1303" customFormat="1" ht="13.5"/>
    <row r="1304" customFormat="1" ht="13.5"/>
    <row r="1305" customFormat="1" ht="13.5"/>
    <row r="1306" customFormat="1" ht="13.5"/>
    <row r="1307" customFormat="1" ht="13.5"/>
    <row r="1308" customFormat="1" ht="13.5"/>
    <row r="1309" customFormat="1" ht="13.5"/>
    <row r="1310" customFormat="1" ht="13.5"/>
    <row r="1311" customFormat="1" ht="13.5"/>
    <row r="1312" customFormat="1" ht="13.5"/>
    <row r="1313" customFormat="1" ht="13.5"/>
    <row r="1314" customFormat="1" ht="13.5"/>
    <row r="1315" customFormat="1" ht="13.5"/>
    <row r="1316" customFormat="1" ht="13.5"/>
    <row r="1317" customFormat="1" ht="13.5"/>
    <row r="1318" customFormat="1" ht="13.5"/>
    <row r="1319" customFormat="1" ht="13.5"/>
    <row r="1320" customFormat="1" ht="13.5"/>
    <row r="1321" customFormat="1" ht="13.5"/>
    <row r="1322" customFormat="1" ht="13.5"/>
    <row r="1323" customFormat="1" ht="13.5"/>
    <row r="1324" customFormat="1" ht="13.5"/>
    <row r="1325" customFormat="1" ht="13.5"/>
    <row r="1326" customFormat="1" ht="13.5"/>
    <row r="1327" customFormat="1" ht="13.5"/>
    <row r="1328" customFormat="1" ht="13.5"/>
    <row r="1329" customFormat="1" ht="13.5"/>
    <row r="1330" customFormat="1" ht="13.5"/>
    <row r="1331" customFormat="1" ht="13.5"/>
    <row r="1332" customFormat="1" ht="13.5"/>
    <row r="1333" customFormat="1" ht="13.5"/>
    <row r="1334" customFormat="1" ht="13.5"/>
    <row r="1335" customFormat="1" ht="13.5"/>
    <row r="1336" customFormat="1" ht="13.5"/>
    <row r="1337" customFormat="1" ht="13.5"/>
    <row r="1338" customFormat="1" ht="13.5"/>
    <row r="1339" customFormat="1" ht="13.5"/>
    <row r="1340" customFormat="1" ht="13.5"/>
    <row r="1341" customFormat="1" ht="13.5"/>
    <row r="1342" customFormat="1" ht="13.5"/>
    <row r="1343" customFormat="1" ht="13.5"/>
    <row r="1344" customFormat="1" ht="13.5"/>
    <row r="1345" customFormat="1" ht="13.5"/>
    <row r="1346" customFormat="1" ht="13.5"/>
    <row r="1347" customFormat="1" ht="13.5"/>
    <row r="1348" customFormat="1" ht="13.5"/>
    <row r="1349" customFormat="1" ht="13.5"/>
    <row r="1350" customFormat="1" ht="13.5"/>
    <row r="1351" customFormat="1" ht="13.5"/>
    <row r="1352" customFormat="1" ht="13.5"/>
    <row r="1353" customFormat="1" ht="13.5"/>
    <row r="1354" customFormat="1" ht="13.5"/>
    <row r="1355" customFormat="1" ht="13.5"/>
    <row r="1356" customFormat="1" ht="13.5"/>
    <row r="1357" customFormat="1" ht="13.5"/>
    <row r="1358" customFormat="1" ht="13.5"/>
    <row r="1359" customFormat="1" ht="13.5"/>
    <row r="1360" customFormat="1" ht="13.5"/>
    <row r="1361" customFormat="1" ht="13.5"/>
    <row r="1362" customFormat="1" ht="13.5"/>
    <row r="1363" customFormat="1" ht="13.5"/>
    <row r="1364" customFormat="1" ht="13.5"/>
    <row r="1365" customFormat="1" ht="13.5"/>
    <row r="1366" customFormat="1" ht="13.5"/>
    <row r="1367" customFormat="1" ht="13.5"/>
    <row r="1368" customFormat="1" ht="13.5"/>
    <row r="1369" customFormat="1" ht="13.5"/>
    <row r="1370" customFormat="1" ht="13.5"/>
    <row r="1371" customFormat="1" ht="13.5"/>
    <row r="1372" customFormat="1" ht="13.5"/>
    <row r="1373" customFormat="1" ht="13.5"/>
    <row r="1374" customFormat="1" ht="13.5"/>
    <row r="1375" customFormat="1" ht="13.5"/>
    <row r="1376" customFormat="1" ht="13.5"/>
    <row r="1377" customFormat="1" ht="13.5"/>
    <row r="1378" customFormat="1" ht="13.5"/>
    <row r="1379" customFormat="1" ht="13.5"/>
    <row r="1380" customFormat="1" ht="13.5"/>
    <row r="1381" customFormat="1" ht="13.5"/>
    <row r="1382" customFormat="1" ht="13.5"/>
    <row r="1383" customFormat="1" ht="13.5"/>
    <row r="1384" customFormat="1" ht="13.5"/>
    <row r="1385" customFormat="1" ht="13.5"/>
    <row r="1386" customFormat="1" ht="13.5"/>
    <row r="1387" customFormat="1" ht="13.5"/>
    <row r="1388" customFormat="1" ht="13.5"/>
    <row r="1389" customFormat="1" ht="13.5"/>
    <row r="1390" customFormat="1" ht="13.5"/>
    <row r="1391" customFormat="1" ht="13.5"/>
    <row r="1392" customFormat="1" ht="13.5"/>
    <row r="1393" customFormat="1" ht="13.5"/>
    <row r="1394" customFormat="1" ht="13.5"/>
    <row r="1395" customFormat="1" ht="13.5"/>
    <row r="1396" customFormat="1" ht="13.5"/>
    <row r="1397" customFormat="1" ht="13.5"/>
    <row r="1398" customFormat="1" ht="13.5"/>
    <row r="1399" customFormat="1" ht="13.5"/>
    <row r="1400" customFormat="1" ht="13.5"/>
    <row r="1401" customFormat="1" ht="13.5"/>
    <row r="1402" customFormat="1" ht="13.5"/>
    <row r="1403" customFormat="1" ht="13.5"/>
    <row r="1404" customFormat="1" ht="13.5"/>
    <row r="1405" customFormat="1" ht="13.5"/>
    <row r="1406" customFormat="1" ht="13.5"/>
    <row r="1407" customFormat="1" ht="13.5"/>
    <row r="1408" customFormat="1" ht="13.5"/>
    <row r="1409" customFormat="1" ht="13.5"/>
    <row r="1410" customFormat="1" ht="13.5"/>
    <row r="1411" customFormat="1" ht="13.5"/>
    <row r="1412" customFormat="1" ht="13.5"/>
    <row r="1413" customFormat="1" ht="13.5"/>
    <row r="1414" customFormat="1" ht="13.5"/>
    <row r="1415" customFormat="1" ht="13.5"/>
    <row r="1416" customFormat="1" ht="13.5"/>
    <row r="1417" customFormat="1" ht="13.5"/>
    <row r="1418" customFormat="1" ht="13.5"/>
    <row r="1419" customFormat="1" ht="13.5"/>
    <row r="1420" customFormat="1" ht="13.5"/>
    <row r="1421" customFormat="1" ht="13.5"/>
    <row r="1422" customFormat="1" ht="13.5"/>
    <row r="1423" customFormat="1" ht="13.5"/>
    <row r="1424" customFormat="1" ht="13.5"/>
    <row r="1425" customFormat="1" ht="13.5"/>
    <row r="1426" customFormat="1" ht="13.5"/>
    <row r="1427" customFormat="1" ht="13.5"/>
    <row r="1428" customFormat="1" ht="13.5"/>
    <row r="1429" customFormat="1" ht="13.5"/>
    <row r="1430" customFormat="1" ht="13.5"/>
    <row r="1431" customFormat="1" ht="13.5"/>
    <row r="1432" customFormat="1" ht="13.5"/>
    <row r="1433" customFormat="1" ht="13.5"/>
    <row r="1434" customFormat="1" ht="13.5"/>
    <row r="1435" customFormat="1" ht="13.5"/>
    <row r="1436" customFormat="1" ht="13.5"/>
    <row r="1437" customFormat="1" ht="13.5"/>
    <row r="1438" customFormat="1" ht="13.5"/>
    <row r="1439" customFormat="1" ht="13.5"/>
    <row r="1440" customFormat="1" ht="13.5"/>
    <row r="1441" customFormat="1" ht="13.5"/>
    <row r="1442" customFormat="1" ht="13.5"/>
    <row r="1443" customFormat="1" ht="13.5"/>
    <row r="1444" customFormat="1" ht="13.5"/>
    <row r="1445" customFormat="1" ht="13.5"/>
    <row r="1446" customFormat="1" ht="13.5"/>
    <row r="1447" customFormat="1" ht="13.5"/>
    <row r="1448" customFormat="1" ht="13.5"/>
    <row r="1449" customFormat="1" ht="13.5"/>
    <row r="1450" customFormat="1" ht="13.5"/>
    <row r="1451" customFormat="1" ht="13.5"/>
    <row r="1452" customFormat="1" ht="13.5"/>
    <row r="1453" customFormat="1" ht="13.5"/>
    <row r="1454" customFormat="1" ht="13.5"/>
    <row r="1455" customFormat="1" ht="13.5"/>
    <row r="1456" customFormat="1" ht="13.5"/>
    <row r="1457" customFormat="1" ht="13.5"/>
    <row r="1458" customFormat="1" ht="13.5"/>
    <row r="1459" customFormat="1" ht="13.5"/>
    <row r="1460" customFormat="1" ht="13.5"/>
    <row r="1461" customFormat="1" ht="13.5"/>
    <row r="1462" customFormat="1" ht="13.5"/>
    <row r="1463" customFormat="1" ht="13.5"/>
    <row r="1464" customFormat="1" ht="13.5"/>
    <row r="1465" customFormat="1" ht="13.5"/>
    <row r="1466" customFormat="1" ht="13.5"/>
    <row r="1467" customFormat="1" ht="13.5"/>
    <row r="1468" customFormat="1" ht="13.5"/>
    <row r="1469" customFormat="1" ht="13.5"/>
    <row r="1470" customFormat="1" ht="13.5"/>
    <row r="1471" customFormat="1" ht="13.5"/>
    <row r="1472" customFormat="1" ht="13.5"/>
    <row r="1473" customFormat="1" ht="13.5"/>
    <row r="1474" customFormat="1" ht="13.5"/>
    <row r="1475" customFormat="1" ht="13.5"/>
    <row r="1476" customFormat="1" ht="13.5"/>
    <row r="1477" customFormat="1" ht="13.5"/>
    <row r="1478" customFormat="1" ht="13.5"/>
    <row r="1479" customFormat="1" ht="13.5"/>
    <row r="1480" customFormat="1" ht="13.5"/>
    <row r="1481" customFormat="1" ht="13.5"/>
    <row r="1482" customFormat="1" ht="13.5"/>
    <row r="1483" customFormat="1" ht="13.5"/>
    <row r="1484" customFormat="1" ht="13.5"/>
    <row r="1485" customFormat="1" ht="13.5"/>
    <row r="1486" customFormat="1" ht="13.5"/>
    <row r="1487" customFormat="1" ht="13.5"/>
    <row r="1488" customFormat="1" ht="13.5"/>
    <row r="1489" customFormat="1" ht="13.5"/>
    <row r="1490" customFormat="1" ht="13.5"/>
    <row r="1491" customFormat="1" ht="13.5"/>
    <row r="1492" customFormat="1" ht="13.5"/>
    <row r="1493" customFormat="1" ht="13.5"/>
    <row r="1494" customFormat="1" ht="13.5"/>
    <row r="1495" customFormat="1" ht="13.5"/>
    <row r="1496" customFormat="1" ht="13.5"/>
    <row r="1497" customFormat="1" ht="13.5"/>
    <row r="1498" customFormat="1" ht="13.5"/>
    <row r="1499" customFormat="1" ht="13.5"/>
    <row r="1500" customFormat="1" ht="13.5"/>
    <row r="1501" customFormat="1" ht="13.5"/>
    <row r="1502" customFormat="1" ht="13.5"/>
    <row r="1503" customFormat="1" ht="13.5"/>
    <row r="1504" customFormat="1" ht="13.5"/>
    <row r="1505" customFormat="1" ht="13.5"/>
    <row r="1506" customFormat="1" ht="13.5"/>
    <row r="1507" customFormat="1" ht="13.5"/>
    <row r="1508" customFormat="1" ht="13.5"/>
    <row r="1509" customFormat="1" ht="13.5"/>
    <row r="1510" customFormat="1" ht="13.5"/>
    <row r="1511" customFormat="1" ht="13.5"/>
    <row r="1512" customFormat="1" ht="13.5"/>
    <row r="1513" customFormat="1" ht="13.5"/>
    <row r="1514" customFormat="1" ht="13.5"/>
    <row r="1515" customFormat="1" ht="13.5"/>
    <row r="1516" customFormat="1" ht="13.5"/>
    <row r="1517" customFormat="1" ht="13.5"/>
    <row r="1518" customFormat="1" ht="13.5"/>
    <row r="1519" customFormat="1" ht="13.5"/>
    <row r="1520" customFormat="1" ht="13.5"/>
    <row r="1521" customFormat="1" ht="13.5"/>
    <row r="1522" customFormat="1" ht="13.5"/>
    <row r="1523" customFormat="1" ht="13.5"/>
    <row r="1524" customFormat="1" ht="13.5"/>
    <row r="1525" customFormat="1" ht="13.5"/>
    <row r="1526" customFormat="1" ht="13.5"/>
    <row r="1527" customFormat="1" ht="13.5"/>
    <row r="1528" customFormat="1" ht="13.5"/>
    <row r="1529" customFormat="1" ht="13.5"/>
    <row r="1530" customFormat="1" ht="13.5"/>
    <row r="1531" customFormat="1" ht="13.5"/>
    <row r="1532" customFormat="1" ht="13.5"/>
    <row r="1533" customFormat="1" ht="13.5"/>
    <row r="1534" customFormat="1" ht="13.5"/>
    <row r="1535" customFormat="1" ht="13.5"/>
    <row r="1536" customFormat="1" ht="13.5"/>
    <row r="1537" customFormat="1" ht="13.5"/>
    <row r="1538" customFormat="1" ht="13.5"/>
    <row r="1539" customFormat="1" ht="13.5"/>
    <row r="1540" customFormat="1" ht="13.5"/>
    <row r="1541" customFormat="1" ht="13.5"/>
    <row r="1542" customFormat="1" ht="13.5"/>
    <row r="1543" customFormat="1" ht="13.5"/>
    <row r="1544" customFormat="1" ht="13.5"/>
    <row r="1545" customFormat="1" ht="13.5"/>
    <row r="1546" customFormat="1" ht="13.5"/>
    <row r="1547" customFormat="1" ht="13.5"/>
    <row r="1548" customFormat="1" ht="13.5"/>
    <row r="1549" customFormat="1" ht="13.5"/>
    <row r="1550" customFormat="1" ht="13.5"/>
    <row r="1551" customFormat="1" ht="13.5"/>
    <row r="1552" customFormat="1" ht="13.5"/>
    <row r="1553" customFormat="1" ht="13.5"/>
    <row r="1554" customFormat="1" ht="13.5"/>
    <row r="1555" customFormat="1" ht="13.5"/>
    <row r="1556" customFormat="1" ht="13.5"/>
    <row r="1557" customFormat="1" ht="13.5"/>
    <row r="1558" customFormat="1" ht="13.5"/>
    <row r="1559" customFormat="1" ht="13.5"/>
    <row r="1560" customFormat="1" ht="13.5"/>
    <row r="1561" customFormat="1" ht="13.5"/>
    <row r="1562" customFormat="1" ht="13.5"/>
    <row r="1563" customFormat="1" ht="13.5"/>
    <row r="1564" customFormat="1" ht="13.5"/>
    <row r="1565" customFormat="1" ht="13.5"/>
    <row r="1566" customFormat="1" ht="13.5"/>
    <row r="1567" customFormat="1" ht="13.5"/>
    <row r="1568" customFormat="1" ht="13.5"/>
    <row r="1569" customFormat="1" ht="13.5"/>
    <row r="1570" customFormat="1" ht="13.5"/>
    <row r="1571" customFormat="1" ht="13.5"/>
    <row r="1572" customFormat="1" ht="13.5"/>
    <row r="1573" customFormat="1" ht="13.5"/>
    <row r="1574" customFormat="1" ht="13.5"/>
    <row r="1575" customFormat="1" ht="13.5"/>
    <row r="1576" customFormat="1" ht="13.5"/>
    <row r="1577" customFormat="1" ht="13.5"/>
    <row r="1578" customFormat="1" ht="13.5"/>
    <row r="1579" customFormat="1" ht="13.5"/>
    <row r="1580" customFormat="1" ht="13.5"/>
    <row r="1581" customFormat="1" ht="13.5"/>
    <row r="1582" customFormat="1" ht="13.5"/>
    <row r="1583" customFormat="1" ht="13.5"/>
    <row r="1584" customFormat="1" ht="13.5"/>
    <row r="1585" customFormat="1" ht="13.5"/>
    <row r="1586" customFormat="1" ht="13.5"/>
    <row r="1587" customFormat="1" ht="13.5"/>
    <row r="1588" customFormat="1" ht="13.5"/>
    <row r="1589" customFormat="1" ht="13.5"/>
    <row r="1590" customFormat="1" ht="13.5"/>
    <row r="1591" customFormat="1" ht="13.5"/>
    <row r="1592" customFormat="1" ht="13.5"/>
    <row r="1593" customFormat="1" ht="13.5"/>
    <row r="1594" customFormat="1" ht="13.5"/>
    <row r="1595" customFormat="1" ht="13.5"/>
    <row r="1596" customFormat="1" ht="13.5"/>
    <row r="1597" customFormat="1" ht="13.5"/>
    <row r="1598" customFormat="1" ht="13.5"/>
    <row r="1599" customFormat="1" ht="13.5"/>
    <row r="1600" customFormat="1" ht="13.5"/>
    <row r="1601" customFormat="1" ht="13.5"/>
    <row r="1602" customFormat="1" ht="13.5"/>
    <row r="1603" customFormat="1" ht="13.5"/>
    <row r="1604" customFormat="1" ht="13.5"/>
    <row r="1605" customFormat="1" ht="13.5"/>
    <row r="1606" customFormat="1" ht="13.5"/>
    <row r="1607" customFormat="1" ht="13.5"/>
    <row r="1608" customFormat="1" ht="13.5"/>
    <row r="1609" customFormat="1" ht="13.5"/>
    <row r="1610" customFormat="1" ht="13.5"/>
    <row r="1611" customFormat="1" ht="13.5"/>
    <row r="1612" customFormat="1" ht="13.5"/>
    <row r="1613" customFormat="1" ht="13.5"/>
    <row r="1614" customFormat="1" ht="13.5"/>
    <row r="1615" customFormat="1" ht="13.5"/>
    <row r="1616" customFormat="1" ht="13.5"/>
    <row r="1617" customFormat="1" ht="13.5"/>
    <row r="1618" customFormat="1" ht="13.5"/>
    <row r="1619" customFormat="1" ht="13.5"/>
    <row r="1620" customFormat="1" ht="13.5"/>
    <row r="1621" customFormat="1" ht="13.5"/>
    <row r="1622" customFormat="1" ht="13.5"/>
    <row r="1623" customFormat="1" ht="13.5"/>
    <row r="1624" customFormat="1" ht="13.5"/>
    <row r="1625" customFormat="1" ht="13.5"/>
    <row r="1626" customFormat="1" ht="13.5"/>
    <row r="1627" customFormat="1" ht="13.5"/>
    <row r="1628" customFormat="1" ht="13.5"/>
    <row r="1629" customFormat="1" ht="13.5"/>
    <row r="1630" customFormat="1" ht="13.5"/>
    <row r="1631" customFormat="1" ht="13.5"/>
    <row r="1632" customFormat="1" ht="13.5"/>
    <row r="1633" customFormat="1" ht="13.5"/>
    <row r="1634" customFormat="1" ht="13.5"/>
    <row r="1635" customFormat="1" ht="13.5"/>
    <row r="1636" customFormat="1" ht="13.5"/>
    <row r="1637" customFormat="1" ht="13.5"/>
    <row r="1638" customFormat="1" ht="13.5"/>
    <row r="1639" customFormat="1" ht="13.5"/>
    <row r="1640" customFormat="1" ht="13.5"/>
    <row r="1641" customFormat="1" ht="13.5"/>
    <row r="1642" customFormat="1" ht="13.5"/>
    <row r="1643" customFormat="1" ht="13.5"/>
    <row r="1644" customFormat="1" ht="13.5"/>
    <row r="1645" customFormat="1" ht="13.5"/>
    <row r="1646" customFormat="1" ht="13.5"/>
    <row r="1647" customFormat="1" ht="13.5"/>
    <row r="1648" customFormat="1" ht="13.5"/>
    <row r="1649" customFormat="1" ht="13.5"/>
    <row r="1650" customFormat="1" ht="13.5"/>
    <row r="1651" customFormat="1" ht="13.5"/>
    <row r="1652" customFormat="1" ht="13.5"/>
    <row r="1653" customFormat="1" ht="13.5"/>
    <row r="1654" customFormat="1" ht="13.5"/>
    <row r="1655" customFormat="1" ht="13.5"/>
    <row r="1656" customFormat="1" ht="13.5"/>
    <row r="1657" customFormat="1" ht="13.5"/>
    <row r="1658" customFormat="1" ht="13.5"/>
    <row r="1659" customFormat="1" ht="13.5"/>
    <row r="1660" customFormat="1" ht="13.5"/>
    <row r="1661" customFormat="1" ht="13.5"/>
    <row r="1662" customFormat="1" ht="13.5"/>
    <row r="1663" customFormat="1" ht="13.5"/>
    <row r="1664" customFormat="1" ht="13.5"/>
    <row r="1665" customFormat="1" ht="13.5"/>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1126</v>
      </c>
      <c r="B1" s="1071"/>
      <c r="C1" s="1071"/>
      <c r="D1" s="1071"/>
      <c r="E1" s="1071"/>
      <c r="F1" s="1071"/>
      <c r="G1" s="1071"/>
      <c r="H1" s="1071"/>
      <c r="I1" s="1071"/>
      <c r="J1" s="1071"/>
      <c r="K1" s="1071"/>
      <c r="L1" s="1071"/>
      <c r="M1" s="1071"/>
      <c r="N1" s="1071"/>
      <c r="O1" s="1071"/>
      <c r="P1" s="1071"/>
    </row>
    <row r="2" spans="1:16" ht="15">
      <c r="A2" s="3277" t="s">
        <v>1127</v>
      </c>
      <c r="B2" s="3277"/>
      <c r="C2" s="3277"/>
      <c r="D2" s="748" t="s">
        <v>1103</v>
      </c>
      <c r="E2" s="1523" t="s">
        <v>1104</v>
      </c>
      <c r="F2" s="2439"/>
      <c r="G2" s="2432"/>
      <c r="H2" s="2433"/>
      <c r="I2" s="2146" t="s">
        <v>1128</v>
      </c>
      <c r="J2" s="2439"/>
      <c r="K2" s="2439"/>
      <c r="L2" s="2439"/>
      <c r="M2" s="2439"/>
      <c r="N2" s="2440"/>
      <c r="O2" s="2439"/>
      <c r="P2" s="2439"/>
    </row>
    <row r="3" spans="1:16" ht="15.75" thickBot="1">
      <c r="A3" s="3278" t="s">
        <v>1101</v>
      </c>
      <c r="B3" s="3278"/>
      <c r="C3" s="3278"/>
      <c r="D3" s="41">
        <f>'数据-基础表'!AY6</f>
        <v>0</v>
      </c>
      <c r="E3" s="41">
        <f>'数据-基础表'!AZ5</f>
        <v>315.39</v>
      </c>
      <c r="F3" s="2439"/>
      <c r="G3" s="42"/>
      <c r="H3" s="43" t="s">
        <v>1102</v>
      </c>
      <c r="I3" s="802" t="e">
        <f>ROUND('数据-基础表'!B3/'数据-基础表'!A3,2)</f>
        <v>#DIV/0!</v>
      </c>
      <c r="J3" s="2439"/>
      <c r="K3" s="2439"/>
      <c r="L3" s="2439"/>
      <c r="M3" s="2439"/>
      <c r="N3" s="2440"/>
      <c r="O3" s="2439"/>
      <c r="P3" s="2439"/>
    </row>
    <row r="4" spans="1:16" ht="15">
      <c r="A4" s="3279"/>
      <c r="B4" s="3280"/>
      <c r="C4" s="3281"/>
      <c r="D4" s="1524" t="s">
        <v>1103</v>
      </c>
      <c r="E4" s="1525" t="s">
        <v>1104</v>
      </c>
      <c r="F4" s="2439"/>
      <c r="G4" s="2434" t="s">
        <v>1129</v>
      </c>
      <c r="H4" s="43" t="s">
        <v>1109</v>
      </c>
      <c r="I4" s="802" t="e">
        <f>ROUND(SUMIF('数据-基础表'!I9:AS9,"地上",'数据-基础表'!I5:AS5)/'数据-基础表'!A3,2)</f>
        <v>#DIV/0!</v>
      </c>
      <c r="J4" s="2439"/>
      <c r="K4" s="2439"/>
      <c r="L4" s="2439"/>
      <c r="M4" s="2439"/>
      <c r="N4" s="2440"/>
      <c r="O4" s="2439"/>
      <c r="P4" s="2439"/>
    </row>
    <row r="5" spans="1:16">
      <c r="A5" s="42" t="s">
        <v>1105</v>
      </c>
      <c r="B5" s="3282" t="s">
        <v>1106</v>
      </c>
      <c r="C5" s="3282"/>
      <c r="D5" s="43">
        <f>ROUND($D$3*E5/$E$3,2)</f>
        <v>0</v>
      </c>
      <c r="E5" s="44">
        <f>SUMIF('数据-基础表'!$11:$11,"住宅",'数据-基础表'!$5:$5)</f>
        <v>272.99</v>
      </c>
      <c r="F5" s="2439"/>
      <c r="G5" s="42"/>
      <c r="H5" s="43" t="s">
        <v>1102</v>
      </c>
      <c r="I5" s="802" t="e">
        <f>ROUND(E31/D31,2)</f>
        <v>#DIV/0!</v>
      </c>
      <c r="J5" s="2439"/>
      <c r="K5" s="2439"/>
      <c r="L5" s="2439"/>
      <c r="M5" s="2439"/>
      <c r="N5" s="2439"/>
      <c r="O5" s="2439"/>
      <c r="P5" s="2439"/>
    </row>
    <row r="6" spans="1:16" ht="15" thickBot="1">
      <c r="A6" s="1527"/>
      <c r="B6" s="3282" t="s">
        <v>1107</v>
      </c>
      <c r="C6" s="3282"/>
      <c r="D6" s="43">
        <f>ROUND($D$3*E6/$E$3,2)</f>
        <v>0</v>
      </c>
      <c r="E6" s="44">
        <f>E3-E5</f>
        <v>42.399999999999977</v>
      </c>
      <c r="F6" s="2439"/>
      <c r="G6" s="1529" t="s">
        <v>1108</v>
      </c>
      <c r="H6" s="45" t="s">
        <v>1109</v>
      </c>
      <c r="I6" s="2435" t="e">
        <f>ROUND(F31/D31,2)</f>
        <v>#DIV/0!</v>
      </c>
      <c r="J6" s="2439"/>
      <c r="K6" s="2439"/>
      <c r="L6" s="2439"/>
      <c r="M6" s="2439"/>
      <c r="N6" s="2439"/>
      <c r="O6" s="2439"/>
      <c r="P6" s="2439"/>
    </row>
    <row r="7" spans="1:16" ht="15.75" thickBot="1">
      <c r="A7" s="3274"/>
      <c r="B7" s="3275"/>
      <c r="C7" s="3276"/>
      <c r="D7" s="1524" t="s">
        <v>1103</v>
      </c>
      <c r="E7" s="1528" t="s">
        <v>1110</v>
      </c>
      <c r="F7" s="2439"/>
      <c r="G7" s="2436" t="s">
        <v>1111</v>
      </c>
      <c r="H7" s="95"/>
      <c r="I7" s="2437">
        <v>1.05</v>
      </c>
      <c r="J7" s="2439"/>
      <c r="K7" s="2439"/>
      <c r="L7" s="2439"/>
      <c r="M7" s="2439"/>
      <c r="N7" s="2439"/>
      <c r="O7" s="2439"/>
      <c r="P7" s="2439"/>
    </row>
    <row r="8" spans="1:16">
      <c r="A8" s="42" t="s">
        <v>1112</v>
      </c>
      <c r="B8" s="45" t="s">
        <v>1113</v>
      </c>
      <c r="C8" s="43" t="s">
        <v>1114</v>
      </c>
      <c r="D8" s="43">
        <f t="shared" ref="D8:D15" si="0">ROUND($D$3*E8/$E$3,2)</f>
        <v>0</v>
      </c>
      <c r="E8" s="46">
        <f>SUMIF('数据-基础表'!BB10:BK10,"地上",'数据-基础表'!BB5:BK5)</f>
        <v>272.99</v>
      </c>
      <c r="F8" s="2439"/>
      <c r="G8" s="2439"/>
      <c r="H8" s="2439"/>
      <c r="I8" s="2439"/>
      <c r="J8" s="2439"/>
      <c r="K8" s="2439"/>
      <c r="L8" s="2439"/>
      <c r="M8" s="2439"/>
      <c r="N8" s="2439"/>
      <c r="O8" s="2439"/>
      <c r="P8" s="2439"/>
    </row>
    <row r="9" spans="1:16">
      <c r="A9" s="1529"/>
      <c r="B9" s="1530"/>
      <c r="C9" s="43" t="s">
        <v>1115</v>
      </c>
      <c r="D9" s="43">
        <f t="shared" si="0"/>
        <v>0</v>
      </c>
      <c r="E9" s="47">
        <v>0</v>
      </c>
      <c r="F9" s="2439"/>
      <c r="G9" s="2439"/>
      <c r="H9" s="2439"/>
      <c r="I9" s="2439"/>
      <c r="J9" s="2439"/>
      <c r="K9" s="2439"/>
      <c r="L9" s="2439"/>
      <c r="M9" s="2439"/>
      <c r="N9" s="2439"/>
      <c r="O9" s="2439"/>
      <c r="P9" s="2439"/>
    </row>
    <row r="10" spans="1:16">
      <c r="A10" s="1529"/>
      <c r="B10" s="1530"/>
      <c r="C10" s="43" t="s">
        <v>1124</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1116</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1117</v>
      </c>
      <c r="D12" s="43">
        <f t="shared" si="0"/>
        <v>0</v>
      </c>
      <c r="E12" s="46">
        <f>SUMPRODUCT(('数据-基础表'!BB10:BK10="地下")*('数据-基础表'!BB11:BK11="仓储")*('数据-基础表'!BB5:BK5))</f>
        <v>42.4</v>
      </c>
      <c r="F12" s="2439"/>
      <c r="G12" s="2439"/>
      <c r="H12" s="2439"/>
      <c r="I12" s="2439"/>
      <c r="J12" s="2439"/>
      <c r="K12" s="2439"/>
      <c r="L12" s="2439"/>
      <c r="M12" s="2439"/>
      <c r="N12" s="2439"/>
      <c r="O12" s="2439"/>
      <c r="P12" s="2439"/>
    </row>
    <row r="13" spans="1:16">
      <c r="A13" s="1529"/>
      <c r="B13" s="1530"/>
      <c r="C13" s="43" t="s">
        <v>1118</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1130</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1125</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1119</v>
      </c>
      <c r="D16" s="45">
        <f>SUM(D8:D15)</f>
        <v>0</v>
      </c>
      <c r="E16" s="48">
        <f>SUM(E8:E15)</f>
        <v>315.39</v>
      </c>
      <c r="F16" s="2439"/>
      <c r="G16" s="2439"/>
      <c r="H16" s="1531" t="s">
        <v>1131</v>
      </c>
      <c r="I16" s="1532"/>
      <c r="J16" s="1071"/>
      <c r="K16" s="3271" t="s">
        <v>1131</v>
      </c>
      <c r="L16" s="3272"/>
      <c r="M16" s="3272"/>
      <c r="N16" s="3272"/>
      <c r="O16" s="3272"/>
      <c r="P16" s="3273"/>
    </row>
    <row r="17" spans="1:19" ht="15">
      <c r="A17" s="1533" t="s">
        <v>1132</v>
      </c>
      <c r="B17" s="1534" t="s">
        <v>1133</v>
      </c>
      <c r="C17" s="1535" t="s">
        <v>1134</v>
      </c>
      <c r="D17" s="1536" t="s">
        <v>1122</v>
      </c>
      <c r="E17" s="1537" t="s">
        <v>1123</v>
      </c>
      <c r="F17" s="1538"/>
      <c r="G17" s="1539"/>
      <c r="H17" s="1540" t="s">
        <v>1135</v>
      </c>
      <c r="I17" s="1541" t="s">
        <v>1120</v>
      </c>
      <c r="J17" s="1071"/>
      <c r="K17" s="3268" t="s">
        <v>1136</v>
      </c>
      <c r="L17" s="3269"/>
      <c r="M17" s="3270"/>
      <c r="N17" s="3268" t="s">
        <v>1137</v>
      </c>
      <c r="O17" s="3269"/>
      <c r="P17" s="3270"/>
      <c r="R17" s="769" t="s">
        <v>1138</v>
      </c>
      <c r="S17" s="54"/>
    </row>
    <row r="18" spans="1:19" ht="15">
      <c r="A18" s="1529"/>
      <c r="B18" s="1526"/>
      <c r="C18" s="1542"/>
      <c r="D18" s="1543"/>
      <c r="E18" s="1544" t="s">
        <v>1139</v>
      </c>
      <c r="F18" s="1545" t="s">
        <v>1140</v>
      </c>
      <c r="G18" s="1546" t="s">
        <v>1141</v>
      </c>
      <c r="H18" s="980" t="s">
        <v>1142</v>
      </c>
      <c r="I18" s="1547" t="s">
        <v>1143</v>
      </c>
      <c r="J18" s="1071"/>
      <c r="K18" s="980" t="s">
        <v>1144</v>
      </c>
      <c r="L18" s="1548" t="s">
        <v>1145</v>
      </c>
      <c r="M18" s="802" t="s">
        <v>1146</v>
      </c>
      <c r="N18" s="980" t="s">
        <v>1144</v>
      </c>
      <c r="O18" s="1548" t="s">
        <v>1145</v>
      </c>
      <c r="P18" s="802" t="s">
        <v>1146</v>
      </c>
      <c r="R18" s="43" t="s">
        <v>1147</v>
      </c>
      <c r="S18" s="43" t="s">
        <v>1148</v>
      </c>
    </row>
    <row r="19" spans="1:19">
      <c r="A19" s="1549"/>
      <c r="B19" s="45" t="s">
        <v>1121</v>
      </c>
      <c r="C19" s="3116" t="str">
        <f>'数据-基础表'!C13</f>
        <v>住宅</v>
      </c>
      <c r="D19" s="43">
        <f>ROUND($D$3*E19/$E$3,2)</f>
        <v>0</v>
      </c>
      <c r="E19" s="51">
        <f t="shared" ref="E19:E26" si="1">SUM(F19:G19)</f>
        <v>272.99</v>
      </c>
      <c r="F19" s="2558">
        <f>'数据-基础表'!I13</f>
        <v>272.99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272.99</v>
      </c>
    </row>
    <row r="20" spans="1:19">
      <c r="A20" s="1549"/>
      <c r="B20" s="45" t="s">
        <v>1149</v>
      </c>
      <c r="C20" s="3116" t="str">
        <f>'数据-基础表'!C14</f>
        <v>地下仓储</v>
      </c>
      <c r="D20" s="43">
        <f t="shared" ref="D20:D26" si="6">ROUND($D$3*E20/$E$3,2)</f>
        <v>0</v>
      </c>
      <c r="E20" s="51">
        <f t="shared" si="1"/>
        <v>42.4</v>
      </c>
      <c r="F20" s="2558"/>
      <c r="G20" s="1243">
        <f>'数据-基础表'!K14</f>
        <v>42.4</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42.4</v>
      </c>
    </row>
    <row r="21" spans="1:19">
      <c r="A21" s="1549"/>
      <c r="B21" s="45" t="s">
        <v>1149</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1149</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1149</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1149</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1149</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1149</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1150</v>
      </c>
      <c r="D27" s="1072">
        <f>SUM(D19:D26)</f>
        <v>0</v>
      </c>
      <c r="E27" s="1073">
        <f>IF(SUM(E19:E26)='数据-基础表'!BA5,SUM(E19:E26),IF(F27="地上面积有误","面积有误","地下面积有误"))</f>
        <v>315.39</v>
      </c>
      <c r="F27" s="1072">
        <f>IF(SUM(F19:F26)=E8,SUM(F19:F26),"地上面积有误")</f>
        <v>272.99</v>
      </c>
      <c r="G27" s="1074">
        <f>SUM(G19:G26)</f>
        <v>42.4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315.39</v>
      </c>
    </row>
    <row r="28" spans="1:19">
      <c r="A28" s="1549"/>
      <c r="B28" s="45" t="s">
        <v>1151</v>
      </c>
      <c r="C28" s="54" t="s">
        <v>1152</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1151</v>
      </c>
      <c r="C29" s="1555" t="s">
        <v>1153</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1150</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1154</v>
      </c>
      <c r="D31" s="643">
        <f>D27+D30</f>
        <v>0</v>
      </c>
      <c r="E31" s="643">
        <f>E27+E30</f>
        <v>315.39</v>
      </c>
      <c r="F31" s="644">
        <f>F27+F30</f>
        <v>272.99</v>
      </c>
      <c r="G31" s="645">
        <f>G27+G30</f>
        <v>42.4</v>
      </c>
      <c r="H31" s="2439"/>
      <c r="I31" s="2439"/>
      <c r="J31" s="2439"/>
      <c r="K31" s="2439"/>
      <c r="L31" s="2439"/>
      <c r="M31" s="2439"/>
      <c r="N31" s="2439"/>
      <c r="O31" s="2439"/>
      <c r="P31" s="2439"/>
    </row>
    <row r="32" spans="1:19">
      <c r="A32" s="1526"/>
      <c r="B32" s="1526" t="s">
        <v>1155</v>
      </c>
      <c r="C32" s="1526"/>
      <c r="D32" s="1526"/>
      <c r="E32" s="990">
        <f>SUMIF(C19:C26,"*住宅*",E19:E26)</f>
        <v>272.99</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9" priority="1" stopIfTrue="1" operator="containsText" text="面积有误">
      <formula>NOT(ISERROR(SEARCH("面积有误",E27)))</formula>
    </cfRule>
    <cfRule type="cellIs" dxfId="148" priority="3" stopIfTrue="1" operator="equal">
      <formula>"地下面积有误"</formula>
    </cfRule>
  </conditionalFormatting>
  <conditionalFormatting sqref="F27">
    <cfRule type="cellIs" dxfId="14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8" sqref="J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1156</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1157</v>
      </c>
      <c r="B2" s="984">
        <f>项目基本情况!D3</f>
        <v>46014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1158</v>
      </c>
      <c r="B4" s="1564"/>
      <c r="C4" s="1565"/>
      <c r="D4" s="1566"/>
      <c r="E4" s="1565" t="s">
        <v>1159</v>
      </c>
      <c r="F4" s="1565"/>
      <c r="G4" s="1565"/>
      <c r="H4" s="1565"/>
      <c r="I4" s="1565"/>
      <c r="J4" s="1567"/>
      <c r="K4" s="1568"/>
      <c r="L4" s="1569"/>
      <c r="M4" s="1565"/>
      <c r="N4" s="1565" t="s">
        <v>1160</v>
      </c>
      <c r="O4" s="1565"/>
      <c r="P4" s="1565"/>
      <c r="Q4" s="1565"/>
      <c r="R4" s="1565"/>
      <c r="S4" s="1567"/>
      <c r="T4" s="2438" t="str">
        <f>'数据-汇总表'!I17</f>
        <v>按面积比例</v>
      </c>
      <c r="U4" s="1564" t="s">
        <v>1161</v>
      </c>
      <c r="V4" s="1565"/>
      <c r="W4" s="1565"/>
      <c r="X4" s="1565"/>
      <c r="Y4" s="1567"/>
      <c r="Z4" s="1535" t="s">
        <v>1162</v>
      </c>
      <c r="AA4" s="1535"/>
      <c r="AB4" s="1535"/>
      <c r="AC4" s="1535"/>
      <c r="AD4" s="1535"/>
      <c r="AE4" s="1533" t="s">
        <v>1163</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1164</v>
      </c>
      <c r="B5" s="1572" t="s">
        <v>1165</v>
      </c>
      <c r="C5" s="1573" t="s">
        <v>1166</v>
      </c>
      <c r="D5" s="1574" t="s">
        <v>1167</v>
      </c>
      <c r="E5" s="504" t="s">
        <v>1168</v>
      </c>
      <c r="F5" s="1575" t="s">
        <v>1169</v>
      </c>
      <c r="G5" s="504" t="s">
        <v>1170</v>
      </c>
      <c r="H5" s="504" t="s">
        <v>1171</v>
      </c>
      <c r="I5" s="504" t="s">
        <v>1172</v>
      </c>
      <c r="J5" s="1247" t="s">
        <v>1173</v>
      </c>
      <c r="K5" s="1576" t="s">
        <v>1174</v>
      </c>
      <c r="L5" s="1577" t="s">
        <v>1175</v>
      </c>
      <c r="M5" s="1578" t="s">
        <v>1176</v>
      </c>
      <c r="N5" s="1579" t="s">
        <v>4802</v>
      </c>
      <c r="O5" s="1577" t="s">
        <v>1177</v>
      </c>
      <c r="P5" s="1580" t="s">
        <v>1178</v>
      </c>
      <c r="Q5" s="58" t="s">
        <v>1179</v>
      </c>
      <c r="R5" s="1581" t="s">
        <v>1180</v>
      </c>
      <c r="S5" s="1582" t="s">
        <v>1181</v>
      </c>
      <c r="T5" s="1583" t="s">
        <v>1182</v>
      </c>
      <c r="U5" s="985" t="s">
        <v>1183</v>
      </c>
      <c r="V5" s="504" t="s">
        <v>1184</v>
      </c>
      <c r="W5" s="504" t="s">
        <v>1185</v>
      </c>
      <c r="X5" s="60"/>
      <c r="Y5" s="59" t="s">
        <v>1186</v>
      </c>
      <c r="Z5" s="1101" t="s">
        <v>1183</v>
      </c>
      <c r="AA5" s="504" t="s">
        <v>1184</v>
      </c>
      <c r="AB5" s="504" t="s">
        <v>1185</v>
      </c>
      <c r="AC5" s="60"/>
      <c r="AD5" s="60" t="s">
        <v>1186</v>
      </c>
      <c r="AE5" s="985" t="s">
        <v>1187</v>
      </c>
      <c r="AF5" s="504" t="s">
        <v>1188</v>
      </c>
      <c r="AG5" s="59" t="s">
        <v>1189</v>
      </c>
      <c r="AH5" s="985" t="s">
        <v>1190</v>
      </c>
      <c r="AI5" s="1101" t="s">
        <v>1191</v>
      </c>
      <c r="AJ5" s="1101" t="s">
        <v>1192</v>
      </c>
      <c r="AK5" s="504" t="s">
        <v>1193</v>
      </c>
      <c r="AL5" s="504" t="s">
        <v>1194</v>
      </c>
      <c r="AM5" s="59" t="s">
        <v>1195</v>
      </c>
      <c r="AN5" s="1584" t="s">
        <v>1196</v>
      </c>
      <c r="AO5" s="1454" t="s">
        <v>1197</v>
      </c>
      <c r="AP5" s="968" t="s">
        <v>1198</v>
      </c>
      <c r="AQ5" s="1585" t="s">
        <v>1199</v>
      </c>
      <c r="AR5" s="1585" t="s">
        <v>1200</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3387</v>
      </c>
      <c r="D6" s="805">
        <f>SUMIF(项目基本情况!C$12:I$12,C6,项目基本情况!C$14:I$14)</f>
        <v>70</v>
      </c>
      <c r="E6" s="804">
        <f>IF(B6="","",SUMIF(项目基本情况!C$12:I$12,C6,项目基本情况!C$13:I$13))</f>
        <v>70658</v>
      </c>
      <c r="F6" s="61">
        <f>SUMIF(项目基本情况!C$12:I$12,C6,项目基本情况!C$15:I$15)</f>
        <v>67.510000000000005</v>
      </c>
      <c r="G6" s="62">
        <f>IF(ISERROR(ROUND(POWER(1+H6,D6-F6)*(POWER(1+H6,F6)-1)/(POWER(1+H6,D6)-1),3)),0,ROUND(POWER(1+H6,D6-F6)*(POWER(1+H6,F6)-1)/(POWER(1+H6,D6)-1),3))</f>
        <v>0.99399999999999999</v>
      </c>
      <c r="H6" s="691">
        <v>4.4999999999999998E-2</v>
      </c>
      <c r="I6" s="691">
        <v>0.05</v>
      </c>
      <c r="J6" s="63">
        <v>7.0000000000000007E-2</v>
      </c>
      <c r="K6" s="970">
        <f>SUMIF('数据-汇总表'!C$19:C$33,A6,'数据-汇总表'!E$19:E$33)</f>
        <v>272.99</v>
      </c>
      <c r="L6" s="692">
        <v>6500</v>
      </c>
      <c r="M6" s="64">
        <f t="shared" ref="M6:M14" si="0">ROUND(K6*L6/10000,0)</f>
        <v>177</v>
      </c>
      <c r="N6" s="690">
        <v>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t="e">
        <f ca="1">IF(AN6="",0,SUMIF(INDIRECT("'"&amp;AN6&amp;"'"&amp;"!E:E"),$AE$5,INDIRECT("'"&amp;AN6&amp;"'"&amp;"!F:F")))</f>
        <v>#REF!</v>
      </c>
      <c r="AF6" s="74"/>
      <c r="AG6" s="130">
        <f>IF(AF6="",0,AE6-AF6)</f>
        <v>0</v>
      </c>
      <c r="AH6" s="71"/>
      <c r="AI6" s="73">
        <v>365</v>
      </c>
      <c r="AJ6" s="74"/>
      <c r="AK6" s="75">
        <v>2E-3</v>
      </c>
      <c r="AL6" s="76">
        <v>1E-3</v>
      </c>
      <c r="AM6" s="77">
        <v>0.01</v>
      </c>
      <c r="AN6" s="1589" t="s">
        <v>4803</v>
      </c>
      <c r="AO6" s="50" t="e">
        <f ca="1">SUMIF(INDIRECT("'"&amp;AN6&amp;"'"&amp;"!A:A"),"总价",INDIRECT("'"&amp;AN6&amp;"'"&amp;"!B:B"))</f>
        <v>#REF!</v>
      </c>
      <c r="AP6" s="1590">
        <f>IF(C6="住宅",K6*L6,0)</f>
        <v>1774435</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地下仓储</v>
      </c>
      <c r="B7" s="1587" t="str">
        <f t="shared" ref="B7:B13" si="1">IF(A7=0,"","经营性")</f>
        <v>经营性</v>
      </c>
      <c r="C7" s="1588" t="s">
        <v>3317</v>
      </c>
      <c r="D7" s="805">
        <f>SUMIF(项目基本情况!C$12:I$12,C7,项目基本情况!C$14:I$14)</f>
        <v>50</v>
      </c>
      <c r="E7" s="804">
        <f>IF(B7="","",SUMIF(项目基本情况!C$12:I$12,C7,项目基本情况!C$13:I$13))</f>
        <v>63353</v>
      </c>
      <c r="F7" s="61">
        <f>SUMIF(项目基本情况!C$12:I$12,C7,项目基本情况!C$15:I$15)</f>
        <v>47.5</v>
      </c>
      <c r="G7" s="62">
        <f t="shared" ref="G7:G11" si="2">IF(ISERROR(ROUND(POWER(1+H7,D7-F7)*(POWER(1+H7,F7)-1)/(POWER(1+H7,D7)-1),3)),0,ROUND(POWER(1+H7,D7-F7)*(POWER(1+H7,F7)-1)/(POWER(1+H7,D7)-1),3))</f>
        <v>0.98599999999999999</v>
      </c>
      <c r="H7" s="691">
        <v>4.4999999999999998E-2</v>
      </c>
      <c r="I7" s="691">
        <v>0.05</v>
      </c>
      <c r="J7" s="63">
        <v>7.0000000000000007E-2</v>
      </c>
      <c r="K7" s="970">
        <f>SUMIF('数据-汇总表'!C$19:C$33,A7,'数据-汇总表'!E$19:E$33)</f>
        <v>42.4</v>
      </c>
      <c r="L7" s="692">
        <v>6500</v>
      </c>
      <c r="M7" s="64">
        <f t="shared" si="0"/>
        <v>28</v>
      </c>
      <c r="N7" s="690">
        <v>1</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v>365</v>
      </c>
      <c r="AJ7" s="74"/>
      <c r="AK7" s="75">
        <v>2E-3</v>
      </c>
      <c r="AL7" s="76">
        <v>1E-3</v>
      </c>
      <c r="AM7" s="77">
        <v>0.01</v>
      </c>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1201</v>
      </c>
      <c r="B14" s="1587" t="s">
        <v>1202</v>
      </c>
      <c r="C14" s="1592" t="s">
        <v>1201</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1203</v>
      </c>
      <c r="B15" s="1587" t="s">
        <v>1202</v>
      </c>
      <c r="C15" s="1592" t="s">
        <v>1204</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1205</v>
      </c>
      <c r="B16" s="82"/>
      <c r="C16" s="783"/>
      <c r="D16" s="1594"/>
      <c r="E16" s="82"/>
      <c r="F16" s="82"/>
      <c r="G16" s="83">
        <f>ROUND(SUMPRODUCT(G6:G13,K6:K13)/SUMPRODUCT((G6:G13&gt;0)*(K6:K13)),3)</f>
        <v>0.99299999999999999</v>
      </c>
      <c r="H16" s="84">
        <f>ROUND(SUMPRODUCT(H6:H13,K6:K13)/SUMPRODUCT((H6:H13&gt;0)*(K6:K13)),3)</f>
        <v>4.4999999999999998E-2</v>
      </c>
      <c r="I16" s="85"/>
      <c r="J16" s="85"/>
      <c r="K16" s="86">
        <f>SUM(K6:K15)</f>
        <v>315.39</v>
      </c>
      <c r="L16" s="87">
        <f>ROUND(M16*10000/SUM(K6:K14),0)</f>
        <v>6500</v>
      </c>
      <c r="M16" s="87">
        <f>SUM(M6:M14)</f>
        <v>205</v>
      </c>
      <c r="N16" s="88">
        <f>ROUND(SUMPRODUCT(M6:M14,N6:N14)/M16,3)</f>
        <v>1</v>
      </c>
      <c r="O16" s="87">
        <f>SUM(O6:O14)</f>
        <v>0</v>
      </c>
      <c r="P16" s="87">
        <f>SUM(P6:P14)</f>
        <v>0</v>
      </c>
      <c r="Q16" s="89">
        <f>ROUND(SUMPRODUCT(Q6:Q13,K6:K13)/SUMPRODUCT((Q6:Q13&gt;0)*(K6:K13)),2)</f>
        <v>0.14000000000000001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1206</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1207</v>
      </c>
      <c r="B19" s="97">
        <v>0</v>
      </c>
      <c r="C19" s="2561" t="s">
        <v>2287</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1208</v>
      </c>
      <c r="B20" s="98">
        <v>2</v>
      </c>
      <c r="C20" s="2562" t="s">
        <v>2285</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1209</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1210</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1211</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1212</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1213</v>
      </c>
      <c r="B26" s="1600" t="s">
        <v>1214</v>
      </c>
      <c r="C26" s="2453" t="s">
        <v>1215</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1216</v>
      </c>
      <c r="B27" s="101">
        <v>160</v>
      </c>
      <c r="C27" s="2563" t="s">
        <v>2289</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1217</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1218</v>
      </c>
      <c r="B29" s="105"/>
      <c r="C29" s="2564" t="s">
        <v>2279</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1219</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1220</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1221</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1222</v>
      </c>
      <c r="B33" s="640">
        <v>0.05</v>
      </c>
      <c r="C33" s="2565" t="s">
        <v>3366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1223</v>
      </c>
      <c r="B34" s="106">
        <v>0.05</v>
      </c>
      <c r="C34" s="2565" t="s">
        <v>2280</v>
      </c>
      <c r="D34" s="2460" t="s">
        <v>2286</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1224</v>
      </c>
      <c r="B35" s="103">
        <v>200</v>
      </c>
      <c r="C35" s="2565" t="s">
        <v>2281</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1225</v>
      </c>
      <c r="B36" s="107">
        <v>0.02</v>
      </c>
      <c r="C36" s="2565" t="s">
        <v>3384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1226</v>
      </c>
      <c r="B37" s="108">
        <v>0.02</v>
      </c>
      <c r="C37" s="2565" t="s">
        <v>3367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1227</v>
      </c>
      <c r="B38" s="106">
        <v>0.02</v>
      </c>
      <c r="C38" s="2565" t="s">
        <v>3368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1228</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2295</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1229</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1230</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1231</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1232</v>
      </c>
      <c r="B44" s="112">
        <v>7.0000000000000007E-2</v>
      </c>
      <c r="C44" s="2565" t="s">
        <v>3369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1233</v>
      </c>
      <c r="B45" s="110">
        <v>0.03</v>
      </c>
      <c r="C45" s="2564" t="s">
        <v>2282</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1234</v>
      </c>
      <c r="B46" s="110">
        <v>0.02</v>
      </c>
      <c r="C46" s="2564" t="s">
        <v>2283</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1235</v>
      </c>
      <c r="B47" s="113">
        <v>0</v>
      </c>
      <c r="C47" s="2567" t="s">
        <v>2290</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1236</v>
      </c>
      <c r="B48" s="114">
        <v>0.03</v>
      </c>
      <c r="C48" s="2564" t="s">
        <v>2282</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1237</v>
      </c>
      <c r="B49" s="110">
        <v>5.0000000000000001E-4</v>
      </c>
      <c r="C49" s="2564" t="s">
        <v>2284</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1238</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1239</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1240</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1241</v>
      </c>
      <c r="B53" s="1611" t="s">
        <v>303</v>
      </c>
      <c r="C53" s="2440" t="s">
        <v>1242</v>
      </c>
      <c r="D53" s="2566" t="s">
        <v>2288</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1243</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1244</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1245</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1246</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1247</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1248</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1249</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1250</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1251</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1252</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83" t="s">
        <v>2271</v>
      </c>
      <c r="B1" s="3284"/>
      <c r="C1" s="3284"/>
      <c r="D1" s="3284"/>
      <c r="E1" s="3284"/>
      <c r="F1" s="3284"/>
      <c r="G1" s="328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2268</v>
      </c>
      <c r="D2" s="1595"/>
      <c r="E2" s="2260"/>
      <c r="F2" s="2263"/>
      <c r="G2" s="2262" t="s">
        <v>2269</v>
      </c>
      <c r="H2" s="751"/>
      <c r="I2" s="751"/>
      <c r="J2" s="751"/>
      <c r="K2" s="751"/>
      <c r="L2" s="751"/>
      <c r="M2" s="751"/>
      <c r="N2" s="751"/>
      <c r="O2" s="751"/>
      <c r="P2" s="751"/>
      <c r="Q2" s="751"/>
    </row>
    <row r="3" spans="1:29" ht="24">
      <c r="A3" s="2247" t="s">
        <v>2270</v>
      </c>
      <c r="B3" s="2264" t="s">
        <v>2246</v>
      </c>
      <c r="C3" s="2265"/>
      <c r="D3" s="2266"/>
      <c r="E3" s="2248" t="s">
        <v>2270</v>
      </c>
      <c r="F3" s="2267" t="s">
        <v>2247</v>
      </c>
      <c r="G3" s="2268"/>
      <c r="H3" s="751"/>
      <c r="I3" s="751"/>
      <c r="J3" s="751"/>
      <c r="K3" s="751"/>
      <c r="L3" s="751"/>
      <c r="M3" s="751"/>
      <c r="N3" s="751"/>
      <c r="O3" s="751"/>
      <c r="P3" s="751"/>
      <c r="Q3" s="751"/>
    </row>
    <row r="4" spans="1:29">
      <c r="A4" s="2248"/>
      <c r="B4" s="315" t="s">
        <v>2248</v>
      </c>
      <c r="C4" s="2269"/>
      <c r="D4" s="2266"/>
      <c r="E4" s="2270"/>
      <c r="F4" s="1281" t="s">
        <v>2249</v>
      </c>
      <c r="G4" s="2271"/>
      <c r="H4" s="751"/>
      <c r="I4" s="751"/>
      <c r="J4" s="751"/>
      <c r="K4" s="751"/>
      <c r="L4" s="751"/>
      <c r="M4" s="751"/>
      <c r="N4" s="751"/>
      <c r="O4" s="751"/>
      <c r="P4" s="751"/>
      <c r="Q4" s="751"/>
    </row>
    <row r="5" spans="1:29">
      <c r="A5" s="2248"/>
      <c r="B5" s="315" t="s">
        <v>2250</v>
      </c>
      <c r="C5" s="2269"/>
      <c r="D5" s="2266"/>
      <c r="E5" s="2270"/>
      <c r="F5" s="315" t="s">
        <v>2251</v>
      </c>
      <c r="G5" s="2271"/>
      <c r="H5" s="751"/>
      <c r="I5" s="751"/>
      <c r="J5" s="751"/>
      <c r="K5" s="751"/>
      <c r="L5" s="751"/>
      <c r="M5" s="751"/>
      <c r="N5" s="751"/>
      <c r="O5" s="751"/>
      <c r="P5" s="751"/>
      <c r="Q5" s="751"/>
    </row>
    <row r="6" spans="1:29">
      <c r="A6" s="2248"/>
      <c r="B6" s="315" t="s">
        <v>2252</v>
      </c>
      <c r="C6" s="2271"/>
      <c r="D6" s="2266"/>
      <c r="E6" s="2270"/>
      <c r="F6" s="315" t="s">
        <v>2253</v>
      </c>
      <c r="G6" s="2271"/>
      <c r="H6" s="751"/>
      <c r="I6" s="751"/>
      <c r="J6" s="751"/>
      <c r="K6" s="751"/>
      <c r="L6" s="751"/>
      <c r="M6" s="751"/>
      <c r="N6" s="751"/>
      <c r="O6" s="751"/>
      <c r="P6" s="751"/>
      <c r="Q6" s="751"/>
    </row>
    <row r="7" spans="1:29" ht="15" thickBot="1">
      <c r="A7" s="2248"/>
      <c r="B7" s="315" t="s">
        <v>2251</v>
      </c>
      <c r="C7" s="2271"/>
      <c r="D7" s="2245"/>
      <c r="E7" s="2272"/>
      <c r="F7" s="2273" t="s">
        <v>2254</v>
      </c>
      <c r="G7" s="2274"/>
      <c r="H7" s="751"/>
      <c r="I7" s="751"/>
      <c r="J7" s="751"/>
      <c r="K7" s="751"/>
      <c r="L7" s="751"/>
      <c r="M7" s="751"/>
      <c r="N7" s="751"/>
      <c r="O7" s="751"/>
      <c r="P7" s="751"/>
      <c r="Q7" s="751"/>
    </row>
    <row r="8" spans="1:29">
      <c r="A8" s="2248"/>
      <c r="B8" s="315" t="s">
        <v>2253</v>
      </c>
      <c r="C8" s="2271"/>
      <c r="D8" s="2245"/>
      <c r="E8" s="2245"/>
      <c r="F8" s="121"/>
      <c r="G8" s="121"/>
      <c r="H8" s="751"/>
      <c r="I8" s="751"/>
      <c r="J8" s="751"/>
      <c r="K8" s="751"/>
      <c r="L8" s="751"/>
      <c r="M8" s="751"/>
      <c r="N8" s="751"/>
      <c r="O8" s="751"/>
      <c r="P8" s="751"/>
      <c r="Q8" s="751"/>
    </row>
    <row r="9" spans="1:29">
      <c r="A9" s="2248"/>
      <c r="B9" s="315" t="s">
        <v>2255</v>
      </c>
      <c r="C9" s="2269"/>
      <c r="D9" s="2266"/>
      <c r="E9" s="2245"/>
      <c r="F9" s="121"/>
      <c r="G9" s="121"/>
      <c r="H9" s="751"/>
      <c r="I9" s="751"/>
      <c r="J9" s="751"/>
      <c r="K9" s="751"/>
      <c r="L9" s="751"/>
      <c r="M9" s="751"/>
      <c r="N9" s="751"/>
      <c r="O9" s="751"/>
      <c r="P9" s="751"/>
      <c r="Q9" s="751"/>
    </row>
    <row r="10" spans="1:29" ht="15" thickBot="1">
      <c r="A10" s="2249"/>
      <c r="B10" s="2275" t="s">
        <v>2256</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2272</v>
      </c>
      <c r="B13" s="2280"/>
      <c r="C13" s="2280"/>
      <c r="D13" s="2279"/>
      <c r="E13" s="2280"/>
      <c r="F13" s="2280"/>
      <c r="G13" s="2280"/>
    </row>
    <row r="14" spans="1:29" ht="15" thickBot="1">
      <c r="A14" s="2285"/>
      <c r="B14" s="2285"/>
      <c r="C14" s="2286" t="s">
        <v>2257</v>
      </c>
      <c r="D14" s="2266"/>
      <c r="E14" s="2287"/>
      <c r="F14" s="2287"/>
      <c r="G14" s="2262" t="s">
        <v>2258</v>
      </c>
    </row>
    <row r="15" spans="1:29" ht="24">
      <c r="A15" s="2250" t="s">
        <v>2259</v>
      </c>
      <c r="B15" s="2288" t="s">
        <v>2246</v>
      </c>
      <c r="C15" s="2289">
        <f>C3</f>
        <v>0</v>
      </c>
      <c r="D15" s="2266"/>
      <c r="E15" s="2251" t="s">
        <v>2260</v>
      </c>
      <c r="F15" s="2288" t="s">
        <v>2261</v>
      </c>
      <c r="G15" s="2290">
        <f>G3</f>
        <v>0</v>
      </c>
    </row>
    <row r="16" spans="1:29">
      <c r="A16" s="2252"/>
      <c r="B16" s="2291" t="s">
        <v>2248</v>
      </c>
      <c r="C16" s="2292">
        <f>C4</f>
        <v>0</v>
      </c>
      <c r="D16" s="2266"/>
      <c r="E16" s="2253"/>
      <c r="F16" s="2293" t="s">
        <v>2249</v>
      </c>
      <c r="G16" s="2294">
        <f>G4</f>
        <v>0</v>
      </c>
    </row>
    <row r="17" spans="1:17">
      <c r="A17" s="2252"/>
      <c r="B17" s="2291" t="s">
        <v>2250</v>
      </c>
      <c r="C17" s="2292">
        <f>C5</f>
        <v>0</v>
      </c>
      <c r="D17" s="2245"/>
      <c r="E17" s="2253"/>
      <c r="F17" s="2293" t="s">
        <v>2262</v>
      </c>
      <c r="G17" s="2295"/>
    </row>
    <row r="18" spans="1:17">
      <c r="A18" s="2252"/>
      <c r="B18" s="2293" t="s">
        <v>2252</v>
      </c>
      <c r="C18" s="2294">
        <f>C6</f>
        <v>0</v>
      </c>
      <c r="D18" s="2245"/>
      <c r="E18" s="2253"/>
      <c r="F18" s="2293" t="s">
        <v>2254</v>
      </c>
      <c r="G18" s="2294">
        <f>G7</f>
        <v>0</v>
      </c>
    </row>
    <row r="19" spans="1:17">
      <c r="A19" s="2252"/>
      <c r="B19" s="2293" t="s">
        <v>2263</v>
      </c>
      <c r="C19" s="2295"/>
      <c r="D19" s="2266"/>
      <c r="E19" s="2253"/>
      <c r="F19" s="315" t="s">
        <v>2251</v>
      </c>
      <c r="G19" s="2294">
        <f>G5</f>
        <v>0</v>
      </c>
    </row>
    <row r="20" spans="1:17">
      <c r="A20" s="2252"/>
      <c r="B20" s="2293" t="s">
        <v>2264</v>
      </c>
      <c r="C20" s="2292">
        <f>C9</f>
        <v>0</v>
      </c>
      <c r="D20" s="2245"/>
      <c r="E20" s="2253"/>
      <c r="F20" s="315" t="s">
        <v>2253</v>
      </c>
      <c r="G20" s="2294">
        <f>G6</f>
        <v>0</v>
      </c>
    </row>
    <row r="21" spans="1:17">
      <c r="A21" s="2252"/>
      <c r="B21" s="315" t="s">
        <v>2251</v>
      </c>
      <c r="C21" s="2294">
        <f>C7</f>
        <v>0</v>
      </c>
      <c r="D21" s="2266"/>
      <c r="E21" s="2253"/>
      <c r="F21" s="2293" t="s">
        <v>2265</v>
      </c>
      <c r="G21" s="2296"/>
    </row>
    <row r="22" spans="1:17" ht="13.5" customHeight="1">
      <c r="A22" s="2252"/>
      <c r="B22" s="315" t="s">
        <v>2253</v>
      </c>
      <c r="C22" s="2294">
        <f>C8</f>
        <v>0</v>
      </c>
      <c r="D22" s="2266"/>
      <c r="E22" s="2253"/>
      <c r="F22" s="2293" t="s">
        <v>2256</v>
      </c>
      <c r="G22" s="2295"/>
    </row>
    <row r="23" spans="1:17" s="751" customFormat="1" ht="15" thickBot="1">
      <c r="A23" s="2252"/>
      <c r="B23" s="2293" t="s">
        <v>2265</v>
      </c>
      <c r="C23" s="2296"/>
      <c r="D23" s="1614"/>
      <c r="E23" s="2254"/>
      <c r="F23" s="2297" t="s">
        <v>2266</v>
      </c>
      <c r="G23" s="2298"/>
      <c r="H23" s="2277"/>
      <c r="I23" s="2277"/>
      <c r="J23" s="2277"/>
      <c r="K23" s="2277"/>
      <c r="L23" s="2277"/>
      <c r="M23" s="2277"/>
      <c r="N23" s="2277"/>
      <c r="O23" s="2277"/>
      <c r="P23" s="2277"/>
      <c r="Q23" s="2277"/>
    </row>
    <row r="24" spans="1:17" s="751" customFormat="1" ht="15" thickBot="1">
      <c r="A24" s="2255"/>
      <c r="B24" s="2297" t="s">
        <v>2267</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3" t="str">
        <f>项目基本情况!B1</f>
        <v>北京市房地产抵押价值预评估</v>
      </c>
      <c r="C37" s="3193"/>
      <c r="D37" s="3193"/>
      <c r="E37" s="3193"/>
      <c r="F37" s="3193"/>
      <c r="G37" s="3193"/>
      <c r="H37" s="3193"/>
      <c r="I37" s="319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P26"/>
  <sheetViews>
    <sheetView tabSelected="1" view="pageBreakPreview" zoomScaleNormal="80" zoomScaleSheetLayoutView="100" workbookViewId="0">
      <selection activeCell="F15" sqref="F15"/>
    </sheetView>
  </sheetViews>
  <sheetFormatPr defaultColWidth="9" defaultRowHeight="13.5"/>
  <cols>
    <col min="1" max="1" width="26.25" style="2301" bestFit="1" customWidth="1"/>
    <col min="2" max="9" width="15.75" style="2301" customWidth="1"/>
    <col min="10" max="10" width="17" style="2301" bestFit="1" customWidth="1"/>
    <col min="11" max="11" width="14.125" style="2301" customWidth="1"/>
    <col min="12" max="12" width="15.375" style="2301" customWidth="1"/>
    <col min="13" max="14" width="12.125" style="2301" customWidth="1"/>
    <col min="15" max="15" width="13.375" style="2301" customWidth="1"/>
    <col min="16" max="16" width="9.25" style="2301" bestFit="1" customWidth="1"/>
    <col min="17" max="16384" width="9" style="2301"/>
  </cols>
  <sheetData>
    <row r="1" spans="1:16" ht="16.5">
      <c r="A1" s="2300" t="s">
        <v>661</v>
      </c>
      <c r="B1" s="2300">
        <f>SUM(B14:B23)</f>
        <v>45514.260000000017</v>
      </c>
      <c r="C1" s="2462"/>
      <c r="D1" s="2462"/>
      <c r="E1" s="2462"/>
      <c r="F1" s="2462"/>
      <c r="G1" s="2463"/>
      <c r="H1" s="2463"/>
      <c r="I1" s="2463"/>
      <c r="J1" s="2463"/>
      <c r="K1" s="2463"/>
    </row>
    <row r="2" spans="1:16" ht="16.5">
      <c r="A2" s="2300" t="s">
        <v>649</v>
      </c>
      <c r="B2" s="2300">
        <f>SUM(C14:C23)</f>
        <v>0</v>
      </c>
      <c r="C2" s="2462"/>
      <c r="D2" s="2462"/>
      <c r="E2" s="2462"/>
      <c r="F2" s="2462"/>
      <c r="G2" s="2463"/>
      <c r="H2" s="2463"/>
      <c r="I2" s="2463"/>
      <c r="J2" s="2463"/>
      <c r="K2" s="2463"/>
    </row>
    <row r="3" spans="1:16" ht="16.5">
      <c r="A3" s="2300" t="s">
        <v>658</v>
      </c>
      <c r="B3" s="2302">
        <f>项目基本情况!D3</f>
        <v>46014</v>
      </c>
      <c r="C3" s="2462"/>
      <c r="D3" s="2462"/>
      <c r="E3" s="2462"/>
      <c r="F3" s="2462"/>
      <c r="G3" s="2463"/>
      <c r="H3" s="2463"/>
      <c r="I3" s="2463"/>
      <c r="J3" s="2463"/>
      <c r="K3" s="2463"/>
    </row>
    <row r="4" spans="1:16" ht="33">
      <c r="A4" s="2300" t="s">
        <v>657</v>
      </c>
      <c r="B4" s="2300" t="s">
        <v>656</v>
      </c>
      <c r="C4" s="2300" t="s">
        <v>655</v>
      </c>
      <c r="D4" s="2300" t="s">
        <v>654</v>
      </c>
      <c r="E4" s="2462"/>
      <c r="F4" s="2463"/>
      <c r="G4" s="2463"/>
      <c r="H4" s="2463"/>
      <c r="I4" s="2463"/>
      <c r="J4" s="2463"/>
      <c r="K4" s="2463"/>
    </row>
    <row r="5" spans="1:16" ht="16.5">
      <c r="A5" s="2300" t="s">
        <v>653</v>
      </c>
      <c r="B5" s="2300">
        <f ca="1">SUM(D14:D23)</f>
        <v>404695</v>
      </c>
      <c r="C5" s="2300">
        <f ca="1">IF(B5=D14,'结果表-地下仓储'!H102,ROUND(B5*10000/$B$1,0))</f>
        <v>88916</v>
      </c>
      <c r="D5" s="2300" t="e">
        <f ca="1">ROUND(B5*10000/$B$2,0)</f>
        <v>#DIV/0!</v>
      </c>
      <c r="E5" s="2462"/>
      <c r="F5" s="2463"/>
      <c r="G5" s="2463"/>
      <c r="H5" s="2463"/>
      <c r="I5" s="2463"/>
      <c r="J5" s="2463"/>
      <c r="K5" s="2463"/>
    </row>
    <row r="6" spans="1:16" ht="16.5">
      <c r="A6" s="2300" t="s">
        <v>652</v>
      </c>
      <c r="B6" s="2300">
        <f ca="1">SUM(G14:G23)</f>
        <v>404695</v>
      </c>
      <c r="C6" s="2300">
        <f ca="1">IF(B6=G14,'结果表-地下仓储'!H108,ROUND(B6*10000/$B$1,0))</f>
        <v>88916</v>
      </c>
      <c r="D6" s="2300" t="e">
        <f ca="1">ROUND(B6*10000/$B$2,0)</f>
        <v>#DIV/0!</v>
      </c>
      <c r="E6" s="2462"/>
      <c r="F6" s="2463"/>
      <c r="G6" s="2463"/>
      <c r="H6" s="2463"/>
      <c r="I6" s="2463"/>
      <c r="J6" s="2463"/>
      <c r="K6" s="2463"/>
    </row>
    <row r="7" spans="1:16" ht="16.5">
      <c r="A7" s="2300" t="s">
        <v>660</v>
      </c>
      <c r="B7" s="2300">
        <f>SUM(H14:H23)</f>
        <v>0</v>
      </c>
      <c r="C7" s="2300" t="str">
        <f>IF(B7=H14,'结果表-地下仓储'!H110,ROUND(B7*10000/$B$1,0))</f>
        <v>——</v>
      </c>
      <c r="D7" s="2300" t="e">
        <f>ROUND(B7*10000/$B$2,0)</f>
        <v>#DIV/0!</v>
      </c>
      <c r="E7" s="2462"/>
      <c r="F7" s="2463"/>
      <c r="G7" s="2463"/>
      <c r="H7" s="2463"/>
      <c r="I7" s="2463"/>
      <c r="J7" s="2463"/>
      <c r="K7" s="2463"/>
    </row>
    <row r="8" spans="1:16" ht="16.5">
      <c r="A8" s="2300" t="s">
        <v>587</v>
      </c>
      <c r="B8" s="2300">
        <f>SUM(I14:I23)</f>
        <v>0</v>
      </c>
      <c r="C8" s="2300" t="str">
        <f>IF(B8=I14,'结果表-地下仓储'!H112,ROUND(B8*10000/$B$1,0))</f>
        <v>——</v>
      </c>
      <c r="D8" s="2300" t="e">
        <f>ROUND(B8*10000/$B$2,0)</f>
        <v>#DIV/0!</v>
      </c>
      <c r="E8" s="2462"/>
      <c r="F8" s="2463"/>
      <c r="G8" s="2463"/>
      <c r="H8" s="2463"/>
      <c r="I8" s="2463"/>
      <c r="J8" s="2463"/>
      <c r="K8" s="2463"/>
    </row>
    <row r="9" spans="1:16" ht="16.5">
      <c r="A9" s="2300" t="s">
        <v>651</v>
      </c>
      <c r="B9" s="1244"/>
      <c r="C9" s="2462"/>
      <c r="D9" s="2462"/>
      <c r="E9" s="2462"/>
      <c r="F9" s="2463"/>
      <c r="G9" s="2463"/>
      <c r="H9" s="2463"/>
      <c r="I9" s="2463"/>
      <c r="J9" s="2463"/>
      <c r="K9" s="2463"/>
    </row>
    <row r="10" spans="1:16" ht="16.5">
      <c r="A10" s="2300" t="s">
        <v>650</v>
      </c>
      <c r="B10" s="2300">
        <f>IF(E10="",0,ROUND(B1*(E10*365/G10)/10000,0))</f>
        <v>0</v>
      </c>
      <c r="C10" s="2300" t="s">
        <v>3339</v>
      </c>
      <c r="D10" s="2300" t="s">
        <v>3340</v>
      </c>
      <c r="E10" s="3137"/>
      <c r="F10" s="2300" t="s">
        <v>3341</v>
      </c>
      <c r="G10" s="3138"/>
      <c r="H10" s="2463"/>
      <c r="I10" s="2463"/>
      <c r="J10" s="2463"/>
      <c r="K10" s="2463"/>
    </row>
    <row r="11" spans="1:16" ht="16.5">
      <c r="A11" s="2300" t="s">
        <v>666</v>
      </c>
      <c r="B11" s="1244"/>
      <c r="C11" s="2462"/>
      <c r="D11" s="2462"/>
      <c r="E11" s="2462"/>
      <c r="F11" s="2463"/>
      <c r="G11" s="2463"/>
      <c r="H11" s="2463"/>
      <c r="I11" s="2463"/>
      <c r="J11" s="2463"/>
      <c r="K11" s="2463"/>
    </row>
    <row r="12" spans="1:16" ht="16.5">
      <c r="A12" s="2462"/>
      <c r="B12" s="2462"/>
      <c r="C12" s="2462"/>
      <c r="D12" s="2462"/>
      <c r="E12" s="2462"/>
      <c r="F12" s="2463"/>
      <c r="G12" s="2463"/>
      <c r="H12" s="2463"/>
      <c r="I12" s="2463"/>
      <c r="J12" s="2463"/>
      <c r="K12" s="2463"/>
    </row>
    <row r="13" spans="1:16" ht="33">
      <c r="A13" s="2303" t="s">
        <v>665</v>
      </c>
      <c r="B13" s="2304" t="s">
        <v>662</v>
      </c>
      <c r="C13" s="2304" t="s">
        <v>664</v>
      </c>
      <c r="D13" s="2304" t="s">
        <v>663</v>
      </c>
      <c r="E13" s="2300" t="s">
        <v>655</v>
      </c>
      <c r="F13" s="2300" t="s">
        <v>654</v>
      </c>
      <c r="G13" s="2304" t="s">
        <v>648</v>
      </c>
      <c r="H13" s="2304" t="s">
        <v>659</v>
      </c>
      <c r="I13" s="2304" t="s">
        <v>647</v>
      </c>
      <c r="J13" s="3186">
        <v>46003</v>
      </c>
      <c r="K13" s="3184" t="s">
        <v>4885</v>
      </c>
      <c r="L13" s="3184" t="s">
        <v>4886</v>
      </c>
      <c r="M13" s="3184" t="s">
        <v>663</v>
      </c>
      <c r="N13" s="3185" t="s">
        <v>655</v>
      </c>
      <c r="O13" s="3185" t="s">
        <v>654</v>
      </c>
      <c r="P13" s="3184" t="s">
        <v>648</v>
      </c>
    </row>
    <row r="14" spans="1:16" ht="16.5">
      <c r="A14" s="3184" t="s">
        <v>4847</v>
      </c>
      <c r="B14" s="2306">
        <f>'典型户型修正-住宅'!B22</f>
        <v>3497.57</v>
      </c>
      <c r="C14" s="2306"/>
      <c r="D14" s="2306">
        <f>'典型户型修正-住宅'!S22</f>
        <v>41322</v>
      </c>
      <c r="E14" s="2306">
        <f>ROUND(D14*10000/B14,0)</f>
        <v>118145</v>
      </c>
      <c r="F14" s="2306" t="e">
        <f>ROUND(D14*10000/C14,0)</f>
        <v>#DIV/0!</v>
      </c>
      <c r="G14" s="2306">
        <f>D14</f>
        <v>41322</v>
      </c>
      <c r="H14" s="2306"/>
      <c r="I14" s="2306"/>
      <c r="J14" s="3184" t="s">
        <v>4887</v>
      </c>
      <c r="K14" s="2306">
        <v>4943.8899999999994</v>
      </c>
      <c r="L14" s="2306"/>
      <c r="M14" s="2306">
        <v>58629</v>
      </c>
      <c r="N14" s="2306">
        <v>118589</v>
      </c>
      <c r="O14" s="2306" t="e">
        <v>#DIV/0!</v>
      </c>
      <c r="P14" s="2306">
        <v>58629</v>
      </c>
    </row>
    <row r="15" spans="1:16" ht="16.5">
      <c r="A15" s="3184" t="s">
        <v>4848</v>
      </c>
      <c r="B15" s="2306">
        <f>'典型户型修正-住宅2'!U22</f>
        <v>27613.150000000016</v>
      </c>
      <c r="C15" s="2306"/>
      <c r="D15" s="2306">
        <f ca="1">'典型户型修正-住宅2'!T22</f>
        <v>326773</v>
      </c>
      <c r="E15" s="2306">
        <f t="shared" ref="E15:E25" ca="1" si="0">ROUND(D15*10000/B15,0)</f>
        <v>118340</v>
      </c>
      <c r="F15" s="2306" t="e">
        <f t="shared" ref="F15:F23" ca="1" si="1">ROUND(D15*10000/C15,0)</f>
        <v>#DIV/0!</v>
      </c>
      <c r="G15" s="2306">
        <f ca="1">D15</f>
        <v>326773</v>
      </c>
      <c r="H15" s="1244"/>
      <c r="I15" s="2307"/>
      <c r="J15" s="3184" t="s">
        <v>4888</v>
      </c>
      <c r="K15" s="2306">
        <v>20781.320000000011</v>
      </c>
      <c r="L15" s="2306"/>
      <c r="M15" s="2306">
        <v>245618</v>
      </c>
      <c r="N15" s="2306">
        <v>118192</v>
      </c>
      <c r="O15" s="2306" t="e">
        <v>#DIV/0!</v>
      </c>
      <c r="P15" s="2306">
        <v>245618</v>
      </c>
    </row>
    <row r="16" spans="1:16" ht="16.5">
      <c r="A16" s="3184" t="s">
        <v>4849</v>
      </c>
      <c r="B16" s="2306">
        <f>'典型户型修正-地下仓储'!B22</f>
        <v>1253.8599999999999</v>
      </c>
      <c r="C16" s="2306"/>
      <c r="D16" s="2306">
        <f ca="1">'典型户型修正-地下仓储'!S22</f>
        <v>3173</v>
      </c>
      <c r="E16" s="2306">
        <f t="shared" ca="1" si="0"/>
        <v>25306</v>
      </c>
      <c r="F16" s="2306" t="e">
        <f t="shared" ca="1" si="1"/>
        <v>#DIV/0!</v>
      </c>
      <c r="G16" s="2306">
        <f ca="1">D16</f>
        <v>3173</v>
      </c>
      <c r="H16" s="1244"/>
      <c r="I16" s="2307"/>
      <c r="J16" s="3184" t="s">
        <v>4889</v>
      </c>
      <c r="K16" s="2306">
        <v>1238.9499999999998</v>
      </c>
      <c r="L16" s="2306"/>
      <c r="M16" s="2306">
        <v>3135</v>
      </c>
      <c r="N16" s="2306">
        <v>25304</v>
      </c>
      <c r="O16" s="2306" t="e">
        <v>#DIV/0!</v>
      </c>
      <c r="P16" s="2306">
        <v>3135</v>
      </c>
    </row>
    <row r="17" spans="1:16" ht="16.5">
      <c r="A17" s="3184" t="s">
        <v>4850</v>
      </c>
      <c r="B17" s="2306">
        <f>'典型户型修正-地下仓储2'!B22</f>
        <v>13149.680000000002</v>
      </c>
      <c r="C17" s="2306"/>
      <c r="D17" s="2306">
        <f ca="1">'典型户型修正-地下仓储2'!S22</f>
        <v>33427</v>
      </c>
      <c r="E17" s="2306">
        <f t="shared" ca="1" si="0"/>
        <v>25420</v>
      </c>
      <c r="F17" s="2306" t="e">
        <f t="shared" ca="1" si="1"/>
        <v>#DIV/0!</v>
      </c>
      <c r="G17" s="2306">
        <f ca="1">D17</f>
        <v>33427</v>
      </c>
      <c r="H17" s="1244"/>
      <c r="I17" s="2307"/>
      <c r="J17" s="3184" t="s">
        <v>4890</v>
      </c>
      <c r="K17" s="2306">
        <v>11077.259999999998</v>
      </c>
      <c r="L17" s="2306"/>
      <c r="M17" s="2306">
        <v>28170</v>
      </c>
      <c r="N17" s="2306">
        <v>25430</v>
      </c>
      <c r="O17" s="2306" t="e">
        <v>#DIV/0!</v>
      </c>
      <c r="P17" s="2306">
        <v>28170</v>
      </c>
    </row>
    <row r="18" spans="1:16" ht="16.5">
      <c r="A18" s="2305" t="s">
        <v>646</v>
      </c>
      <c r="B18" s="2307"/>
      <c r="C18" s="2307"/>
      <c r="D18" s="2307"/>
      <c r="E18" s="2306" t="e">
        <f t="shared" si="0"/>
        <v>#DIV/0!</v>
      </c>
      <c r="F18" s="2306" t="e">
        <f t="shared" si="1"/>
        <v>#DIV/0!</v>
      </c>
      <c r="G18" s="2307"/>
      <c r="H18" s="2307"/>
      <c r="I18" s="2307"/>
      <c r="J18" s="2306"/>
      <c r="K18" s="2306">
        <f>SUM(K14:K17)</f>
        <v>38041.420000000013</v>
      </c>
      <c r="L18" s="2306"/>
      <c r="M18" s="2306">
        <f t="shared" ref="M18:P18" si="2">SUM(M14:M17)</f>
        <v>335552</v>
      </c>
      <c r="N18" s="2306">
        <f t="shared" si="2"/>
        <v>287515</v>
      </c>
      <c r="O18" s="2306" t="e">
        <f t="shared" si="2"/>
        <v>#DIV/0!</v>
      </c>
      <c r="P18" s="2306">
        <f t="shared" si="2"/>
        <v>335552</v>
      </c>
    </row>
    <row r="19" spans="1:16" ht="16.5">
      <c r="A19" s="2305" t="s">
        <v>645</v>
      </c>
      <c r="B19" s="2307"/>
      <c r="C19" s="2307"/>
      <c r="D19" s="2307"/>
      <c r="E19" s="2306" t="e">
        <f t="shared" si="0"/>
        <v>#DIV/0!</v>
      </c>
      <c r="F19" s="2306" t="e">
        <f t="shared" si="1"/>
        <v>#DIV/0!</v>
      </c>
      <c r="G19" s="2307"/>
      <c r="H19" s="2307"/>
      <c r="I19" s="2307"/>
      <c r="J19" s="2463"/>
      <c r="K19" s="2463"/>
    </row>
    <row r="20" spans="1:16" ht="16.5">
      <c r="A20" s="2305" t="s">
        <v>644</v>
      </c>
      <c r="B20" s="2307"/>
      <c r="C20" s="2307"/>
      <c r="D20" s="2307"/>
      <c r="E20" s="2306" t="e">
        <f t="shared" si="0"/>
        <v>#DIV/0!</v>
      </c>
      <c r="F20" s="2306" t="e">
        <f t="shared" si="1"/>
        <v>#DIV/0!</v>
      </c>
      <c r="G20" s="2307"/>
      <c r="H20" s="2307"/>
      <c r="I20" s="2307"/>
      <c r="J20" s="2463"/>
      <c r="K20" s="2463"/>
    </row>
    <row r="21" spans="1:16" ht="16.5">
      <c r="A21" s="2305" t="s">
        <v>643</v>
      </c>
      <c r="B21" s="2307"/>
      <c r="C21" s="2307"/>
      <c r="D21" s="2307"/>
      <c r="E21" s="2306" t="e">
        <f t="shared" si="0"/>
        <v>#DIV/0!</v>
      </c>
      <c r="F21" s="2306" t="e">
        <f t="shared" si="1"/>
        <v>#DIV/0!</v>
      </c>
      <c r="G21" s="2307"/>
      <c r="H21" s="2307"/>
      <c r="I21" s="2307"/>
      <c r="J21" s="2463"/>
      <c r="K21" s="2463"/>
    </row>
    <row r="22" spans="1:16" ht="16.5">
      <c r="A22" s="2305" t="s">
        <v>642</v>
      </c>
      <c r="B22" s="2307"/>
      <c r="C22" s="2307"/>
      <c r="D22" s="2307"/>
      <c r="E22" s="2306" t="e">
        <f t="shared" si="0"/>
        <v>#DIV/0!</v>
      </c>
      <c r="F22" s="2306" t="e">
        <f t="shared" si="1"/>
        <v>#DIV/0!</v>
      </c>
      <c r="G22" s="2307"/>
      <c r="H22" s="2307"/>
      <c r="I22" s="2307"/>
      <c r="J22" s="2463"/>
      <c r="K22" s="2463"/>
    </row>
    <row r="23" spans="1:16" ht="16.5">
      <c r="A23" s="2305" t="s">
        <v>641</v>
      </c>
      <c r="B23" s="2307"/>
      <c r="C23" s="2307"/>
      <c r="D23" s="2307"/>
      <c r="E23" s="1244" t="e">
        <f t="shared" si="0"/>
        <v>#DIV/0!</v>
      </c>
      <c r="F23" s="1244" t="e">
        <f t="shared" si="1"/>
        <v>#DIV/0!</v>
      </c>
      <c r="G23" s="2307"/>
      <c r="H23" s="2307"/>
      <c r="I23" s="2307"/>
      <c r="J23" s="2463"/>
      <c r="K23" s="2463"/>
    </row>
    <row r="24" spans="1:16" ht="16.5">
      <c r="A24" s="2306" t="s">
        <v>5027</v>
      </c>
      <c r="B24" s="2306">
        <f>B14+B16</f>
        <v>4751.43</v>
      </c>
      <c r="C24" s="2306"/>
      <c r="D24" s="2306">
        <f ca="1">D14+D16</f>
        <v>44495</v>
      </c>
      <c r="E24" s="2306">
        <f t="shared" ca="1" si="0"/>
        <v>93645</v>
      </c>
      <c r="F24" s="2463"/>
      <c r="G24" s="2463"/>
      <c r="H24" s="2463"/>
      <c r="I24" s="2463"/>
      <c r="J24" s="2463"/>
      <c r="K24" s="2463"/>
    </row>
    <row r="25" spans="1:16" ht="16.5">
      <c r="A25" s="2306" t="s">
        <v>5028</v>
      </c>
      <c r="B25" s="2306">
        <f>B15+B17</f>
        <v>40762.830000000016</v>
      </c>
      <c r="C25" s="2306"/>
      <c r="D25" s="2306">
        <f ca="1">D15+D17</f>
        <v>360200</v>
      </c>
      <c r="E25" s="2306">
        <f t="shared" ca="1" si="0"/>
        <v>88365</v>
      </c>
      <c r="F25" s="2463"/>
      <c r="G25" s="2463"/>
      <c r="H25" s="2463"/>
      <c r="I25" s="2463"/>
      <c r="J25" s="2463"/>
      <c r="K25" s="2463"/>
    </row>
    <row r="26" spans="1:16">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7" zoomScaleNormal="60" zoomScaleSheetLayoutView="100" workbookViewId="0">
      <selection activeCell="E25" sqref="E25"/>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1864</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f>F65</f>
        <v>2134</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1460</v>
      </c>
      <c r="B3" s="536">
        <f>ROUND(IF(D3="",B2*10000/'数据-汇总表'!E3,B2*10000/D3),0)</f>
        <v>67662</v>
      </c>
      <c r="C3" s="195" t="s">
        <v>1865</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1765</v>
      </c>
      <c r="B4" s="346"/>
      <c r="C4" s="3304" t="s">
        <v>1766</v>
      </c>
      <c r="D4" s="3305"/>
      <c r="E4" s="3306" t="s">
        <v>1767</v>
      </c>
      <c r="F4" s="3307"/>
      <c r="G4" s="3304" t="s">
        <v>1768</v>
      </c>
      <c r="H4" s="3305"/>
      <c r="I4" s="3304" t="s">
        <v>1769</v>
      </c>
      <c r="J4" s="3305"/>
      <c r="K4" s="537" t="s">
        <v>1770</v>
      </c>
      <c r="L4" s="2487"/>
      <c r="M4" s="2488"/>
      <c r="N4" s="2488"/>
      <c r="O4" s="2488"/>
      <c r="P4" s="3308" t="s">
        <v>1771</v>
      </c>
      <c r="Q4" s="3309"/>
      <c r="R4" s="3290" t="s">
        <v>1767</v>
      </c>
      <c r="S4" s="3291"/>
      <c r="T4" s="3290" t="s">
        <v>1768</v>
      </c>
      <c r="U4" s="3291"/>
      <c r="V4" s="3316" t="s">
        <v>1769</v>
      </c>
      <c r="W4" s="3316"/>
      <c r="X4" s="1265"/>
      <c r="Y4" s="3290" t="s">
        <v>1771</v>
      </c>
      <c r="Z4" s="3291"/>
      <c r="AA4" s="3285" t="s">
        <v>1767</v>
      </c>
      <c r="AB4" s="3286" t="s">
        <v>1768</v>
      </c>
      <c r="AC4" s="3285" t="s">
        <v>1769</v>
      </c>
    </row>
    <row r="5" spans="1:29" ht="48.75" customHeight="1" thickBot="1">
      <c r="A5" s="348"/>
      <c r="B5" s="349"/>
      <c r="C5" s="3296" t="s">
        <v>1669</v>
      </c>
      <c r="D5" s="3297"/>
      <c r="E5" s="3294" t="s">
        <v>4792</v>
      </c>
      <c r="F5" s="3295"/>
      <c r="G5" s="3296" t="s">
        <v>4793</v>
      </c>
      <c r="H5" s="3297"/>
      <c r="I5" s="3296" t="s">
        <v>4794</v>
      </c>
      <c r="J5" s="3297"/>
      <c r="K5" s="537"/>
      <c r="L5" s="2487"/>
      <c r="M5" s="2488"/>
      <c r="N5" s="2488"/>
      <c r="O5" s="2488"/>
      <c r="P5" s="3310"/>
      <c r="Q5" s="3311"/>
      <c r="R5" s="3292"/>
      <c r="S5" s="3293"/>
      <c r="T5" s="3292"/>
      <c r="U5" s="3293"/>
      <c r="V5" s="3316"/>
      <c r="W5" s="3316"/>
      <c r="X5" s="1265"/>
      <c r="Y5" s="3292"/>
      <c r="Z5" s="3293"/>
      <c r="AA5" s="3286"/>
      <c r="AB5" s="3286"/>
      <c r="AC5" s="3286"/>
    </row>
    <row r="6" spans="1:29" ht="15.75" hidden="1" thickBot="1">
      <c r="A6" s="350"/>
      <c r="B6" s="351"/>
      <c r="C6" s="3298" t="s">
        <v>1673</v>
      </c>
      <c r="D6" s="3299"/>
      <c r="E6" s="3300" t="s">
        <v>1673</v>
      </c>
      <c r="F6" s="3301"/>
      <c r="G6" s="3298" t="s">
        <v>1673</v>
      </c>
      <c r="H6" s="3299"/>
      <c r="I6" s="3298" t="s">
        <v>1673</v>
      </c>
      <c r="J6" s="3299"/>
      <c r="K6" s="537" t="s">
        <v>1674</v>
      </c>
      <c r="L6" s="2487"/>
      <c r="M6" s="2488"/>
      <c r="N6" s="2488"/>
      <c r="O6" s="2488"/>
      <c r="P6" s="3312"/>
      <c r="Q6" s="3313"/>
      <c r="R6" s="3292"/>
      <c r="S6" s="3293"/>
      <c r="T6" s="3314"/>
      <c r="U6" s="3315"/>
      <c r="V6" s="3316"/>
      <c r="W6" s="3316"/>
      <c r="X6" s="1265"/>
      <c r="Y6" s="3314"/>
      <c r="Z6" s="3315"/>
      <c r="AA6" s="3287"/>
      <c r="AB6" s="3287"/>
      <c r="AC6" s="3287"/>
    </row>
    <row r="7" spans="1:29" s="102" customFormat="1" ht="15.75" thickBot="1">
      <c r="A7" s="352" t="s">
        <v>1675</v>
      </c>
      <c r="B7" s="353"/>
      <c r="C7" s="354">
        <f>'数据-取费表'!B2</f>
        <v>46014</v>
      </c>
      <c r="D7" s="355">
        <v>100</v>
      </c>
      <c r="E7" s="356">
        <v>45734</v>
      </c>
      <c r="F7" s="357">
        <f>SUMIF(69:69,YEAR(E7)&amp;"-"&amp;INT((MONTH(E7)+2)/3),70:70)</f>
        <v>100.3</v>
      </c>
      <c r="G7" s="1822">
        <v>45659</v>
      </c>
      <c r="H7" s="355">
        <f>SUMIF(69:69,YEAR(G7)&amp;"-"&amp;INT((MONTH(G7)+2)/3),70:70)</f>
        <v>100.3</v>
      </c>
      <c r="I7" s="1822">
        <v>45659</v>
      </c>
      <c r="J7" s="355">
        <f>SUMIF(69:69,YEAR(I7)&amp;"-"&amp;INT((MONTH(I7)+2)/3),70:70)</f>
        <v>100.3</v>
      </c>
      <c r="K7" s="38"/>
      <c r="L7" s="2489"/>
      <c r="M7" s="2440"/>
      <c r="N7" s="2440"/>
      <c r="O7" s="2440"/>
      <c r="P7" s="3288" t="s">
        <v>1676</v>
      </c>
      <c r="Q7" s="3317"/>
      <c r="R7" s="664" t="s">
        <v>14</v>
      </c>
      <c r="S7" s="665">
        <f t="shared" ref="S7:S15" si="0">F7</f>
        <v>100.3</v>
      </c>
      <c r="T7" s="664" t="s">
        <v>14</v>
      </c>
      <c r="U7" s="665">
        <f t="shared" ref="U7:U15" si="1">H7</f>
        <v>100.3</v>
      </c>
      <c r="V7" s="664" t="s">
        <v>14</v>
      </c>
      <c r="W7" s="665">
        <f t="shared" ref="W7:W15" si="2">J7</f>
        <v>100.3</v>
      </c>
      <c r="X7" s="666"/>
      <c r="Y7" s="3288" t="s">
        <v>1676</v>
      </c>
      <c r="Z7" s="3289"/>
      <c r="AA7" s="50">
        <f>D7/F7</f>
        <v>0.99700897308075775</v>
      </c>
      <c r="AB7" s="50">
        <f>D7/H7</f>
        <v>0.99700897308075775</v>
      </c>
      <c r="AC7" s="50">
        <f>D7/J7</f>
        <v>0.99700897308075775</v>
      </c>
    </row>
    <row r="8" spans="1:29" s="102" customFormat="1" ht="15.75" thickBot="1">
      <c r="A8" s="352" t="s">
        <v>1677</v>
      </c>
      <c r="B8" s="353"/>
      <c r="C8" s="358" t="s">
        <v>1678</v>
      </c>
      <c r="D8" s="355">
        <v>100</v>
      </c>
      <c r="E8" s="358" t="s">
        <v>4795</v>
      </c>
      <c r="F8" s="357">
        <f>SUMIF(72:72,E8,73:73)-SUMIF(72:72,C8,73:73)+100</f>
        <v>100</v>
      </c>
      <c r="G8" s="358" t="s">
        <v>4795</v>
      </c>
      <c r="H8" s="355">
        <f>SUMIF(72:72,G8,73:73)-SUMIF(72:72,C8,73:73)+100</f>
        <v>100</v>
      </c>
      <c r="I8" s="358" t="s">
        <v>4795</v>
      </c>
      <c r="J8" s="355">
        <f>SUMIF(72:72,I8,73:73)-SUMIF(72:72,C8,73:73)+100</f>
        <v>100</v>
      </c>
      <c r="K8" s="38"/>
      <c r="L8" s="2489"/>
      <c r="M8" s="2440"/>
      <c r="N8" s="2440"/>
      <c r="O8" s="2440"/>
      <c r="P8" s="3288" t="s">
        <v>1679</v>
      </c>
      <c r="Q8" s="3289"/>
      <c r="R8" s="664" t="s">
        <v>14</v>
      </c>
      <c r="S8" s="665">
        <f t="shared" si="0"/>
        <v>100</v>
      </c>
      <c r="T8" s="664" t="s">
        <v>14</v>
      </c>
      <c r="U8" s="665">
        <f t="shared" si="1"/>
        <v>100</v>
      </c>
      <c r="V8" s="664" t="s">
        <v>14</v>
      </c>
      <c r="W8" s="665">
        <f t="shared" si="2"/>
        <v>100</v>
      </c>
      <c r="X8" s="666"/>
      <c r="Y8" s="3288" t="s">
        <v>1679</v>
      </c>
      <c r="Z8" s="3289"/>
      <c r="AA8" s="50">
        <f t="shared" ref="AA8:AA45" si="3">D8/F8</f>
        <v>1</v>
      </c>
      <c r="AB8" s="50">
        <f t="shared" ref="AB8:AB45" si="4">D8/H8</f>
        <v>1</v>
      </c>
      <c r="AC8" s="50">
        <f t="shared" ref="AC8:AC45" si="5">D8/J8</f>
        <v>1</v>
      </c>
    </row>
    <row r="9" spans="1:29" s="102" customFormat="1">
      <c r="A9" s="359" t="s">
        <v>1680</v>
      </c>
      <c r="B9" s="60" t="s">
        <v>1681</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02" t="s">
        <v>1682</v>
      </c>
      <c r="Q9" s="530" t="str">
        <f t="shared" ref="Q9:Q15" si="6">B9</f>
        <v>用途</v>
      </c>
      <c r="R9" s="664" t="s">
        <v>14</v>
      </c>
      <c r="S9" s="665">
        <f t="shared" si="0"/>
        <v>100</v>
      </c>
      <c r="T9" s="664" t="s">
        <v>14</v>
      </c>
      <c r="U9" s="665">
        <f t="shared" si="1"/>
        <v>100</v>
      </c>
      <c r="V9" s="664" t="s">
        <v>14</v>
      </c>
      <c r="W9" s="665">
        <f t="shared" si="2"/>
        <v>100</v>
      </c>
      <c r="X9" s="666"/>
      <c r="Y9" s="3303" t="s">
        <v>1683</v>
      </c>
      <c r="Z9" s="50" t="str">
        <f t="shared" ref="Z9:Z15" si="7">Q9</f>
        <v>用途</v>
      </c>
      <c r="AA9" s="50">
        <f t="shared" si="3"/>
        <v>1</v>
      </c>
      <c r="AB9" s="50">
        <f t="shared" si="4"/>
        <v>1</v>
      </c>
      <c r="AC9" s="50">
        <f t="shared" si="5"/>
        <v>1</v>
      </c>
    </row>
    <row r="10" spans="1:29" s="366" customFormat="1" ht="27">
      <c r="A10" s="363"/>
      <c r="B10" s="364" t="s">
        <v>1684</v>
      </c>
      <c r="C10" s="371"/>
      <c r="D10" s="119">
        <v>100</v>
      </c>
      <c r="E10" s="403"/>
      <c r="F10" s="119">
        <f>ROUND(100/'数据-取费表'!G16,0)</f>
        <v>101</v>
      </c>
      <c r="G10" s="402"/>
      <c r="H10" s="119">
        <f>ROUND(100/'数据-取费表'!G16,0)</f>
        <v>101</v>
      </c>
      <c r="I10" s="402"/>
      <c r="J10" s="119">
        <f>ROUND(100/'数据-取费表'!G16,0)</f>
        <v>101</v>
      </c>
      <c r="K10" s="592"/>
      <c r="L10" s="2490"/>
      <c r="M10" s="2491"/>
      <c r="N10" s="2491"/>
      <c r="O10" s="2542"/>
      <c r="P10" s="3302"/>
      <c r="Q10" s="530" t="str">
        <f t="shared" si="6"/>
        <v>土地使用年限（年）</v>
      </c>
      <c r="R10" s="664" t="s">
        <v>14</v>
      </c>
      <c r="S10" s="665">
        <f t="shared" si="0"/>
        <v>101</v>
      </c>
      <c r="T10" s="664" t="s">
        <v>14</v>
      </c>
      <c r="U10" s="665">
        <f t="shared" si="1"/>
        <v>101</v>
      </c>
      <c r="V10" s="664" t="s">
        <v>14</v>
      </c>
      <c r="W10" s="665">
        <f t="shared" si="2"/>
        <v>101</v>
      </c>
      <c r="X10" s="666"/>
      <c r="Y10" s="3303"/>
      <c r="Z10" s="50" t="str">
        <f t="shared" si="7"/>
        <v>土地使用年限（年）</v>
      </c>
      <c r="AA10" s="50">
        <f t="shared" si="3"/>
        <v>0.99009900990099009</v>
      </c>
      <c r="AB10" s="50">
        <f t="shared" si="4"/>
        <v>0.99009900990099009</v>
      </c>
      <c r="AC10" s="50">
        <f t="shared" si="5"/>
        <v>0.99009900990099009</v>
      </c>
    </row>
    <row r="11" spans="1:29" ht="15">
      <c r="A11" s="367"/>
      <c r="B11" s="364" t="s">
        <v>1685</v>
      </c>
      <c r="C11" s="368">
        <v>1.05</v>
      </c>
      <c r="D11" s="119">
        <v>100</v>
      </c>
      <c r="E11" s="368">
        <v>1.6</v>
      </c>
      <c r="F11" s="119">
        <f>LOOKUP(E11,79:79,80:80)-LOOKUP(C11,79:79,80:80)+100</f>
        <v>98</v>
      </c>
      <c r="G11" s="369">
        <v>2.4</v>
      </c>
      <c r="H11" s="119">
        <f>LOOKUP(G11,79:79,80:80)-LOOKUP(C11,79:79,80:80)+100</f>
        <v>96</v>
      </c>
      <c r="I11" s="368">
        <v>2.42</v>
      </c>
      <c r="J11" s="119">
        <f>LOOKUP(I11,79:79,80:80)-LOOKUP(C11,79:79,80:80)+100</f>
        <v>96</v>
      </c>
      <c r="K11" s="593">
        <v>2</v>
      </c>
      <c r="L11" s="2492"/>
      <c r="M11" s="2488"/>
      <c r="N11" s="2488"/>
      <c r="O11" s="2543"/>
      <c r="P11" s="3302"/>
      <c r="Q11" s="530" t="str">
        <f t="shared" si="6"/>
        <v>容积率</v>
      </c>
      <c r="R11" s="664" t="s">
        <v>14</v>
      </c>
      <c r="S11" s="665">
        <f t="shared" si="0"/>
        <v>98</v>
      </c>
      <c r="T11" s="664" t="s">
        <v>14</v>
      </c>
      <c r="U11" s="665">
        <f t="shared" si="1"/>
        <v>96</v>
      </c>
      <c r="V11" s="664" t="s">
        <v>14</v>
      </c>
      <c r="W11" s="665">
        <f t="shared" si="2"/>
        <v>96</v>
      </c>
      <c r="X11" s="666"/>
      <c r="Y11" s="3303"/>
      <c r="Z11" s="50" t="str">
        <f t="shared" si="7"/>
        <v>容积率</v>
      </c>
      <c r="AA11" s="50">
        <f t="shared" si="3"/>
        <v>1.0204081632653061</v>
      </c>
      <c r="AB11" s="50">
        <f t="shared" si="4"/>
        <v>1.0416666666666667</v>
      </c>
      <c r="AC11" s="50">
        <f t="shared" si="5"/>
        <v>1.0416666666666667</v>
      </c>
    </row>
    <row r="12" spans="1:29" s="102" customFormat="1" ht="15.75" thickBot="1">
      <c r="A12" s="370"/>
      <c r="B12" s="447" t="s">
        <v>4804</v>
      </c>
      <c r="C12" s="371">
        <v>120000</v>
      </c>
      <c r="D12" s="372">
        <v>100</v>
      </c>
      <c r="E12" s="403" t="s">
        <v>4796</v>
      </c>
      <c r="F12" s="119">
        <f>SUMIF(81:81,E12,82:82)-SUMIF(81:81,C12,82:82)+100</f>
        <v>115</v>
      </c>
      <c r="G12" s="402" t="s">
        <v>4796</v>
      </c>
      <c r="H12" s="119">
        <f>SUMIF(81:81,G12,82:82)-SUMIF(81:81,C12,82:82)+100</f>
        <v>115</v>
      </c>
      <c r="I12" s="403" t="s">
        <v>4796</v>
      </c>
      <c r="J12" s="119">
        <f>SUMIF(81:81,I12,82:82)-SUMIF(81:81,C12,82:82)+100</f>
        <v>115</v>
      </c>
      <c r="K12" s="592"/>
      <c r="L12" s="2489"/>
      <c r="M12" s="2440"/>
      <c r="N12" s="2440"/>
      <c r="O12" s="2541"/>
      <c r="P12" s="3302"/>
      <c r="Q12" s="530" t="str">
        <f t="shared" si="6"/>
        <v>限价</v>
      </c>
      <c r="R12" s="664" t="s">
        <v>14</v>
      </c>
      <c r="S12" s="665">
        <f t="shared" si="0"/>
        <v>115</v>
      </c>
      <c r="T12" s="664" t="s">
        <v>14</v>
      </c>
      <c r="U12" s="665">
        <f t="shared" si="1"/>
        <v>115</v>
      </c>
      <c r="V12" s="664" t="s">
        <v>14</v>
      </c>
      <c r="W12" s="665">
        <f t="shared" si="2"/>
        <v>115</v>
      </c>
      <c r="X12" s="666"/>
      <c r="Y12" s="3303"/>
      <c r="Z12" s="50" t="str">
        <f t="shared" si="7"/>
        <v>限价</v>
      </c>
      <c r="AA12" s="50">
        <f>D12/F12</f>
        <v>0.86956521739130432</v>
      </c>
      <c r="AB12" s="50">
        <f>D12/H12</f>
        <v>0.86956521739130432</v>
      </c>
      <c r="AC12" s="50">
        <f>D12/J12</f>
        <v>0.86956521739130432</v>
      </c>
    </row>
    <row r="13" spans="1:29" ht="15" hidden="1">
      <c r="A13" s="367"/>
      <c r="B13" s="447"/>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02"/>
      <c r="Q13" s="530">
        <f t="shared" si="6"/>
        <v>0</v>
      </c>
      <c r="R13" s="664" t="s">
        <v>14</v>
      </c>
      <c r="S13" s="665">
        <f t="shared" si="0"/>
        <v>100</v>
      </c>
      <c r="T13" s="664" t="s">
        <v>14</v>
      </c>
      <c r="U13" s="665">
        <f t="shared" si="1"/>
        <v>100</v>
      </c>
      <c r="V13" s="664" t="s">
        <v>14</v>
      </c>
      <c r="W13" s="665">
        <f t="shared" si="2"/>
        <v>100</v>
      </c>
      <c r="X13" s="666"/>
      <c r="Y13" s="3303"/>
      <c r="Z13" s="50">
        <f t="shared" si="7"/>
        <v>0</v>
      </c>
      <c r="AA13" s="50">
        <f>D13/F13</f>
        <v>1</v>
      </c>
      <c r="AB13" s="50">
        <f>D13/H13</f>
        <v>1</v>
      </c>
      <c r="AC13" s="50">
        <f>D13/J13</f>
        <v>1</v>
      </c>
    </row>
    <row r="14" spans="1:29" ht="15.75" hidden="1" thickBot="1">
      <c r="A14" s="375"/>
      <c r="B14" s="1749"/>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02"/>
      <c r="Q14" s="530">
        <f t="shared" si="6"/>
        <v>0</v>
      </c>
      <c r="R14" s="664" t="s">
        <v>14</v>
      </c>
      <c r="S14" s="665">
        <f t="shared" si="0"/>
        <v>100</v>
      </c>
      <c r="T14" s="664" t="s">
        <v>14</v>
      </c>
      <c r="U14" s="665">
        <f t="shared" si="1"/>
        <v>100</v>
      </c>
      <c r="V14" s="664" t="s">
        <v>14</v>
      </c>
      <c r="W14" s="665">
        <f t="shared" si="2"/>
        <v>100</v>
      </c>
      <c r="X14" s="666"/>
      <c r="Y14" s="3303"/>
      <c r="Z14" s="50">
        <f t="shared" si="7"/>
        <v>0</v>
      </c>
      <c r="AA14" s="50">
        <f>D14/F14</f>
        <v>1</v>
      </c>
      <c r="AB14" s="50">
        <f>D14/H14</f>
        <v>1</v>
      </c>
      <c r="AC14" s="50">
        <f>D14/J14</f>
        <v>1</v>
      </c>
    </row>
    <row r="15" spans="1:29" ht="15">
      <c r="A15" s="379" t="s">
        <v>1686</v>
      </c>
      <c r="B15" s="58" t="s">
        <v>1253</v>
      </c>
      <c r="C15" s="1750">
        <f>估价对象房地状况!C15</f>
        <v>0</v>
      </c>
      <c r="D15" s="380">
        <v>100</v>
      </c>
      <c r="E15" s="381"/>
      <c r="F15" s="380">
        <f>SUMIF(87:87,E16,88:88)-SUMIF(87:87,C16,88:88)+100</f>
        <v>105</v>
      </c>
      <c r="G15" s="381"/>
      <c r="H15" s="380">
        <f>SUMIF(87:87,G16,88:88)-SUMIF(87:87,C16,88:88)+100</f>
        <v>100</v>
      </c>
      <c r="I15" s="383"/>
      <c r="J15" s="380">
        <f>SUMIF(87:87,I16,88:88)-SUMIF(87:87,C16,88:88)+100</f>
        <v>100</v>
      </c>
      <c r="K15" s="593">
        <v>5</v>
      </c>
      <c r="L15" s="2493"/>
      <c r="M15" s="2488"/>
      <c r="N15" s="2488"/>
      <c r="O15" s="2543"/>
      <c r="P15" s="3318" t="s">
        <v>1687</v>
      </c>
      <c r="Q15" s="1263" t="str">
        <f t="shared" si="6"/>
        <v>居住社区成熟度</v>
      </c>
      <c r="R15" s="667" t="s">
        <v>14</v>
      </c>
      <c r="S15" s="668">
        <f t="shared" si="0"/>
        <v>105</v>
      </c>
      <c r="T15" s="667" t="s">
        <v>14</v>
      </c>
      <c r="U15" s="668">
        <f t="shared" si="1"/>
        <v>100</v>
      </c>
      <c r="V15" s="667" t="s">
        <v>14</v>
      </c>
      <c r="W15" s="668">
        <f t="shared" si="2"/>
        <v>100</v>
      </c>
      <c r="X15" s="1265"/>
      <c r="Y15" s="3318" t="s">
        <v>1687</v>
      </c>
      <c r="Z15" s="1264" t="str">
        <f t="shared" si="7"/>
        <v>居住社区成熟度</v>
      </c>
      <c r="AA15" s="1264">
        <f t="shared" si="3"/>
        <v>0.95238095238095233</v>
      </c>
      <c r="AB15" s="1264">
        <f t="shared" si="4"/>
        <v>1</v>
      </c>
      <c r="AC15" s="1264">
        <f t="shared" si="5"/>
        <v>1</v>
      </c>
    </row>
    <row r="16" spans="1:29" ht="15">
      <c r="A16" s="367"/>
      <c r="B16" s="385"/>
      <c r="C16" s="386" t="s">
        <v>4801</v>
      </c>
      <c r="D16" s="387"/>
      <c r="E16" s="1752" t="s">
        <v>4797</v>
      </c>
      <c r="F16" s="387"/>
      <c r="G16" s="1752" t="s">
        <v>4801</v>
      </c>
      <c r="H16" s="389"/>
      <c r="I16" s="1751" t="s">
        <v>4801</v>
      </c>
      <c r="J16" s="387"/>
      <c r="K16" s="592"/>
      <c r="L16" s="2493"/>
      <c r="M16" s="2488"/>
      <c r="N16" s="2488"/>
      <c r="O16" s="2543"/>
      <c r="P16" s="3319"/>
      <c r="Q16" s="1263"/>
      <c r="R16" s="667"/>
      <c r="S16" s="668"/>
      <c r="T16" s="667"/>
      <c r="U16" s="668"/>
      <c r="V16" s="667"/>
      <c r="W16" s="668"/>
      <c r="X16" s="1265"/>
      <c r="Y16" s="3319"/>
      <c r="Z16" s="1264"/>
      <c r="AA16" s="1264">
        <v>1</v>
      </c>
      <c r="AB16" s="1264">
        <v>1</v>
      </c>
      <c r="AC16" s="1264">
        <v>1</v>
      </c>
    </row>
    <row r="17" spans="1:29" ht="15" hidden="1">
      <c r="A17" s="367"/>
      <c r="B17" s="390" t="s">
        <v>1773</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19"/>
      <c r="Q17" s="1263" t="str">
        <f>B17</f>
        <v>商业繁华度</v>
      </c>
      <c r="R17" s="667" t="s">
        <v>14</v>
      </c>
      <c r="S17" s="668">
        <f>F17</f>
        <v>100</v>
      </c>
      <c r="T17" s="667" t="s">
        <v>14</v>
      </c>
      <c r="U17" s="668">
        <f>H17</f>
        <v>100</v>
      </c>
      <c r="V17" s="667" t="s">
        <v>14</v>
      </c>
      <c r="W17" s="668">
        <f>J17</f>
        <v>100</v>
      </c>
      <c r="X17" s="1265"/>
      <c r="Y17" s="3319"/>
      <c r="Z17" s="1264" t="str">
        <f>Q17</f>
        <v>商业繁华度</v>
      </c>
      <c r="AA17" s="1264">
        <f t="shared" si="3"/>
        <v>1</v>
      </c>
      <c r="AB17" s="1264">
        <f t="shared" si="4"/>
        <v>1</v>
      </c>
      <c r="AC17" s="1264">
        <f t="shared" si="5"/>
        <v>1</v>
      </c>
    </row>
    <row r="18" spans="1:29" ht="15" hidden="1">
      <c r="A18" s="367"/>
      <c r="B18" s="395"/>
      <c r="C18" s="1755"/>
      <c r="D18" s="389"/>
      <c r="E18" s="1757"/>
      <c r="F18" s="389"/>
      <c r="G18" s="1757"/>
      <c r="H18" s="387"/>
      <c r="I18" s="1756"/>
      <c r="J18" s="387"/>
      <c r="K18" s="592"/>
      <c r="L18" s="2493"/>
      <c r="M18" s="2488"/>
      <c r="N18" s="2488"/>
      <c r="O18" s="2543"/>
      <c r="P18" s="3319"/>
      <c r="Q18" s="1263"/>
      <c r="R18" s="667"/>
      <c r="S18" s="668"/>
      <c r="T18" s="667"/>
      <c r="U18" s="668"/>
      <c r="V18" s="667"/>
      <c r="W18" s="668"/>
      <c r="X18" s="1265"/>
      <c r="Y18" s="3319"/>
      <c r="Z18" s="1264"/>
      <c r="AA18" s="1264">
        <v>1</v>
      </c>
      <c r="AB18" s="1264">
        <v>1</v>
      </c>
      <c r="AC18" s="1264">
        <v>1</v>
      </c>
    </row>
    <row r="19" spans="1:29" ht="15" hidden="1">
      <c r="A19" s="367"/>
      <c r="B19" s="390" t="s">
        <v>1807</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19"/>
      <c r="Q19" s="1263" t="str">
        <f>B19</f>
        <v>办公集聚程度</v>
      </c>
      <c r="R19" s="667" t="s">
        <v>14</v>
      </c>
      <c r="S19" s="668">
        <f>F19</f>
        <v>100</v>
      </c>
      <c r="T19" s="667" t="s">
        <v>14</v>
      </c>
      <c r="U19" s="668">
        <f>H19</f>
        <v>100</v>
      </c>
      <c r="V19" s="667" t="s">
        <v>14</v>
      </c>
      <c r="W19" s="668">
        <f>J19</f>
        <v>100</v>
      </c>
      <c r="X19" s="1265"/>
      <c r="Y19" s="3319"/>
      <c r="Z19" s="1264" t="str">
        <f>Q19</f>
        <v>办公集聚程度</v>
      </c>
      <c r="AA19" s="1264">
        <f t="shared" si="3"/>
        <v>1</v>
      </c>
      <c r="AB19" s="1264">
        <f t="shared" si="4"/>
        <v>1</v>
      </c>
      <c r="AC19" s="1264">
        <f t="shared" si="5"/>
        <v>1</v>
      </c>
    </row>
    <row r="20" spans="1:29" ht="15" hidden="1">
      <c r="A20" s="367"/>
      <c r="B20" s="395"/>
      <c r="C20" s="386"/>
      <c r="D20" s="387"/>
      <c r="E20" s="1752"/>
      <c r="F20" s="387"/>
      <c r="G20" s="1752"/>
      <c r="H20" s="387"/>
      <c r="I20" s="1751"/>
      <c r="J20" s="387"/>
      <c r="K20" s="592"/>
      <c r="L20" s="2493"/>
      <c r="M20" s="2488"/>
      <c r="N20" s="2488"/>
      <c r="O20" s="2543"/>
      <c r="P20" s="3319"/>
      <c r="Q20" s="1263"/>
      <c r="R20" s="667"/>
      <c r="S20" s="668"/>
      <c r="T20" s="667"/>
      <c r="U20" s="668"/>
      <c r="V20" s="667"/>
      <c r="W20" s="668"/>
      <c r="X20" s="1265"/>
      <c r="Y20" s="3319"/>
      <c r="Z20" s="1264"/>
      <c r="AA20" s="1264">
        <v>1</v>
      </c>
      <c r="AB20" s="1264">
        <v>1</v>
      </c>
      <c r="AC20" s="1264">
        <v>1</v>
      </c>
    </row>
    <row r="21" spans="1:29" ht="15">
      <c r="A21" s="367"/>
      <c r="B21" s="390" t="s">
        <v>1829</v>
      </c>
      <c r="C21" s="1754">
        <f>估价对象房地状况!C18</f>
        <v>0</v>
      </c>
      <c r="D21" s="389">
        <v>100</v>
      </c>
      <c r="E21" s="391"/>
      <c r="F21" s="394">
        <f>SUMIF(93:93,E22,94:94)-SUMIF(93:93,C22,94:94)+100</f>
        <v>105</v>
      </c>
      <c r="G21" s="391"/>
      <c r="H21" s="389">
        <f>SUMIF(93:93,G22,94:94)-SUMIF(93:93,C22,94:94)+100</f>
        <v>105</v>
      </c>
      <c r="I21" s="393"/>
      <c r="J21" s="389">
        <f>SUMIF(93:93,I22,94:94)-SUMIF(93:93,C22,94:94)+100</f>
        <v>105</v>
      </c>
      <c r="K21" s="593">
        <v>5</v>
      </c>
      <c r="L21" s="2493"/>
      <c r="M21" s="2488"/>
      <c r="N21" s="2488"/>
      <c r="O21" s="2543"/>
      <c r="P21" s="3319"/>
      <c r="Q21" s="1263" t="str">
        <f>B21</f>
        <v>交通便捷度</v>
      </c>
      <c r="R21" s="667" t="s">
        <v>14</v>
      </c>
      <c r="S21" s="668">
        <f>F21</f>
        <v>105</v>
      </c>
      <c r="T21" s="667" t="s">
        <v>14</v>
      </c>
      <c r="U21" s="668">
        <f>H21</f>
        <v>105</v>
      </c>
      <c r="V21" s="667" t="s">
        <v>14</v>
      </c>
      <c r="W21" s="668">
        <f>J21</f>
        <v>105</v>
      </c>
      <c r="X21" s="1265"/>
      <c r="Y21" s="3319"/>
      <c r="Z21" s="1264" t="str">
        <f>Q21</f>
        <v>交通便捷度</v>
      </c>
      <c r="AA21" s="1264">
        <f t="shared" si="3"/>
        <v>0.95238095238095233</v>
      </c>
      <c r="AB21" s="1264">
        <f t="shared" si="4"/>
        <v>0.95238095238095233</v>
      </c>
      <c r="AC21" s="1264">
        <f t="shared" si="5"/>
        <v>0.95238095238095233</v>
      </c>
    </row>
    <row r="22" spans="1:29" ht="15">
      <c r="A22" s="367"/>
      <c r="B22" s="586"/>
      <c r="C22" s="386" t="s">
        <v>4801</v>
      </c>
      <c r="D22" s="389"/>
      <c r="E22" s="1752" t="s">
        <v>4797</v>
      </c>
      <c r="F22" s="387"/>
      <c r="G22" s="1752" t="s">
        <v>4797</v>
      </c>
      <c r="H22" s="387"/>
      <c r="I22" s="1751" t="s">
        <v>4797</v>
      </c>
      <c r="J22" s="387"/>
      <c r="K22" s="592"/>
      <c r="L22" s="2493"/>
      <c r="M22" s="2488"/>
      <c r="N22" s="2488"/>
      <c r="O22" s="2543"/>
      <c r="P22" s="3319"/>
      <c r="Q22" s="1263"/>
      <c r="R22" s="667"/>
      <c r="S22" s="668"/>
      <c r="T22" s="667"/>
      <c r="U22" s="668"/>
      <c r="V22" s="667"/>
      <c r="W22" s="668"/>
      <c r="X22" s="1265"/>
      <c r="Y22" s="3319"/>
      <c r="Z22" s="1264"/>
      <c r="AA22" s="1264">
        <v>1</v>
      </c>
      <c r="AB22" s="1264">
        <v>1</v>
      </c>
      <c r="AC22" s="1264">
        <v>1</v>
      </c>
    </row>
    <row r="23" spans="1:29" ht="15">
      <c r="A23" s="348"/>
      <c r="B23" s="390" t="s">
        <v>1866</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3</v>
      </c>
      <c r="L23" s="2493"/>
      <c r="M23" s="2488"/>
      <c r="N23" s="2488"/>
      <c r="O23" s="2543"/>
      <c r="P23" s="3319"/>
      <c r="Q23" s="1263" t="str">
        <f t="shared" ref="Q23:Q37" si="8">B23</f>
        <v>区域土地利用方向</v>
      </c>
      <c r="R23" s="667" t="s">
        <v>14</v>
      </c>
      <c r="S23" s="668">
        <f>F23</f>
        <v>100</v>
      </c>
      <c r="T23" s="667" t="s">
        <v>14</v>
      </c>
      <c r="U23" s="668">
        <f>H23</f>
        <v>100</v>
      </c>
      <c r="V23" s="667" t="s">
        <v>14</v>
      </c>
      <c r="W23" s="668">
        <f>J23</f>
        <v>100</v>
      </c>
      <c r="X23" s="1265"/>
      <c r="Y23" s="3319"/>
      <c r="Z23" s="1264" t="str">
        <f>Q23</f>
        <v>区域土地利用方向</v>
      </c>
      <c r="AA23" s="1264">
        <f t="shared" si="3"/>
        <v>1</v>
      </c>
      <c r="AB23" s="1264">
        <f t="shared" si="4"/>
        <v>1</v>
      </c>
      <c r="AC23" s="1264">
        <f t="shared" si="5"/>
        <v>1</v>
      </c>
    </row>
    <row r="24" spans="1:29" ht="15">
      <c r="A24" s="348"/>
      <c r="B24" s="395"/>
      <c r="C24" s="542" t="s">
        <v>4797</v>
      </c>
      <c r="D24" s="387"/>
      <c r="E24" s="1752" t="s">
        <v>4797</v>
      </c>
      <c r="F24" s="387"/>
      <c r="G24" s="1751" t="s">
        <v>4797</v>
      </c>
      <c r="H24" s="387"/>
      <c r="I24" s="1751" t="s">
        <v>4797</v>
      </c>
      <c r="J24" s="387"/>
      <c r="K24" s="698"/>
      <c r="L24" s="2493"/>
      <c r="M24" s="2488"/>
      <c r="N24" s="2488"/>
      <c r="O24" s="2543"/>
      <c r="P24" s="3319"/>
      <c r="Q24" s="1263"/>
      <c r="R24" s="667"/>
      <c r="S24" s="668"/>
      <c r="T24" s="667"/>
      <c r="U24" s="668"/>
      <c r="V24" s="667"/>
      <c r="W24" s="668"/>
      <c r="X24" s="1265"/>
      <c r="Y24" s="3319"/>
      <c r="Z24" s="1264"/>
      <c r="AA24" s="1264"/>
      <c r="AB24" s="1264"/>
      <c r="AC24" s="1264"/>
    </row>
    <row r="25" spans="1:29" ht="27">
      <c r="A25" s="348"/>
      <c r="B25" s="586" t="s">
        <v>1867</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v>5</v>
      </c>
      <c r="L25" s="2493"/>
      <c r="M25" s="2488"/>
      <c r="N25" s="2488"/>
      <c r="O25" s="2543"/>
      <c r="P25" s="3319"/>
      <c r="Q25" s="1263" t="str">
        <f t="shared" si="8"/>
        <v>自然及人文环境状况</v>
      </c>
      <c r="R25" s="667" t="s">
        <v>14</v>
      </c>
      <c r="S25" s="668">
        <f>F25</f>
        <v>100</v>
      </c>
      <c r="T25" s="667" t="s">
        <v>14</v>
      </c>
      <c r="U25" s="668">
        <f>H25</f>
        <v>100</v>
      </c>
      <c r="V25" s="667" t="s">
        <v>14</v>
      </c>
      <c r="W25" s="668">
        <f>J25</f>
        <v>100</v>
      </c>
      <c r="X25" s="1265"/>
      <c r="Y25" s="3319"/>
      <c r="Z25" s="1264" t="str">
        <f>Q25</f>
        <v>自然及人文环境状况</v>
      </c>
      <c r="AA25" s="1264">
        <f t="shared" si="3"/>
        <v>1</v>
      </c>
      <c r="AB25" s="1264">
        <f t="shared" si="4"/>
        <v>1</v>
      </c>
      <c r="AC25" s="1264">
        <f t="shared" si="5"/>
        <v>1</v>
      </c>
    </row>
    <row r="26" spans="1:29" ht="15">
      <c r="A26" s="348"/>
      <c r="B26" s="395"/>
      <c r="C26" s="386" t="s">
        <v>4797</v>
      </c>
      <c r="D26" s="387"/>
      <c r="E26" s="1758" t="s">
        <v>4797</v>
      </c>
      <c r="F26" s="387"/>
      <c r="G26" s="1758" t="s">
        <v>4797</v>
      </c>
      <c r="H26" s="387"/>
      <c r="I26" s="386" t="s">
        <v>4797</v>
      </c>
      <c r="J26" s="387"/>
      <c r="K26" s="592"/>
      <c r="L26" s="2493"/>
      <c r="M26" s="2488"/>
      <c r="N26" s="2488"/>
      <c r="O26" s="2543"/>
      <c r="P26" s="3319"/>
      <c r="Q26" s="1263"/>
      <c r="R26" s="667"/>
      <c r="S26" s="668"/>
      <c r="T26" s="667"/>
      <c r="U26" s="668"/>
      <c r="V26" s="667"/>
      <c r="W26" s="668"/>
      <c r="X26" s="1265"/>
      <c r="Y26" s="3319"/>
      <c r="Z26" s="1264"/>
      <c r="AA26" s="1264">
        <v>1</v>
      </c>
      <c r="AB26" s="1264">
        <v>1</v>
      </c>
      <c r="AC26" s="1264">
        <v>1</v>
      </c>
    </row>
    <row r="27" spans="1:29" s="102" customFormat="1" ht="15">
      <c r="A27" s="443"/>
      <c r="B27" s="586" t="s">
        <v>1774</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v>5</v>
      </c>
      <c r="L27" s="2489"/>
      <c r="M27" s="2440"/>
      <c r="N27" s="2440"/>
      <c r="O27" s="2541"/>
      <c r="P27" s="3319"/>
      <c r="Q27" s="530" t="str">
        <f t="shared" si="8"/>
        <v>公共配套设施</v>
      </c>
      <c r="R27" s="664" t="s">
        <v>14</v>
      </c>
      <c r="S27" s="665">
        <f>F27</f>
        <v>100</v>
      </c>
      <c r="T27" s="664" t="s">
        <v>14</v>
      </c>
      <c r="U27" s="665">
        <f>H27</f>
        <v>100</v>
      </c>
      <c r="V27" s="664" t="s">
        <v>14</v>
      </c>
      <c r="W27" s="665">
        <f>J27</f>
        <v>100</v>
      </c>
      <c r="X27" s="666"/>
      <c r="Y27" s="3319"/>
      <c r="Z27" s="50" t="str">
        <f>Q27</f>
        <v>公共配套设施</v>
      </c>
      <c r="AA27" s="1264">
        <f>D27/F27</f>
        <v>1</v>
      </c>
      <c r="AB27" s="1264">
        <f>D27/H27</f>
        <v>1</v>
      </c>
      <c r="AC27" s="1264">
        <f>D27/J27</f>
        <v>1</v>
      </c>
    </row>
    <row r="28" spans="1:29" s="102" customFormat="1" ht="15">
      <c r="A28" s="443"/>
      <c r="B28" s="395"/>
      <c r="C28" s="1826" t="s">
        <v>4797</v>
      </c>
      <c r="D28" s="387"/>
      <c r="E28" s="1758" t="s">
        <v>4797</v>
      </c>
      <c r="F28" s="387"/>
      <c r="G28" s="1758" t="s">
        <v>4797</v>
      </c>
      <c r="H28" s="387"/>
      <c r="I28" s="386" t="s">
        <v>4797</v>
      </c>
      <c r="J28" s="387"/>
      <c r="K28" s="592"/>
      <c r="L28" s="2489"/>
      <c r="M28" s="2440"/>
      <c r="N28" s="2440"/>
      <c r="O28" s="2541"/>
      <c r="P28" s="3319"/>
      <c r="Q28" s="530"/>
      <c r="R28" s="664"/>
      <c r="S28" s="665"/>
      <c r="T28" s="664"/>
      <c r="U28" s="665"/>
      <c r="V28" s="664"/>
      <c r="W28" s="665"/>
      <c r="X28" s="666"/>
      <c r="Y28" s="3319"/>
      <c r="Z28" s="50"/>
      <c r="AA28" s="1264">
        <v>1</v>
      </c>
      <c r="AB28" s="1264">
        <v>1</v>
      </c>
      <c r="AC28" s="1264">
        <v>1</v>
      </c>
    </row>
    <row r="29" spans="1:29" s="102" customFormat="1" ht="15">
      <c r="A29" s="443"/>
      <c r="B29" s="586" t="s">
        <v>1775</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v>2</v>
      </c>
      <c r="L29" s="2489"/>
      <c r="M29" s="2440"/>
      <c r="N29" s="2440"/>
      <c r="O29" s="2541"/>
      <c r="P29" s="3319"/>
      <c r="Q29" s="530" t="str">
        <f t="shared" ref="Q29" si="9">B29</f>
        <v>基础设施水平</v>
      </c>
      <c r="R29" s="664" t="s">
        <v>14</v>
      </c>
      <c r="S29" s="665">
        <f>F29</f>
        <v>100</v>
      </c>
      <c r="T29" s="664" t="s">
        <v>14</v>
      </c>
      <c r="U29" s="665">
        <f>H29</f>
        <v>100</v>
      </c>
      <c r="V29" s="664" t="s">
        <v>14</v>
      </c>
      <c r="W29" s="665">
        <f>J29</f>
        <v>100</v>
      </c>
      <c r="X29" s="666"/>
      <c r="Y29" s="3319"/>
      <c r="Z29" s="50" t="str">
        <f>Q29</f>
        <v>基础设施水平</v>
      </c>
      <c r="AA29" s="1264">
        <f>D29/F29</f>
        <v>1</v>
      </c>
      <c r="AB29" s="1264">
        <f>D29/H29</f>
        <v>1</v>
      </c>
      <c r="AC29" s="1264">
        <f>D29/J29</f>
        <v>1</v>
      </c>
    </row>
    <row r="30" spans="1:29" s="102" customFormat="1" ht="15.75" thickBot="1">
      <c r="A30" s="443"/>
      <c r="B30" s="395"/>
      <c r="C30" s="1826" t="s">
        <v>4798</v>
      </c>
      <c r="D30" s="387"/>
      <c r="E30" s="1827" t="s">
        <v>4798</v>
      </c>
      <c r="F30" s="387"/>
      <c r="G30" s="1827" t="s">
        <v>4798</v>
      </c>
      <c r="H30" s="387"/>
      <c r="I30" s="1827" t="s">
        <v>4798</v>
      </c>
      <c r="J30" s="387"/>
      <c r="K30" s="592"/>
      <c r="L30" s="2489"/>
      <c r="M30" s="2440"/>
      <c r="N30" s="2440"/>
      <c r="O30" s="2541"/>
      <c r="P30" s="3319"/>
      <c r="Q30" s="530"/>
      <c r="R30" s="664"/>
      <c r="S30" s="665"/>
      <c r="T30" s="664"/>
      <c r="U30" s="665"/>
      <c r="V30" s="664"/>
      <c r="W30" s="665"/>
      <c r="X30" s="666"/>
      <c r="Y30" s="3319"/>
      <c r="Z30" s="50"/>
      <c r="AA30" s="1264">
        <v>1</v>
      </c>
      <c r="AB30" s="1264">
        <v>1</v>
      </c>
      <c r="AC30" s="1264">
        <v>1</v>
      </c>
    </row>
    <row r="31" spans="1:29" ht="15" hidden="1">
      <c r="A31" s="367"/>
      <c r="B31" s="395" t="s">
        <v>1776</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1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19"/>
      <c r="Z31" s="1264" t="str">
        <f t="shared" ref="Z31:Z45" si="13">Q31</f>
        <v>临街状况</v>
      </c>
      <c r="AA31" s="1264">
        <f t="shared" si="3"/>
        <v>1</v>
      </c>
      <c r="AB31" s="1264">
        <f t="shared" si="4"/>
        <v>1</v>
      </c>
      <c r="AC31" s="1264">
        <f t="shared" si="5"/>
        <v>1</v>
      </c>
    </row>
    <row r="32" spans="1:29" ht="27" hidden="1">
      <c r="A32" s="367"/>
      <c r="B32" s="586" t="s">
        <v>1811</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19"/>
      <c r="Q32" s="1263" t="str">
        <f t="shared" si="8"/>
        <v>毗邻道路的类型与等级</v>
      </c>
      <c r="R32" s="667" t="s">
        <v>14</v>
      </c>
      <c r="S32" s="668">
        <f t="shared" si="10"/>
        <v>100</v>
      </c>
      <c r="T32" s="667" t="s">
        <v>14</v>
      </c>
      <c r="U32" s="668">
        <f t="shared" si="11"/>
        <v>100</v>
      </c>
      <c r="V32" s="667" t="s">
        <v>14</v>
      </c>
      <c r="W32" s="668">
        <f t="shared" si="12"/>
        <v>100</v>
      </c>
      <c r="X32" s="1265"/>
      <c r="Y32" s="3319"/>
      <c r="Z32" s="1264" t="str">
        <f t="shared" si="13"/>
        <v>毗邻道路的类型与等级</v>
      </c>
      <c r="AA32" s="1264">
        <f t="shared" si="3"/>
        <v>1</v>
      </c>
      <c r="AB32" s="1264">
        <f t="shared" si="4"/>
        <v>1</v>
      </c>
      <c r="AC32" s="1264">
        <f t="shared" si="5"/>
        <v>1</v>
      </c>
    </row>
    <row r="33" spans="1:29" ht="15" hidden="1">
      <c r="A33" s="367"/>
      <c r="B33" s="395"/>
      <c r="C33" s="386"/>
      <c r="D33" s="387"/>
      <c r="E33" s="1758"/>
      <c r="F33" s="387"/>
      <c r="G33" s="1758"/>
      <c r="H33" s="387"/>
      <c r="I33" s="386"/>
      <c r="J33" s="387"/>
      <c r="K33" s="539"/>
      <c r="L33" s="2493"/>
      <c r="M33" s="2488"/>
      <c r="N33" s="2488"/>
      <c r="O33" s="2543"/>
      <c r="P33" s="3319"/>
      <c r="Q33" s="1263"/>
      <c r="R33" s="667"/>
      <c r="S33" s="668"/>
      <c r="T33" s="667"/>
      <c r="U33" s="668"/>
      <c r="V33" s="667"/>
      <c r="W33" s="668"/>
      <c r="X33" s="1265"/>
      <c r="Y33" s="3319"/>
      <c r="Z33" s="1264"/>
      <c r="AA33" s="1264">
        <v>1</v>
      </c>
      <c r="AB33" s="1264">
        <v>1</v>
      </c>
      <c r="AC33" s="1264">
        <v>1</v>
      </c>
    </row>
    <row r="34" spans="1:29" ht="15" hidden="1">
      <c r="A34" s="367"/>
      <c r="B34" s="364" t="s">
        <v>1868</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19"/>
      <c r="Q34" s="1263" t="str">
        <f t="shared" si="8"/>
        <v>土地级别</v>
      </c>
      <c r="R34" s="667" t="s">
        <v>14</v>
      </c>
      <c r="S34" s="668">
        <f t="shared" si="10"/>
        <v>100</v>
      </c>
      <c r="T34" s="667" t="s">
        <v>14</v>
      </c>
      <c r="U34" s="668">
        <f t="shared" si="11"/>
        <v>100</v>
      </c>
      <c r="V34" s="667" t="s">
        <v>14</v>
      </c>
      <c r="W34" s="668">
        <f t="shared" si="12"/>
        <v>100</v>
      </c>
      <c r="X34" s="1265"/>
      <c r="Y34" s="3319"/>
      <c r="Z34" s="1264" t="str">
        <f t="shared" si="13"/>
        <v>土地级别</v>
      </c>
      <c r="AA34" s="1264">
        <f t="shared" si="3"/>
        <v>1</v>
      </c>
      <c r="AB34" s="1264">
        <f t="shared" si="4"/>
        <v>1</v>
      </c>
      <c r="AC34" s="1264">
        <f t="shared" si="5"/>
        <v>1</v>
      </c>
    </row>
    <row r="35" spans="1:29" ht="15" hidden="1">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19"/>
      <c r="Q35" s="1263">
        <f t="shared" si="8"/>
        <v>111</v>
      </c>
      <c r="R35" s="667" t="s">
        <v>14</v>
      </c>
      <c r="S35" s="668">
        <f t="shared" si="10"/>
        <v>100</v>
      </c>
      <c r="T35" s="667" t="s">
        <v>14</v>
      </c>
      <c r="U35" s="668">
        <f t="shared" si="11"/>
        <v>100</v>
      </c>
      <c r="V35" s="667" t="s">
        <v>14</v>
      </c>
      <c r="W35" s="668">
        <f t="shared" si="12"/>
        <v>100</v>
      </c>
      <c r="X35" s="1265"/>
      <c r="Y35" s="3319"/>
      <c r="Z35" s="1264">
        <f t="shared" si="13"/>
        <v>111</v>
      </c>
      <c r="AA35" s="1264">
        <f t="shared" si="3"/>
        <v>1</v>
      </c>
      <c r="AB35" s="1264">
        <f t="shared" si="4"/>
        <v>1</v>
      </c>
      <c r="AC35" s="1264">
        <f t="shared" si="5"/>
        <v>1</v>
      </c>
    </row>
    <row r="36" spans="1:29" ht="15" hidden="1">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20" t="s">
        <v>1692</v>
      </c>
      <c r="Q36" s="1263">
        <f t="shared" si="8"/>
        <v>111</v>
      </c>
      <c r="R36" s="667" t="s">
        <v>14</v>
      </c>
      <c r="S36" s="668">
        <f t="shared" si="10"/>
        <v>100</v>
      </c>
      <c r="T36" s="667" t="s">
        <v>14</v>
      </c>
      <c r="U36" s="668">
        <f t="shared" si="11"/>
        <v>100</v>
      </c>
      <c r="V36" s="667" t="s">
        <v>14</v>
      </c>
      <c r="W36" s="668">
        <f t="shared" si="12"/>
        <v>100</v>
      </c>
      <c r="X36" s="1265"/>
      <c r="Y36" s="3321" t="s">
        <v>1692</v>
      </c>
      <c r="Z36" s="1264">
        <f t="shared" si="13"/>
        <v>111</v>
      </c>
      <c r="AA36" s="1264">
        <f t="shared" si="3"/>
        <v>1</v>
      </c>
      <c r="AB36" s="1264">
        <f t="shared" si="4"/>
        <v>1</v>
      </c>
      <c r="AC36" s="1264">
        <f t="shared" si="5"/>
        <v>1</v>
      </c>
    </row>
    <row r="37" spans="1:29" s="408" customFormat="1" ht="15.75" hidden="1"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21"/>
      <c r="Q37" s="1263">
        <f t="shared" si="8"/>
        <v>111</v>
      </c>
      <c r="R37" s="669" t="s">
        <v>14</v>
      </c>
      <c r="S37" s="670">
        <f t="shared" si="10"/>
        <v>100</v>
      </c>
      <c r="T37" s="669" t="s">
        <v>14</v>
      </c>
      <c r="U37" s="670">
        <f t="shared" si="11"/>
        <v>100</v>
      </c>
      <c r="V37" s="669" t="s">
        <v>14</v>
      </c>
      <c r="W37" s="670">
        <f t="shared" si="12"/>
        <v>100</v>
      </c>
      <c r="X37" s="671"/>
      <c r="Y37" s="3321"/>
      <c r="Z37" s="672">
        <f t="shared" si="13"/>
        <v>111</v>
      </c>
      <c r="AA37" s="1264">
        <f t="shared" si="3"/>
        <v>1</v>
      </c>
      <c r="AB37" s="1264">
        <f t="shared" si="4"/>
        <v>1</v>
      </c>
      <c r="AC37" s="1264">
        <f t="shared" si="5"/>
        <v>1</v>
      </c>
    </row>
    <row r="38" spans="1:29" ht="15">
      <c r="A38" s="409" t="s">
        <v>1690</v>
      </c>
      <c r="B38" s="395" t="s">
        <v>1869</v>
      </c>
      <c r="C38" s="599">
        <v>73887.39</v>
      </c>
      <c r="D38" s="405">
        <v>100</v>
      </c>
      <c r="E38" s="599">
        <v>39737.800000000003</v>
      </c>
      <c r="F38" s="405">
        <f>LOOKUP(E38,116:116,117:117)-LOOKUP(C38,116:116,117:117)+100</f>
        <v>98</v>
      </c>
      <c r="G38" s="599">
        <v>42734.16</v>
      </c>
      <c r="H38" s="405">
        <f>LOOKUP(G38,116:116,117:117)-LOOKUP(C38,116:116,117:117)+100</f>
        <v>98</v>
      </c>
      <c r="I38" s="462">
        <v>39303.71</v>
      </c>
      <c r="J38" s="405">
        <f>LOOKUP(I38,116:116,117:117)-LOOKUP(C38,116:116,117:117)+100</f>
        <v>98</v>
      </c>
      <c r="K38" s="539"/>
      <c r="L38" s="2493"/>
      <c r="M38" s="2488"/>
      <c r="N38" s="2488"/>
      <c r="O38" s="2543"/>
      <c r="P38" s="3321"/>
      <c r="Q38" s="1263" t="str">
        <f>B38</f>
        <v>宗地面积</v>
      </c>
      <c r="R38" s="667" t="s">
        <v>14</v>
      </c>
      <c r="S38" s="668">
        <f t="shared" si="10"/>
        <v>98</v>
      </c>
      <c r="T38" s="667" t="s">
        <v>14</v>
      </c>
      <c r="U38" s="668">
        <f t="shared" si="11"/>
        <v>98</v>
      </c>
      <c r="V38" s="667" t="s">
        <v>14</v>
      </c>
      <c r="W38" s="668">
        <f t="shared" si="12"/>
        <v>98</v>
      </c>
      <c r="X38" s="1265"/>
      <c r="Y38" s="3321"/>
      <c r="Z38" s="1264" t="str">
        <f t="shared" si="13"/>
        <v>宗地面积</v>
      </c>
      <c r="AA38" s="1264">
        <f t="shared" si="3"/>
        <v>1.0204081632653061</v>
      </c>
      <c r="AB38" s="1264">
        <f t="shared" si="4"/>
        <v>1.0204081632653061</v>
      </c>
      <c r="AC38" s="1264">
        <f t="shared" si="5"/>
        <v>1.0204081632653061</v>
      </c>
    </row>
    <row r="39" spans="1:29" ht="15">
      <c r="A39" s="409"/>
      <c r="B39" s="364" t="s">
        <v>1870</v>
      </c>
      <c r="C39" s="1760" t="s">
        <v>4805</v>
      </c>
      <c r="D39" s="374">
        <v>100</v>
      </c>
      <c r="E39" s="1760" t="s">
        <v>4799</v>
      </c>
      <c r="F39" s="374">
        <f>SUMIF(118:118,E39,119:119)-SUMIF(118:118,C39,119:119)+100</f>
        <v>104</v>
      </c>
      <c r="G39" s="1760" t="s">
        <v>4799</v>
      </c>
      <c r="H39" s="374">
        <f>SUMIF(118:118,G39,119:119)-SUMIF(118:118,C39,119:119)+100</f>
        <v>104</v>
      </c>
      <c r="I39" s="1760" t="s">
        <v>4799</v>
      </c>
      <c r="J39" s="374">
        <f>SUMIF(118:118,I39,119:119)-SUMIF(118:118,C39,119:119)+100</f>
        <v>104</v>
      </c>
      <c r="K39" s="538">
        <v>2</v>
      </c>
      <c r="L39" s="2493"/>
      <c r="M39" s="2488"/>
      <c r="N39" s="2488"/>
      <c r="O39" s="2543"/>
      <c r="P39" s="3321"/>
      <c r="Q39" s="1263" t="str">
        <f t="shared" ref="Q39:Q45" si="14">B39</f>
        <v>宗地形状</v>
      </c>
      <c r="R39" s="667" t="s">
        <v>14</v>
      </c>
      <c r="S39" s="668">
        <f t="shared" si="10"/>
        <v>104</v>
      </c>
      <c r="T39" s="667" t="s">
        <v>14</v>
      </c>
      <c r="U39" s="668">
        <f t="shared" si="11"/>
        <v>104</v>
      </c>
      <c r="V39" s="667" t="s">
        <v>14</v>
      </c>
      <c r="W39" s="668">
        <f t="shared" si="12"/>
        <v>104</v>
      </c>
      <c r="X39" s="1265"/>
      <c r="Y39" s="3321"/>
      <c r="Z39" s="1264" t="str">
        <f t="shared" si="13"/>
        <v>宗地形状</v>
      </c>
      <c r="AA39" s="1264">
        <f t="shared" si="3"/>
        <v>0.96153846153846156</v>
      </c>
      <c r="AB39" s="1264">
        <f t="shared" si="4"/>
        <v>0.96153846153846156</v>
      </c>
      <c r="AC39" s="1264">
        <f t="shared" si="5"/>
        <v>0.96153846153846156</v>
      </c>
    </row>
    <row r="40" spans="1:29" ht="15">
      <c r="A40" s="409"/>
      <c r="B40" s="364" t="s">
        <v>1871</v>
      </c>
      <c r="C40" s="1760" t="s">
        <v>4797</v>
      </c>
      <c r="D40" s="374">
        <v>100</v>
      </c>
      <c r="E40" s="1760" t="s">
        <v>4797</v>
      </c>
      <c r="F40" s="374">
        <f>SUMIF(120:120,E40,121:121)-SUMIF(120:120,C40,121:121)+100</f>
        <v>100</v>
      </c>
      <c r="G40" s="1760" t="s">
        <v>4797</v>
      </c>
      <c r="H40" s="374">
        <f>SUMIF(120:120,G40,121:121)-SUMIF(120:120,C40,121:121)+100</f>
        <v>100</v>
      </c>
      <c r="I40" s="1760" t="s">
        <v>4797</v>
      </c>
      <c r="J40" s="374">
        <f>SUMIF(120:120,I40,121:121)-SUMIF(120:120,C40,121:121)+100</f>
        <v>100</v>
      </c>
      <c r="K40" s="538">
        <v>1</v>
      </c>
      <c r="L40" s="2493"/>
      <c r="M40" s="2488"/>
      <c r="N40" s="2488"/>
      <c r="O40" s="2543"/>
      <c r="P40" s="3321"/>
      <c r="Q40" s="1263" t="str">
        <f t="shared" si="14"/>
        <v>临街宽度及深度</v>
      </c>
      <c r="R40" s="667" t="s">
        <v>14</v>
      </c>
      <c r="S40" s="668">
        <f t="shared" si="10"/>
        <v>100</v>
      </c>
      <c r="T40" s="667" t="s">
        <v>14</v>
      </c>
      <c r="U40" s="668">
        <f t="shared" si="11"/>
        <v>100</v>
      </c>
      <c r="V40" s="667" t="s">
        <v>14</v>
      </c>
      <c r="W40" s="668">
        <f t="shared" si="12"/>
        <v>100</v>
      </c>
      <c r="X40" s="1265"/>
      <c r="Y40" s="3321"/>
      <c r="Z40" s="1264" t="str">
        <f t="shared" si="13"/>
        <v>临街宽度及深度</v>
      </c>
      <c r="AA40" s="1264">
        <f t="shared" si="3"/>
        <v>1</v>
      </c>
      <c r="AB40" s="1264">
        <f t="shared" si="4"/>
        <v>1</v>
      </c>
      <c r="AC40" s="1264">
        <f t="shared" si="5"/>
        <v>1</v>
      </c>
    </row>
    <row r="41" spans="1:29" s="102" customFormat="1" ht="15">
      <c r="A41" s="410"/>
      <c r="B41" s="364" t="s">
        <v>1872</v>
      </c>
      <c r="C41" s="1828" t="s">
        <v>4800</v>
      </c>
      <c r="D41" s="119">
        <v>100</v>
      </c>
      <c r="E41" s="1828" t="s">
        <v>4800</v>
      </c>
      <c r="F41" s="374">
        <f>SUMIF(122:122,E41,123:123)-SUMIF(122:122,C41,123:123)+100</f>
        <v>100</v>
      </c>
      <c r="G41" s="1828" t="s">
        <v>4798</v>
      </c>
      <c r="H41" s="374">
        <f>SUMIF(122:122,G41,123:123)-SUMIF(122:122,C41,123:123)+100</f>
        <v>101</v>
      </c>
      <c r="I41" s="1828" t="s">
        <v>4798</v>
      </c>
      <c r="J41" s="374">
        <f>SUMIF(122:122,I41,123:123)-SUMIF(122:122,C41,123:123)+100</f>
        <v>101</v>
      </c>
      <c r="K41" s="538">
        <v>1</v>
      </c>
      <c r="L41" s="2489"/>
      <c r="M41" s="2440"/>
      <c r="N41" s="2440"/>
      <c r="O41" s="2541"/>
      <c r="P41" s="3321"/>
      <c r="Q41" s="1263" t="str">
        <f t="shared" si="14"/>
        <v>宗地开发程度</v>
      </c>
      <c r="R41" s="664" t="s">
        <v>14</v>
      </c>
      <c r="S41" s="665">
        <f t="shared" si="10"/>
        <v>100</v>
      </c>
      <c r="T41" s="664" t="s">
        <v>14</v>
      </c>
      <c r="U41" s="665">
        <f t="shared" si="11"/>
        <v>101</v>
      </c>
      <c r="V41" s="664" t="s">
        <v>14</v>
      </c>
      <c r="W41" s="665">
        <f t="shared" si="12"/>
        <v>101</v>
      </c>
      <c r="X41" s="666"/>
      <c r="Y41" s="3321"/>
      <c r="Z41" s="50" t="str">
        <f t="shared" si="13"/>
        <v>宗地开发程度</v>
      </c>
      <c r="AA41" s="50">
        <f t="shared" si="3"/>
        <v>1</v>
      </c>
      <c r="AB41" s="50">
        <f t="shared" si="4"/>
        <v>0.99009900990099009</v>
      </c>
      <c r="AC41" s="50">
        <f t="shared" si="5"/>
        <v>0.99009900990099009</v>
      </c>
    </row>
    <row r="42" spans="1:29" ht="15.75" thickBot="1">
      <c r="A42" s="409"/>
      <c r="B42" s="364" t="s">
        <v>1873</v>
      </c>
      <c r="C42" s="1760" t="s">
        <v>4797</v>
      </c>
      <c r="D42" s="374">
        <v>100</v>
      </c>
      <c r="E42" s="1760" t="s">
        <v>4797</v>
      </c>
      <c r="F42" s="374">
        <f>SUMIF(124:124,E42,125:125)-SUMIF(124:124,C42,125:125)+100</f>
        <v>100</v>
      </c>
      <c r="G42" s="1760" t="s">
        <v>4797</v>
      </c>
      <c r="H42" s="374">
        <f>SUMIF(124:124,G42,125:125)-SUMIF(124:124,C42,125:125)+100</f>
        <v>100</v>
      </c>
      <c r="I42" s="1760" t="s">
        <v>4797</v>
      </c>
      <c r="J42" s="374">
        <f>SUMIF(124:124,I42,125:125)-SUMIF(124:124,C42,125:125)+100</f>
        <v>100</v>
      </c>
      <c r="K42" s="538">
        <v>1</v>
      </c>
      <c r="L42" s="2493"/>
      <c r="M42" s="2488"/>
      <c r="N42" s="2488"/>
      <c r="O42" s="2543"/>
      <c r="P42" s="3321" t="s">
        <v>1692</v>
      </c>
      <c r="Q42" s="1263" t="str">
        <f t="shared" si="14"/>
        <v>工程地质条件</v>
      </c>
      <c r="R42" s="667" t="s">
        <v>14</v>
      </c>
      <c r="S42" s="668">
        <f t="shared" si="10"/>
        <v>100</v>
      </c>
      <c r="T42" s="667" t="s">
        <v>14</v>
      </c>
      <c r="U42" s="668">
        <f t="shared" si="11"/>
        <v>100</v>
      </c>
      <c r="V42" s="667" t="s">
        <v>14</v>
      </c>
      <c r="W42" s="668">
        <f t="shared" si="12"/>
        <v>100</v>
      </c>
      <c r="X42" s="1265"/>
      <c r="Y42" s="3321" t="s">
        <v>1692</v>
      </c>
      <c r="Z42" s="1264" t="str">
        <f t="shared" si="13"/>
        <v>工程地质条件</v>
      </c>
      <c r="AA42" s="1264">
        <f t="shared" si="3"/>
        <v>1</v>
      </c>
      <c r="AB42" s="1264">
        <f t="shared" si="4"/>
        <v>1</v>
      </c>
      <c r="AC42" s="1264">
        <f t="shared" si="5"/>
        <v>1</v>
      </c>
    </row>
    <row r="43" spans="1:29" ht="15" hidden="1">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21"/>
      <c r="Q43" s="1263">
        <f t="shared" si="14"/>
        <v>111</v>
      </c>
      <c r="R43" s="667" t="s">
        <v>14</v>
      </c>
      <c r="S43" s="668">
        <f t="shared" si="10"/>
        <v>100</v>
      </c>
      <c r="T43" s="667" t="s">
        <v>14</v>
      </c>
      <c r="U43" s="668">
        <f t="shared" si="11"/>
        <v>100</v>
      </c>
      <c r="V43" s="667" t="s">
        <v>14</v>
      </c>
      <c r="W43" s="668">
        <f t="shared" si="12"/>
        <v>100</v>
      </c>
      <c r="X43" s="1265"/>
      <c r="Y43" s="3321"/>
      <c r="Z43" s="1264">
        <f t="shared" si="13"/>
        <v>111</v>
      </c>
      <c r="AA43" s="1264">
        <f t="shared" si="3"/>
        <v>1</v>
      </c>
      <c r="AB43" s="1264">
        <f t="shared" si="4"/>
        <v>1</v>
      </c>
      <c r="AC43" s="1264">
        <f t="shared" si="5"/>
        <v>1</v>
      </c>
    </row>
    <row r="44" spans="1:29" ht="15" hidden="1">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21"/>
      <c r="Q44" s="1263">
        <f t="shared" si="14"/>
        <v>111</v>
      </c>
      <c r="R44" s="667" t="s">
        <v>14</v>
      </c>
      <c r="S44" s="668">
        <f t="shared" si="10"/>
        <v>100</v>
      </c>
      <c r="T44" s="667" t="s">
        <v>14</v>
      </c>
      <c r="U44" s="668">
        <f t="shared" si="11"/>
        <v>100</v>
      </c>
      <c r="V44" s="667" t="s">
        <v>14</v>
      </c>
      <c r="W44" s="668">
        <f t="shared" si="12"/>
        <v>100</v>
      </c>
      <c r="X44" s="1265"/>
      <c r="Y44" s="3321"/>
      <c r="Z44" s="1264">
        <f t="shared" si="13"/>
        <v>111</v>
      </c>
      <c r="AA44" s="1264">
        <f t="shared" si="3"/>
        <v>1</v>
      </c>
      <c r="AB44" s="1264">
        <f t="shared" si="4"/>
        <v>1</v>
      </c>
      <c r="AC44" s="1264">
        <f t="shared" si="5"/>
        <v>1</v>
      </c>
    </row>
    <row r="45" spans="1:29" s="408" customFormat="1" ht="15.75" hidden="1"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21"/>
      <c r="Q45" s="1263">
        <f t="shared" si="14"/>
        <v>111</v>
      </c>
      <c r="R45" s="669" t="s">
        <v>14</v>
      </c>
      <c r="S45" s="670">
        <f t="shared" si="10"/>
        <v>100</v>
      </c>
      <c r="T45" s="669" t="s">
        <v>14</v>
      </c>
      <c r="U45" s="670">
        <f t="shared" si="11"/>
        <v>100</v>
      </c>
      <c r="V45" s="669" t="s">
        <v>14</v>
      </c>
      <c r="W45" s="670">
        <f t="shared" si="12"/>
        <v>100</v>
      </c>
      <c r="X45" s="671"/>
      <c r="Y45" s="3321"/>
      <c r="Z45" s="672">
        <f t="shared" si="13"/>
        <v>111</v>
      </c>
      <c r="AA45" s="1264">
        <f t="shared" si="3"/>
        <v>1</v>
      </c>
      <c r="AB45" s="1264">
        <f t="shared" si="4"/>
        <v>1</v>
      </c>
      <c r="AC45" s="1264">
        <f t="shared" si="5"/>
        <v>1</v>
      </c>
    </row>
    <row r="46" spans="1:29" ht="15">
      <c r="A46" s="416" t="s">
        <v>1840</v>
      </c>
      <c r="B46" s="1830" t="s">
        <v>1874</v>
      </c>
      <c r="C46" s="602" t="s">
        <v>0</v>
      </c>
      <c r="D46" s="418"/>
      <c r="E46" s="419">
        <v>102347</v>
      </c>
      <c r="F46" s="420"/>
      <c r="G46" s="421">
        <v>89234</v>
      </c>
      <c r="H46" s="422"/>
      <c r="I46" s="419">
        <v>95047</v>
      </c>
      <c r="J46" s="422"/>
      <c r="K46" s="674"/>
      <c r="L46" s="2495"/>
      <c r="M46" s="2488"/>
      <c r="N46" s="2488"/>
      <c r="O46" s="2488"/>
      <c r="P46" s="3302" t="str">
        <f>A46</f>
        <v>成交单价</v>
      </c>
      <c r="Q46" s="3302"/>
      <c r="R46" s="3316">
        <f>E46</f>
        <v>102347</v>
      </c>
      <c r="S46" s="3316"/>
      <c r="T46" s="3316">
        <f>G46</f>
        <v>89234</v>
      </c>
      <c r="U46" s="3316"/>
      <c r="V46" s="3316">
        <f>I46</f>
        <v>95047</v>
      </c>
      <c r="W46" s="3316"/>
      <c r="X46" s="385"/>
      <c r="Y46" s="673"/>
      <c r="Z46" s="385"/>
      <c r="AA46" s="385"/>
      <c r="AB46" s="385"/>
      <c r="AC46" s="385"/>
    </row>
    <row r="47" spans="1:29" ht="15.75" thickBot="1">
      <c r="A47" s="423" t="s">
        <v>1789</v>
      </c>
      <c r="B47" s="603"/>
      <c r="C47" s="426">
        <f>R48</f>
        <v>77409</v>
      </c>
      <c r="D47" s="2141" t="s">
        <v>2132</v>
      </c>
      <c r="E47" s="426">
        <f>R47</f>
        <v>79779</v>
      </c>
      <c r="F47" s="2142"/>
      <c r="G47" s="425">
        <f>T47</f>
        <v>73819</v>
      </c>
      <c r="H47" s="2142"/>
      <c r="I47" s="426">
        <f>V47</f>
        <v>78628</v>
      </c>
      <c r="J47" s="2142"/>
      <c r="K47" s="2144">
        <f>F47+H47+J47</f>
        <v>0</v>
      </c>
      <c r="L47" s="2495"/>
      <c r="M47" s="2488"/>
      <c r="N47" s="2488"/>
      <c r="O47" s="2488"/>
      <c r="P47" s="3302" t="str">
        <f>A47</f>
        <v>比较价值（元/平方米）</v>
      </c>
      <c r="Q47" s="3302"/>
      <c r="R47" s="3322">
        <f>ROUND(PRODUCT(R46,AA7:AA45),0)</f>
        <v>79779</v>
      </c>
      <c r="S47" s="3322"/>
      <c r="T47" s="3322">
        <f>ROUND(PRODUCT(T46,AB7:AB45),0)</f>
        <v>73819</v>
      </c>
      <c r="U47" s="3322"/>
      <c r="V47" s="3322">
        <f>ROUND(PRODUCT(V46,AC7:AC45),0)</f>
        <v>78628</v>
      </c>
      <c r="W47" s="3322"/>
      <c r="X47" s="385"/>
      <c r="Y47" s="385"/>
      <c r="Z47" s="385"/>
      <c r="AA47" s="385"/>
      <c r="AB47" s="385"/>
      <c r="AC47" s="385"/>
    </row>
    <row r="48" spans="1:29" ht="15.75" thickBot="1">
      <c r="A48" s="427" t="s">
        <v>1875</v>
      </c>
      <c r="B48" s="428"/>
      <c r="C48" s="429">
        <f>R48</f>
        <v>77409</v>
      </c>
      <c r="D48" s="429"/>
      <c r="E48" s="429"/>
      <c r="F48" s="429"/>
      <c r="G48" s="429"/>
      <c r="H48" s="429"/>
      <c r="I48" s="429"/>
      <c r="J48" s="429"/>
      <c r="K48" s="675"/>
      <c r="L48" s="2495"/>
      <c r="M48" s="2488"/>
      <c r="N48" s="2488"/>
      <c r="O48" s="2488"/>
      <c r="P48" s="3323" t="str">
        <f>A48</f>
        <v>估价对象XX用房的比较价值（楼面单价，元/平方米）</v>
      </c>
      <c r="Q48" s="3324"/>
      <c r="R48" s="3325">
        <f>ROUND(IF(D47="简单平均",AVERAGE(R47:W47),R47*F47+T47*H47+V47*J47),0)</f>
        <v>77409</v>
      </c>
      <c r="S48" s="3325"/>
      <c r="T48" s="3325"/>
      <c r="U48" s="3325"/>
      <c r="V48" s="3325"/>
      <c r="W48" s="332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1791</v>
      </c>
      <c r="D51" s="433"/>
      <c r="E51" s="434">
        <f>IF(E46&lt;E47,E47/E46-1,E46/E47-1)</f>
        <v>0.28288146003334202</v>
      </c>
      <c r="F51" s="435" t="str">
        <f>IF(OR(E51&gt;=0.3,E51&lt;=-0.3),"超过30%","")</f>
        <v/>
      </c>
      <c r="G51" s="434">
        <f>IF(G46&lt;G47,G47/G46-1,G46/G47-1)</f>
        <v>0.20882157710074645</v>
      </c>
      <c r="H51" s="435" t="str">
        <f>IF(OR(G51&gt;=0.3,G51&lt;=-0.3),"超过30%","")</f>
        <v/>
      </c>
      <c r="I51" s="434">
        <f>IF(I46&lt;I47,I47/I46-1,I46/I47-1)</f>
        <v>0.20881874141527201</v>
      </c>
      <c r="J51" s="435" t="str">
        <f>IF(OR(I51&gt;=0.3,I51&lt;=-0.3),"超过30%","")</f>
        <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1792</v>
      </c>
      <c r="D52" s="436"/>
      <c r="E52" s="434">
        <f>IF(E47&lt;G47,G47/E47-1,E47/G47-1)</f>
        <v>8.0738021376610458E-2</v>
      </c>
      <c r="F52" s="435" t="str">
        <f>IF(OR(E52&gt;=0.2,E52&lt;=-0.2),"超过20%","")</f>
        <v/>
      </c>
      <c r="G52" s="434">
        <f>IF(G47&lt;I47,I47/G47-1,G47/I47-1)</f>
        <v>6.5145829664449595E-2</v>
      </c>
      <c r="H52" s="435" t="str">
        <f>IF(OR(G52&gt;=0.2,G52&lt;=-0.2),"超过20%","")</f>
        <v/>
      </c>
      <c r="I52" s="434">
        <f>IF(I47&lt;E47,E47/I47-1,I47/E47-1)</f>
        <v>1.4638551152261314E-2</v>
      </c>
      <c r="J52" s="435" t="str">
        <f>IF(OR(I52&gt;=0.2,I52&lt;=-0.2),"超过20%","")</f>
        <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1793</v>
      </c>
      <c r="D53" s="436"/>
      <c r="E53" s="434">
        <f>IF(E46&lt;G46,G46/E46-1,E46/G46-1)</f>
        <v>0.14695071385346403</v>
      </c>
      <c r="F53" s="435" t="str">
        <f>IF(OR(E53&gt;=0.3,E53&lt;=-0.3),"超过30%","")</f>
        <v/>
      </c>
      <c r="G53" s="434">
        <f>IF(G46&lt;I46,I46/G46-1,G46/I46-1)</f>
        <v>6.5143331017325279E-2</v>
      </c>
      <c r="H53" s="435" t="str">
        <f>IF(OR(G53&gt;=0.3,G53&lt;=-0.3),"超过30%","")</f>
        <v/>
      </c>
      <c r="I53" s="434">
        <f>IF(I46&lt;E46,E46/I46-1,I46/E46-1)</f>
        <v>7.6804107441581504E-2</v>
      </c>
      <c r="J53" s="435" t="str">
        <f>IF(OR(I53&gt;=0.3,I53&lt;=-0.3),"超过30%","")</f>
        <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1876</v>
      </c>
      <c r="B55" s="605" t="s">
        <v>1877</v>
      </c>
      <c r="C55" s="1831" t="s">
        <v>1878</v>
      </c>
      <c r="D55" s="1832" t="s">
        <v>1879</v>
      </c>
      <c r="E55" s="606" t="s">
        <v>1880</v>
      </c>
      <c r="F55" s="837" t="s">
        <v>1881</v>
      </c>
      <c r="G55" s="3304" t="s">
        <v>1882</v>
      </c>
      <c r="H55" s="3326"/>
      <c r="I55" s="127" t="s">
        <v>1883</v>
      </c>
      <c r="J55" s="1833">
        <f>项目基本情况!F35</f>
        <v>0</v>
      </c>
      <c r="K55" s="1834" t="s">
        <v>1884</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1885</v>
      </c>
      <c r="B56" s="609">
        <f>C48</f>
        <v>77409</v>
      </c>
      <c r="C56" s="610">
        <v>1</v>
      </c>
      <c r="D56" s="890">
        <v>1</v>
      </c>
      <c r="E56" s="610">
        <f>'数据-汇总表'!E8+'数据-汇总表'!E9</f>
        <v>272.99</v>
      </c>
      <c r="F56" s="833">
        <f t="shared" ref="F56:F64" si="15">ROUND(B56*E56/10000,0)</f>
        <v>2113</v>
      </c>
      <c r="G56" s="3327"/>
      <c r="H56" s="330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1886</v>
      </c>
      <c r="B57" s="210">
        <f>ROUND($C$48*C57*D57,0)</f>
        <v>0</v>
      </c>
      <c r="C57" s="163">
        <f t="shared" ref="C57:C64" si="16">IF($C$55="北京市系数",I57,J57)</f>
        <v>0</v>
      </c>
      <c r="D57" s="891">
        <v>0.25</v>
      </c>
      <c r="E57" s="614"/>
      <c r="F57" s="833">
        <f t="shared" si="15"/>
        <v>0</v>
      </c>
      <c r="G57" s="2751" t="s">
        <v>1887</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1888</v>
      </c>
      <c r="B58" s="210">
        <f t="shared" ref="B58:B64" si="17">ROUND($C$48*C58*D58,0)</f>
        <v>0</v>
      </c>
      <c r="C58" s="163">
        <f t="shared" si="16"/>
        <v>0</v>
      </c>
      <c r="D58" s="891">
        <v>0.25</v>
      </c>
      <c r="E58" s="614"/>
      <c r="F58" s="833">
        <f t="shared" si="15"/>
        <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1889</v>
      </c>
      <c r="B59" s="210">
        <f t="shared" si="17"/>
        <v>0</v>
      </c>
      <c r="C59" s="163">
        <f t="shared" si="16"/>
        <v>0</v>
      </c>
      <c r="D59" s="891">
        <v>0.25</v>
      </c>
      <c r="E59" s="614"/>
      <c r="F59" s="833">
        <f t="shared" si="15"/>
        <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1890</v>
      </c>
      <c r="B60" s="210">
        <f t="shared" si="17"/>
        <v>0</v>
      </c>
      <c r="C60" s="163">
        <f t="shared" si="16"/>
        <v>0</v>
      </c>
      <c r="D60" s="891">
        <v>0.25</v>
      </c>
      <c r="E60" s="209">
        <f>'数据-汇总表'!E11</f>
        <v>0</v>
      </c>
      <c r="F60" s="833">
        <f t="shared" si="15"/>
        <v>0</v>
      </c>
      <c r="G60" s="1835" t="s">
        <v>1891</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1892</v>
      </c>
      <c r="B61" s="210">
        <f t="shared" si="17"/>
        <v>4838</v>
      </c>
      <c r="C61" s="163">
        <f t="shared" si="16"/>
        <v>0.25</v>
      </c>
      <c r="D61" s="891">
        <v>0.25</v>
      </c>
      <c r="E61" s="209">
        <f>'数据-汇总表'!E12</f>
        <v>42.4</v>
      </c>
      <c r="F61" s="833">
        <f t="shared" si="15"/>
        <v>21</v>
      </c>
      <c r="G61" s="839" t="s">
        <v>3387</v>
      </c>
      <c r="H61" s="834" t="str">
        <f>IF(G61="商业",项目基本情况!B37,IF(G61="办公",项目基本情况!C37,IF(G61="住宅",项目基本情况!D37,项目基本情况!E37)))</f>
        <v>六级</v>
      </c>
      <c r="I61" s="838">
        <f>SUMIF(修正!A59:A70,H61,修正!F59:F70)</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1894</v>
      </c>
      <c r="B62" s="210">
        <f t="shared" si="17"/>
        <v>2903</v>
      </c>
      <c r="C62" s="163">
        <f t="shared" si="16"/>
        <v>0.15</v>
      </c>
      <c r="D62" s="891">
        <v>0.25</v>
      </c>
      <c r="E62" s="209">
        <f>'数据-汇总表'!E13</f>
        <v>0</v>
      </c>
      <c r="F62" s="833">
        <f t="shared" si="15"/>
        <v>0</v>
      </c>
      <c r="G62" s="839" t="s">
        <v>1895</v>
      </c>
      <c r="H62" s="834" t="str">
        <f>IF(G62="商业",项目基本情况!B37,IF(G62="办公",项目基本情况!C37,IF(G62="住宅",项目基本情况!D37,项目基本情况!E37)))</f>
        <v>六级</v>
      </c>
      <c r="I62" s="838">
        <f>SUMIF(修正!A59:A70,H62,修正!G59:G70)</f>
        <v>0.15</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1896</v>
      </c>
      <c r="B63" s="210">
        <f t="shared" si="17"/>
        <v>0</v>
      </c>
      <c r="C63" s="163">
        <f t="shared" si="16"/>
        <v>0</v>
      </c>
      <c r="D63" s="891">
        <v>0.25</v>
      </c>
      <c r="E63" s="209">
        <f>'数据-汇总表'!E14</f>
        <v>0</v>
      </c>
      <c r="F63" s="833">
        <f t="shared" si="15"/>
        <v>0</v>
      </c>
      <c r="G63" s="1835" t="s">
        <v>1887</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1897</v>
      </c>
      <c r="B64" s="210">
        <f t="shared" si="17"/>
        <v>0</v>
      </c>
      <c r="C64" s="163">
        <f t="shared" si="16"/>
        <v>0</v>
      </c>
      <c r="D64" s="891">
        <v>0.25</v>
      </c>
      <c r="E64" s="209">
        <f>'数据-汇总表'!E15</f>
        <v>0</v>
      </c>
      <c r="F64" s="833">
        <f t="shared" si="15"/>
        <v>0</v>
      </c>
      <c r="G64" s="1836" t="s">
        <v>1891</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1898</v>
      </c>
      <c r="B65" s="616" t="s">
        <v>22</v>
      </c>
      <c r="C65" s="616" t="s">
        <v>23</v>
      </c>
      <c r="D65" s="616" t="s">
        <v>392</v>
      </c>
      <c r="E65" s="616">
        <f>IF(B46="楼面地价",SUM(E56:E64),'数据-汇总表'!D3)</f>
        <v>315.39</v>
      </c>
      <c r="F65" s="617">
        <f>IF(B46="楼面地价",SUM(F56:F64),ROUND(C48*E65/10000,0))</f>
        <v>2134</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75" thickBot="1">
      <c r="A68" s="658" t="s">
        <v>1794</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1899</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1900</v>
      </c>
      <c r="B70" s="280" t="str">
        <f>"北京市平均增长率"&amp;TEXT(SUMIF(基准地价修正!N25:N29,A70,基准地价修正!P25:P29),"0.00%")</f>
        <v>北京市平均增长率0.00%</v>
      </c>
      <c r="C70" s="530">
        <v>100</v>
      </c>
      <c r="D70" s="3176">
        <f>ROUND('地价-分区'!AP6,2)</f>
        <v>100</v>
      </c>
      <c r="E70" s="3176">
        <f>ROUND('地价-分区'!AP7,2)</f>
        <v>100.39</v>
      </c>
      <c r="F70" s="3176">
        <f>ROUND('地价-分区'!AP8,2)</f>
        <v>100.3</v>
      </c>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1712</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1677</v>
      </c>
      <c r="B72" s="444"/>
      <c r="C72" s="456" t="s">
        <v>1772</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1715</v>
      </c>
      <c r="B74" s="460" t="s">
        <v>1681</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1684</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1685</v>
      </c>
      <c r="C78" s="478" t="str">
        <f>C79&amp;"（含）"&amp;"-"&amp;D79</f>
        <v>0（含）-1</v>
      </c>
      <c r="D78" s="478" t="str">
        <f t="shared" ref="D78:L78" si="20">D79&amp;"（含）"&amp;"-"&amp;E79</f>
        <v>1（含）-1.5</v>
      </c>
      <c r="E78" s="478" t="str">
        <f t="shared" si="20"/>
        <v>1.5（含）-2</v>
      </c>
      <c r="F78" s="478" t="str">
        <f t="shared" si="20"/>
        <v>2（含）-2.5</v>
      </c>
      <c r="G78" s="478" t="str">
        <f t="shared" si="20"/>
        <v>2.5（含）-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v>0</v>
      </c>
      <c r="D79" s="480">
        <v>1</v>
      </c>
      <c r="E79" s="480">
        <v>1.5</v>
      </c>
      <c r="F79" s="480">
        <v>2</v>
      </c>
      <c r="G79" s="480">
        <v>2.5</v>
      </c>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98</v>
      </c>
      <c r="E80" s="475">
        <f t="shared" si="21"/>
        <v>96</v>
      </c>
      <c r="F80" s="475">
        <f t="shared" si="21"/>
        <v>94</v>
      </c>
      <c r="G80" s="475">
        <f t="shared" si="21"/>
        <v>92</v>
      </c>
      <c r="H80" s="475">
        <f t="shared" si="21"/>
        <v>90</v>
      </c>
      <c r="I80" s="475">
        <f t="shared" si="21"/>
        <v>88</v>
      </c>
      <c r="J80" s="475">
        <f t="shared" si="21"/>
        <v>86</v>
      </c>
      <c r="K80" s="475">
        <f t="shared" si="21"/>
        <v>84</v>
      </c>
      <c r="L80" s="475">
        <f t="shared" si="21"/>
        <v>82</v>
      </c>
      <c r="M80" s="475">
        <f t="shared" si="21"/>
        <v>80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限价</v>
      </c>
      <c r="C81" s="485">
        <v>120000</v>
      </c>
      <c r="D81" s="485" t="s">
        <v>4796</v>
      </c>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v>100</v>
      </c>
      <c r="D82" s="467">
        <v>115</v>
      </c>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0</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0</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1686</v>
      </c>
      <c r="B87" s="460" t="s">
        <v>1716</v>
      </c>
      <c r="C87" s="504" t="s">
        <v>1717</v>
      </c>
      <c r="D87" s="504" t="s">
        <v>1718</v>
      </c>
      <c r="E87" s="504" t="s">
        <v>1719</v>
      </c>
      <c r="F87" s="504" t="s">
        <v>1720</v>
      </c>
      <c r="G87" s="504" t="s">
        <v>1721</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95</v>
      </c>
      <c r="E88" s="475">
        <f>D88-$K15</f>
        <v>90</v>
      </c>
      <c r="F88" s="475">
        <f>E88-$K15</f>
        <v>85</v>
      </c>
      <c r="G88" s="475">
        <f>F88-$K15</f>
        <v>80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1901</v>
      </c>
      <c r="C89" s="509" t="s">
        <v>1717</v>
      </c>
      <c r="D89" s="509" t="s">
        <v>1718</v>
      </c>
      <c r="E89" s="509" t="s">
        <v>1719</v>
      </c>
      <c r="F89" s="509" t="s">
        <v>1720</v>
      </c>
      <c r="G89" s="509" t="s">
        <v>1721</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1817</v>
      </c>
      <c r="C91" s="509" t="s">
        <v>1717</v>
      </c>
      <c r="D91" s="509" t="s">
        <v>1718</v>
      </c>
      <c r="E91" s="509" t="s">
        <v>1719</v>
      </c>
      <c r="F91" s="509" t="s">
        <v>1720</v>
      </c>
      <c r="G91" s="509" t="s">
        <v>1721</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1722</v>
      </c>
      <c r="C93" s="509" t="s">
        <v>1717</v>
      </c>
      <c r="D93" s="509" t="s">
        <v>1718</v>
      </c>
      <c r="E93" s="509" t="s">
        <v>1719</v>
      </c>
      <c r="F93" s="509" t="s">
        <v>1720</v>
      </c>
      <c r="G93" s="509" t="s">
        <v>1721</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95</v>
      </c>
      <c r="E94" s="475">
        <f>D94-$K21</f>
        <v>90</v>
      </c>
      <c r="F94" s="475">
        <f>E94-$K21</f>
        <v>85</v>
      </c>
      <c r="G94" s="475">
        <f>F94-$K21</f>
        <v>80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1902</v>
      </c>
      <c r="C95" s="509" t="s">
        <v>1717</v>
      </c>
      <c r="D95" s="509" t="s">
        <v>1718</v>
      </c>
      <c r="E95" s="509" t="s">
        <v>1719</v>
      </c>
      <c r="F95" s="509" t="s">
        <v>1720</v>
      </c>
      <c r="G95" s="509" t="s">
        <v>1721</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97</v>
      </c>
      <c r="E96" s="475">
        <f>D96-$K23</f>
        <v>94</v>
      </c>
      <c r="F96" s="475">
        <f>E96-$K23</f>
        <v>91</v>
      </c>
      <c r="G96" s="475">
        <f>F96-$K23</f>
        <v>88</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1903</v>
      </c>
      <c r="C97" s="504" t="s">
        <v>1717</v>
      </c>
      <c r="D97" s="504" t="s">
        <v>1718</v>
      </c>
      <c r="E97" s="504" t="s">
        <v>1719</v>
      </c>
      <c r="F97" s="504" t="s">
        <v>1720</v>
      </c>
      <c r="G97" s="504" t="s">
        <v>1721</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95</v>
      </c>
      <c r="E98" s="475">
        <f>D98-$K25</f>
        <v>90</v>
      </c>
      <c r="F98" s="475">
        <f>E98-$K25</f>
        <v>85</v>
      </c>
      <c r="G98" s="475">
        <f>F98-$K25</f>
        <v>80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1774</v>
      </c>
      <c r="C99" s="504" t="s">
        <v>1717</v>
      </c>
      <c r="D99" s="504" t="s">
        <v>1718</v>
      </c>
      <c r="E99" s="504" t="s">
        <v>1719</v>
      </c>
      <c r="F99" s="504" t="s">
        <v>1720</v>
      </c>
      <c r="G99" s="504" t="s">
        <v>1721</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95</v>
      </c>
      <c r="E100" s="475">
        <f>D100-$K27</f>
        <v>90</v>
      </c>
      <c r="F100" s="475">
        <f>E100-$K27</f>
        <v>85</v>
      </c>
      <c r="G100" s="475">
        <f>F100-$K27</f>
        <v>80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1775</v>
      </c>
      <c r="C101" s="581" t="s">
        <v>1795</v>
      </c>
      <c r="D101" s="581" t="s">
        <v>1796</v>
      </c>
      <c r="E101" s="581" t="s">
        <v>1797</v>
      </c>
      <c r="F101" s="581" t="s">
        <v>1798</v>
      </c>
      <c r="G101" s="581" t="s">
        <v>1799</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1904</v>
      </c>
      <c r="D103" s="470" t="s">
        <v>1905</v>
      </c>
      <c r="E103" s="470" t="s">
        <v>1906</v>
      </c>
      <c r="F103" s="470" t="s">
        <v>1907</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1811</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1868</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28.5">
      <c r="A115" s="379" t="s">
        <v>1690</v>
      </c>
      <c r="B115" s="460" t="s">
        <v>1908</v>
      </c>
      <c r="C115" s="461" t="str">
        <f>C116&amp;"(含)"&amp;"-"&amp;D116</f>
        <v>0(含)-20000</v>
      </c>
      <c r="D115" s="461" t="str">
        <f t="shared" ref="D115:M115" si="25">D116&amp;"(含)"&amp;"-"&amp;E116</f>
        <v>20000(含)-50000</v>
      </c>
      <c r="E115" s="461" t="str">
        <f t="shared" si="25"/>
        <v>50000(含)-100000</v>
      </c>
      <c r="F115" s="461" t="str">
        <f t="shared" si="25"/>
        <v>100000(含)-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v>0</v>
      </c>
      <c r="D116" s="6">
        <v>20000</v>
      </c>
      <c r="E116" s="6">
        <v>50000</v>
      </c>
      <c r="F116" s="6">
        <v>100000</v>
      </c>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v>100</v>
      </c>
      <c r="D117" s="521">
        <v>102</v>
      </c>
      <c r="E117" s="521">
        <v>104</v>
      </c>
      <c r="F117" s="521">
        <v>106</v>
      </c>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1909</v>
      </c>
      <c r="C118" s="513" t="s">
        <v>4799</v>
      </c>
      <c r="D118" s="513" t="s">
        <v>4806</v>
      </c>
      <c r="E118" s="513" t="s">
        <v>4805</v>
      </c>
      <c r="F118" s="513" t="s">
        <v>4807</v>
      </c>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98</v>
      </c>
      <c r="E119" s="475">
        <f t="shared" si="26"/>
        <v>96</v>
      </c>
      <c r="F119" s="475">
        <f t="shared" si="26"/>
        <v>94</v>
      </c>
      <c r="G119" s="475">
        <f t="shared" si="26"/>
        <v>92</v>
      </c>
      <c r="H119" s="475">
        <f t="shared" si="26"/>
        <v>90</v>
      </c>
      <c r="I119" s="475">
        <f t="shared" si="26"/>
        <v>88</v>
      </c>
      <c r="J119" s="475">
        <f t="shared" si="26"/>
        <v>86</v>
      </c>
      <c r="K119" s="475">
        <f t="shared" si="26"/>
        <v>84</v>
      </c>
      <c r="L119" s="475">
        <f t="shared" si="26"/>
        <v>82</v>
      </c>
      <c r="M119" s="476">
        <f t="shared" si="26"/>
        <v>80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1910</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99</v>
      </c>
      <c r="E121" s="475">
        <f t="shared" si="27"/>
        <v>98</v>
      </c>
      <c r="F121" s="475">
        <f t="shared" si="27"/>
        <v>97</v>
      </c>
      <c r="G121" s="475">
        <f t="shared" si="27"/>
        <v>96</v>
      </c>
      <c r="H121" s="475">
        <f t="shared" si="27"/>
        <v>95</v>
      </c>
      <c r="I121" s="475">
        <f t="shared" si="27"/>
        <v>94</v>
      </c>
      <c r="J121" s="475">
        <f t="shared" si="27"/>
        <v>93</v>
      </c>
      <c r="K121" s="475">
        <f t="shared" si="27"/>
        <v>92</v>
      </c>
      <c r="L121" s="475">
        <f t="shared" si="27"/>
        <v>91</v>
      </c>
      <c r="M121" s="476">
        <f t="shared" si="27"/>
        <v>90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1911</v>
      </c>
      <c r="C122" s="485" t="s">
        <v>4798</v>
      </c>
      <c r="D122" s="485" t="s">
        <v>4800</v>
      </c>
      <c r="E122" s="485" t="s">
        <v>4808</v>
      </c>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1912</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99</v>
      </c>
      <c r="E125" s="475">
        <f t="shared" si="29"/>
        <v>98</v>
      </c>
      <c r="F125" s="475">
        <f t="shared" si="29"/>
        <v>97</v>
      </c>
      <c r="G125" s="475">
        <f t="shared" si="29"/>
        <v>96</v>
      </c>
      <c r="H125" s="475">
        <f t="shared" si="29"/>
        <v>95</v>
      </c>
      <c r="I125" s="475">
        <f t="shared" si="29"/>
        <v>94</v>
      </c>
      <c r="J125" s="475">
        <f t="shared" si="29"/>
        <v>93</v>
      </c>
      <c r="K125" s="475">
        <f t="shared" si="29"/>
        <v>92</v>
      </c>
      <c r="L125" s="475">
        <f t="shared" si="29"/>
        <v>91</v>
      </c>
      <c r="M125" s="476">
        <f t="shared" si="29"/>
        <v>90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46" priority="13" stopIfTrue="1">
      <formula>$F$51="超过30%"</formula>
    </cfRule>
  </conditionalFormatting>
  <conditionalFormatting sqref="E52">
    <cfRule type="expression" dxfId="145" priority="11" stopIfTrue="1">
      <formula>$F$52="超过20%"</formula>
    </cfRule>
  </conditionalFormatting>
  <conditionalFormatting sqref="E53">
    <cfRule type="expression" dxfId="144" priority="10" stopIfTrue="1">
      <formula>$F$53="超过30%"</formula>
    </cfRule>
  </conditionalFormatting>
  <conditionalFormatting sqref="F7:F45 H7:H45 J7:J45">
    <cfRule type="cellIs" dxfId="143" priority="1" operator="notEqual">
      <formula>100</formula>
    </cfRule>
  </conditionalFormatting>
  <conditionalFormatting sqref="F47">
    <cfRule type="expression" dxfId="142" priority="4">
      <formula>$D$47="简单平均"</formula>
    </cfRule>
  </conditionalFormatting>
  <conditionalFormatting sqref="F51:F53 H51:H53 J51:J53">
    <cfRule type="containsText" dxfId="141" priority="14" stopIfTrue="1" operator="containsText" text="超过">
      <formula>NOT(ISERROR(SEARCH("超过",F51)))</formula>
    </cfRule>
  </conditionalFormatting>
  <conditionalFormatting sqref="G51">
    <cfRule type="expression" dxfId="140" priority="9" stopIfTrue="1">
      <formula>$H$53+$H$51="超过30%"</formula>
    </cfRule>
  </conditionalFormatting>
  <conditionalFormatting sqref="G52">
    <cfRule type="expression" dxfId="139" priority="8" stopIfTrue="1">
      <formula>$H$52="超过20%"</formula>
    </cfRule>
  </conditionalFormatting>
  <conditionalFormatting sqref="G53">
    <cfRule type="expression" dxfId="138" priority="12" stopIfTrue="1">
      <formula>$H$53="超过30%"</formula>
    </cfRule>
  </conditionalFormatting>
  <conditionalFormatting sqref="H47">
    <cfRule type="expression" dxfId="137" priority="3">
      <formula>$D$47="简单平均"</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J47">
    <cfRule type="expression" dxfId="133"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7D204-4282-46FC-B70D-C3720AD33D2A}">
  <sheetPr>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1258</v>
      </c>
      <c r="B1" s="646"/>
      <c r="C1" s="1620" t="s">
        <v>3387</v>
      </c>
      <c r="D1" s="646"/>
      <c r="E1" s="646"/>
      <c r="F1" s="1621" t="s">
        <v>1259</v>
      </c>
      <c r="G1" s="1453" t="s">
        <v>4815</v>
      </c>
      <c r="H1" s="1621" t="str">
        <f>IF(G1="现房","——","估价对象范围")</f>
        <v>——</v>
      </c>
      <c r="I1" s="1622" t="s">
        <v>4816</v>
      </c>
    </row>
    <row r="2" spans="1:12" ht="21.75" customHeight="1" thickBot="1">
      <c r="A2" s="3413" t="str">
        <f>项目基本情况!S2</f>
        <v>北京市房地产</v>
      </c>
      <c r="B2" s="3414"/>
      <c r="C2" s="3414"/>
      <c r="D2" s="3414"/>
      <c r="E2" s="3414"/>
      <c r="F2" s="3414"/>
      <c r="G2" s="3414"/>
      <c r="H2" s="3414"/>
      <c r="I2" s="3415"/>
    </row>
    <row r="3" spans="1:12" ht="12.75">
      <c r="A3" s="3416" t="s">
        <v>1260</v>
      </c>
      <c r="B3" s="3417"/>
      <c r="C3" s="3417"/>
      <c r="D3" s="3417"/>
      <c r="E3" s="3417"/>
      <c r="F3" s="3417"/>
      <c r="G3" s="3417"/>
      <c r="H3" s="3417"/>
      <c r="I3" s="3417"/>
    </row>
    <row r="4" spans="1:12" ht="14.25">
      <c r="A4" s="1624" t="s">
        <v>1261</v>
      </c>
      <c r="B4" s="1625" t="s">
        <v>1262</v>
      </c>
      <c r="C4" s="1626" t="s">
        <v>4814</v>
      </c>
      <c r="D4" s="1626" t="s">
        <v>4811</v>
      </c>
      <c r="E4" s="3418" t="s">
        <v>1263</v>
      </c>
      <c r="F4" s="3419"/>
      <c r="G4" s="3419"/>
      <c r="H4" s="3419"/>
      <c r="I4" s="3420"/>
      <c r="K4" s="138" t="str">
        <f>IF(ISNUMBER(FIND("比较法",'结果表-住宅'!C4)),"比较法",IF(ISNUMBER(FIND("成本法",'结果表-住宅'!C4)),"成本法",IF(ISNUMBER(FIND("假设开发法",'结果表-住宅'!C4)),"假设开发法",IF(ISNUMBER(FIND("收益法",'结果表-住宅'!C4)),"收益法","基准地价系数修正法"))))</f>
        <v>比较法</v>
      </c>
      <c r="L4" s="138"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328" t="s">
        <v>1264</v>
      </c>
      <c r="B5" s="3303">
        <v>25</v>
      </c>
      <c r="C5" s="3409"/>
      <c r="D5" s="3411"/>
      <c r="E5" s="123" t="s">
        <v>1265</v>
      </c>
      <c r="F5" s="1627"/>
      <c r="G5" s="1627"/>
      <c r="H5" s="1627"/>
      <c r="I5" s="1281"/>
    </row>
    <row r="6" spans="1:12" ht="12.75">
      <c r="A6" s="3328"/>
      <c r="B6" s="3303"/>
      <c r="C6" s="3412"/>
      <c r="D6" s="3411"/>
      <c r="E6" s="123" t="s">
        <v>1266</v>
      </c>
      <c r="F6" s="1627"/>
      <c r="G6" s="1627"/>
      <c r="H6" s="1627"/>
      <c r="I6" s="1281"/>
    </row>
    <row r="7" spans="1:12" ht="12.75">
      <c r="A7" s="3328"/>
      <c r="B7" s="3303"/>
      <c r="C7" s="3410"/>
      <c r="D7" s="3411"/>
      <c r="E7" s="123" t="s">
        <v>1267</v>
      </c>
      <c r="F7" s="1627"/>
      <c r="G7" s="1627"/>
      <c r="H7" s="1627"/>
      <c r="I7" s="1281"/>
    </row>
    <row r="8" spans="1:12" ht="12.75">
      <c r="A8" s="3328" t="s">
        <v>1268</v>
      </c>
      <c r="B8" s="3303">
        <v>15</v>
      </c>
      <c r="C8" s="3409"/>
      <c r="D8" s="3411"/>
      <c r="E8" s="123" t="s">
        <v>1269</v>
      </c>
      <c r="F8" s="1627"/>
      <c r="G8" s="1627"/>
      <c r="H8" s="1627"/>
      <c r="I8" s="1281"/>
    </row>
    <row r="9" spans="1:12" ht="12.75">
      <c r="A9" s="3328"/>
      <c r="B9" s="3303"/>
      <c r="C9" s="3410"/>
      <c r="D9" s="3411"/>
      <c r="E9" s="123" t="s">
        <v>1270</v>
      </c>
      <c r="F9" s="1627"/>
      <c r="G9" s="1627"/>
      <c r="H9" s="1627"/>
      <c r="I9" s="1281"/>
    </row>
    <row r="10" spans="1:12" ht="12.75">
      <c r="A10" s="3328" t="s">
        <v>1271</v>
      </c>
      <c r="B10" s="3303">
        <v>15</v>
      </c>
      <c r="C10" s="3409"/>
      <c r="D10" s="3411"/>
      <c r="E10" s="123" t="s">
        <v>1272</v>
      </c>
      <c r="F10" s="1627"/>
      <c r="G10" s="1627"/>
      <c r="H10" s="1627"/>
      <c r="I10" s="1281"/>
    </row>
    <row r="11" spans="1:12" ht="12.75">
      <c r="A11" s="3328"/>
      <c r="B11" s="3303"/>
      <c r="C11" s="3410"/>
      <c r="D11" s="3411"/>
      <c r="E11" s="123" t="s">
        <v>1273</v>
      </c>
      <c r="F11" s="1627"/>
      <c r="G11" s="1627"/>
      <c r="H11" s="1627"/>
      <c r="I11" s="1281"/>
    </row>
    <row r="12" spans="1:12" ht="12.75">
      <c r="A12" s="3328" t="s">
        <v>1274</v>
      </c>
      <c r="B12" s="3303">
        <v>15</v>
      </c>
      <c r="C12" s="3409"/>
      <c r="D12" s="3411"/>
      <c r="E12" s="123" t="s">
        <v>1275</v>
      </c>
      <c r="F12" s="1627"/>
      <c r="G12" s="1627"/>
      <c r="H12" s="1627"/>
      <c r="I12" s="1281"/>
    </row>
    <row r="13" spans="1:12" ht="12.75">
      <c r="A13" s="3328"/>
      <c r="B13" s="3303"/>
      <c r="C13" s="3410"/>
      <c r="D13" s="3411"/>
      <c r="E13" s="123" t="s">
        <v>1276</v>
      </c>
      <c r="F13" s="1627"/>
      <c r="G13" s="1627"/>
      <c r="H13" s="1627"/>
      <c r="I13" s="1281"/>
    </row>
    <row r="14" spans="1:12" ht="12.75">
      <c r="A14" s="3328" t="s">
        <v>1277</v>
      </c>
      <c r="B14" s="3303">
        <v>30</v>
      </c>
      <c r="C14" s="3409">
        <v>5</v>
      </c>
      <c r="D14" s="3411">
        <v>5</v>
      </c>
      <c r="E14" s="123" t="s">
        <v>1278</v>
      </c>
      <c r="F14" s="1627"/>
      <c r="G14" s="1627"/>
      <c r="H14" s="1627"/>
      <c r="I14" s="1281"/>
    </row>
    <row r="15" spans="1:12" ht="12.75">
      <c r="A15" s="3328"/>
      <c r="B15" s="3303"/>
      <c r="C15" s="3412"/>
      <c r="D15" s="3411"/>
      <c r="E15" s="123" t="s">
        <v>1279</v>
      </c>
      <c r="F15" s="1627"/>
      <c r="G15" s="1627"/>
      <c r="H15" s="1627"/>
      <c r="I15" s="1281"/>
    </row>
    <row r="16" spans="1:12" ht="12.75">
      <c r="A16" s="3328"/>
      <c r="B16" s="3303"/>
      <c r="C16" s="3410"/>
      <c r="D16" s="3411"/>
      <c r="E16" s="123" t="s">
        <v>1280</v>
      </c>
      <c r="F16" s="1627"/>
      <c r="G16" s="1627"/>
      <c r="H16" s="1627"/>
      <c r="I16" s="1281"/>
    </row>
    <row r="17" spans="1:36" ht="15">
      <c r="A17" s="1628" t="s">
        <v>1281</v>
      </c>
      <c r="B17" s="54"/>
      <c r="C17" s="124">
        <f>SUM(C5:C16)</f>
        <v>5</v>
      </c>
      <c r="D17" s="124">
        <f>SUM(D5:D16)</f>
        <v>5</v>
      </c>
      <c r="E17" s="121"/>
      <c r="F17" s="121"/>
      <c r="G17" s="121"/>
      <c r="H17" s="121"/>
      <c r="I17" s="121"/>
      <c r="K17" s="294"/>
      <c r="L17" s="294" t="s">
        <v>1282</v>
      </c>
      <c r="M17" s="294" t="s">
        <v>1283</v>
      </c>
    </row>
    <row r="18" spans="1:36" ht="31.9" customHeight="1" thickBot="1">
      <c r="A18" s="1629" t="s">
        <v>1284</v>
      </c>
      <c r="B18" s="1542"/>
      <c r="C18" s="125">
        <f>ROUND(C17/SUM(C17:D17),2)</f>
        <v>0.5</v>
      </c>
      <c r="D18" s="125">
        <f>1-C18</f>
        <v>0.5</v>
      </c>
      <c r="E18" s="3395" t="s">
        <v>2125</v>
      </c>
      <c r="F18" s="3396"/>
      <c r="G18" s="3396"/>
      <c r="H18" s="3396"/>
      <c r="I18" s="3396"/>
      <c r="K18" s="294" t="s">
        <v>1285</v>
      </c>
      <c r="L18" s="294">
        <f>IF(C1="",'数据-汇总表'!E3,SUMIF(项目类型,C1,'数据-汇总表'!E17:E26)+SUMIF(项目类型,C1,'数据-汇总表'!I17:I26))</f>
        <v>272.99</v>
      </c>
      <c r="M18" s="294">
        <f>IF(C1="",'数据-汇总表'!E3,SUMIF(项目类型,C1,'数据-汇总表'!E17:E26))</f>
        <v>272.99</v>
      </c>
    </row>
    <row r="19" spans="1:36" ht="15">
      <c r="A19" s="1630" t="s">
        <v>1286</v>
      </c>
      <c r="B19" s="1631" t="s">
        <v>1287</v>
      </c>
      <c r="C19" s="126">
        <f ca="1">SUMIF(INDIRECT("'"&amp;C4&amp;"'"&amp;"!A:A"),'结果表-住宅'!B19,INDIRECT("'"&amp;C4&amp;"'"&amp;"!B:B"))</f>
        <v>3201</v>
      </c>
      <c r="D19" s="127">
        <f ca="1">SUMIF(INDIRECT("'"&amp;D4&amp;"'"&amp;"!A:A"),'结果表-住宅'!B19,INDIRECT("'"&amp;D4&amp;"'"&amp;"!B:B"))</f>
        <v>3191.0246999999999</v>
      </c>
      <c r="E19" s="1630" t="s">
        <v>1288</v>
      </c>
      <c r="F19" s="1631" t="s">
        <v>1287</v>
      </c>
      <c r="G19" s="128">
        <f ca="1">ROUND(C19*$C$18+D19*$D$18,0)</f>
        <v>3196</v>
      </c>
      <c r="H19" s="1632" t="s">
        <v>1289</v>
      </c>
      <c r="I19" s="121"/>
      <c r="K19" s="294" t="s">
        <v>1290</v>
      </c>
      <c r="L19" s="294">
        <f>IF(C1="",'数据-汇总表'!D3,SUMIF(项目类型,C1,'数据-汇总表'!D17:D26)+SUMIF(项目类型,C1,'数据-汇总表'!H17:H27))</f>
        <v>0</v>
      </c>
      <c r="M19" s="294">
        <f>IF(C1="",'数据-汇总表'!D3,SUMIF(项目类型,C1,'数据-汇总表'!D17:D26))</f>
        <v>0</v>
      </c>
    </row>
    <row r="20" spans="1:36" ht="15">
      <c r="A20" s="1633"/>
      <c r="B20" s="43" t="s">
        <v>1291</v>
      </c>
      <c r="C20" s="129">
        <f ca="1">SUMIF(INDIRECT("'"&amp;C4&amp;"'"&amp;"!A:A"),'结果表-住宅'!B20,INDIRECT("'"&amp;C4&amp;"'"&amp;"!B:B"))</f>
        <v>117258</v>
      </c>
      <c r="D20" s="130">
        <f ca="1">SUMIF(INDIRECT("'"&amp;D4&amp;"'"&amp;"!A:A"),'结果表-住宅'!B20,INDIRECT("'"&amp;D4&amp;"'"&amp;"!B:B"))</f>
        <v>116892</v>
      </c>
      <c r="E20" s="1633"/>
      <c r="F20" s="43" t="s">
        <v>1291</v>
      </c>
      <c r="G20" s="131">
        <f ca="1">ROUND(C20*$C$18+D20*$D$18,0)</f>
        <v>117075</v>
      </c>
      <c r="H20" s="760" t="s">
        <v>1292</v>
      </c>
      <c r="I20" s="121"/>
    </row>
    <row r="21" spans="1:36" ht="15" customHeight="1" thickBot="1">
      <c r="A21" s="449"/>
      <c r="B21" s="93" t="s">
        <v>1293</v>
      </c>
      <c r="C21" s="678" t="e">
        <f ca="1">ROUND(C19*10000/L19,0)</f>
        <v>#DIV/0!</v>
      </c>
      <c r="D21" s="679" t="e">
        <f ca="1">ROUND(D19*10000/L19,0)</f>
        <v>#DIV/0!</v>
      </c>
      <c r="E21" s="449"/>
      <c r="F21" s="93" t="s">
        <v>1293</v>
      </c>
      <c r="G21" s="132" t="e">
        <f ca="1">ROUND(G19*10000/L19,0)</f>
        <v>#DIV/0!</v>
      </c>
      <c r="H21" s="1634" t="s">
        <v>1292</v>
      </c>
      <c r="I21" s="121"/>
    </row>
    <row r="22" spans="1:36" ht="15" thickBot="1">
      <c r="A22" s="1564" t="s">
        <v>1294</v>
      </c>
      <c r="B22" s="1635"/>
      <c r="C22" s="1636"/>
      <c r="D22" s="680">
        <f ca="1">IF(C19&lt;D19,D19/C19-1,C19/D19-1)</f>
        <v>3.1260491339977214E-3</v>
      </c>
      <c r="E22" s="121"/>
      <c r="F22" s="121"/>
      <c r="G22" s="121"/>
      <c r="H22" s="121"/>
      <c r="I22" s="121"/>
    </row>
    <row r="23" spans="1:36" ht="13.5" thickBot="1">
      <c r="A23" s="646"/>
      <c r="B23" s="646"/>
      <c r="C23" s="646"/>
      <c r="D23" s="646"/>
      <c r="E23" s="121"/>
      <c r="F23" s="121"/>
      <c r="G23" s="121"/>
      <c r="H23" s="121"/>
      <c r="I23" s="121"/>
    </row>
    <row r="24" spans="1:36" ht="14.25">
      <c r="A24" s="3397" t="s">
        <v>1295</v>
      </c>
      <c r="B24" s="1631" t="s">
        <v>1287</v>
      </c>
      <c r="C24" s="128">
        <f>IF(B30=0,0,D30)</f>
        <v>0</v>
      </c>
      <c r="D24" s="1637"/>
      <c r="E24" s="121"/>
      <c r="F24" s="121"/>
      <c r="G24" s="121"/>
      <c r="H24" s="121"/>
      <c r="I24" s="121"/>
    </row>
    <row r="25" spans="1:36" ht="14.25">
      <c r="A25" s="3398"/>
      <c r="B25" s="43" t="s">
        <v>1291</v>
      </c>
      <c r="C25" s="133">
        <f>IF(B30=0,0,C30)</f>
        <v>0</v>
      </c>
      <c r="D25" s="1638"/>
      <c r="E25" s="121"/>
      <c r="F25" s="121"/>
      <c r="G25" s="121"/>
      <c r="H25" s="121"/>
      <c r="I25" s="121"/>
    </row>
    <row r="26" spans="1:36" ht="13.5" customHeight="1">
      <c r="A26" s="1639" t="s">
        <v>1296</v>
      </c>
      <c r="B26" s="134" t="s">
        <v>1297</v>
      </c>
      <c r="C26" s="134" t="s">
        <v>1298</v>
      </c>
      <c r="D26" s="135" t="s">
        <v>1299</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1300</v>
      </c>
      <c r="B30" s="134"/>
      <c r="C30" s="134"/>
      <c r="D30" s="134"/>
      <c r="E30" s="2127" t="s">
        <v>2126</v>
      </c>
      <c r="F30" s="121"/>
      <c r="G30" s="121"/>
      <c r="H30" s="121"/>
      <c r="I30" s="121"/>
    </row>
    <row r="31" spans="1:36" s="2133" customFormat="1" ht="26.45" customHeight="1" thickTop="1" thickBot="1">
      <c r="A31" s="2128"/>
      <c r="B31" s="2129"/>
      <c r="C31" s="2129"/>
      <c r="D31" s="2129"/>
      <c r="E31" s="2129"/>
      <c r="F31" s="2129"/>
      <c r="G31" s="2129"/>
      <c r="H31" s="2129"/>
      <c r="I31" s="2130" t="s">
        <v>2127</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1301</v>
      </c>
      <c r="B32" s="1535"/>
      <c r="C32" s="136">
        <f ca="1">IF(D32="总价",G19-C24,G20-C25)</f>
        <v>3196</v>
      </c>
      <c r="D32" s="1641" t="s">
        <v>4829</v>
      </c>
      <c r="E32" s="121"/>
      <c r="F32" s="121"/>
      <c r="G32" s="121"/>
      <c r="H32" s="121"/>
      <c r="I32" s="121"/>
    </row>
    <row r="33" spans="1:15" ht="15">
      <c r="A33" s="740" t="s">
        <v>1302</v>
      </c>
      <c r="B33" s="123"/>
      <c r="C33" s="1642" t="s">
        <v>4851</v>
      </c>
      <c r="D33" s="1643" t="s">
        <v>4811</v>
      </c>
      <c r="E33" s="1644" t="s">
        <v>1303</v>
      </c>
      <c r="F33" s="1645" t="str">
        <f>IF(D32="楼面单价","取值（单价）","取值（总价）")</f>
        <v>取值（总价）</v>
      </c>
      <c r="G33" s="121"/>
      <c r="H33" s="121"/>
      <c r="I33" s="121"/>
    </row>
    <row r="34" spans="1:15" ht="15">
      <c r="A34" s="1646"/>
      <c r="B34" s="1647" t="s">
        <v>1304</v>
      </c>
      <c r="C34" s="140">
        <f ca="1">IF(C33="自定义",F34,C32-C35)</f>
        <v>2928</v>
      </c>
      <c r="D34" s="808">
        <f ca="1">IF(C33="自定义",ROUND(C34/C32,3),IF(C33="收益比率",SUMIF(INDIRECT("'"&amp;D33&amp;"'"&amp;"!b:b"),"土地收益比率",INDIRECT("'"&amp;D33&amp;"'"&amp;"!c:c")),SUMIF(INDIRECT("'"&amp;D33&amp;"'"&amp;"!b:b"),"土地成本比率",INDIRECT("'"&amp;D33&amp;"'"&amp;"!c:c"))))</f>
        <v>0.91600000000000004</v>
      </c>
      <c r="E34" s="1648" t="s">
        <v>1305</v>
      </c>
      <c r="F34" s="1243"/>
      <c r="G34" s="121"/>
      <c r="H34" s="121"/>
      <c r="I34" s="121"/>
    </row>
    <row r="35" spans="1:15" ht="15.75" thickBot="1">
      <c r="A35" s="1649"/>
      <c r="B35" s="1650" t="s">
        <v>1306</v>
      </c>
      <c r="C35" s="1090">
        <f ca="1">IF(C33="自定义",F35,ROUND(C32*D35,0))</f>
        <v>268</v>
      </c>
      <c r="D35" s="1091">
        <f ca="1">IF(C33="自定义",ROUND(C35/C32,3),IF(C33="收益比率",SUMIF(INDIRECT("'"&amp;D33&amp;"'"&amp;"!b:b"),"建筑物收益比率",INDIRECT("'"&amp;D33&amp;"'"&amp;"!c:c")),SUMIF(INDIRECT("'"&amp;D33&amp;"'"&amp;"!b:b"),"建筑物成本比率",INDIRECT("'"&amp;D33&amp;"'"&amp;"!c:c"))))</f>
        <v>8.4000000000000005E-2</v>
      </c>
      <c r="E35" s="1651" t="s">
        <v>1307</v>
      </c>
      <c r="F35" s="146"/>
      <c r="G35" s="121"/>
      <c r="H35" s="121"/>
      <c r="I35" s="121"/>
    </row>
    <row r="36" spans="1:15" ht="15.75" thickBot="1">
      <c r="A36" s="3399" t="s">
        <v>1308</v>
      </c>
      <c r="B36" s="1652" t="s">
        <v>1309</v>
      </c>
      <c r="C36" s="137"/>
      <c r="D36" s="1653"/>
      <c r="E36" s="1567"/>
      <c r="F36" s="1654"/>
      <c r="G36" s="121"/>
      <c r="H36" s="121"/>
      <c r="I36" s="121"/>
    </row>
    <row r="37" spans="1:15" ht="15.75" thickBot="1">
      <c r="A37" s="3400"/>
      <c r="B37" s="1555" t="s">
        <v>1310</v>
      </c>
      <c r="C37" s="139"/>
      <c r="D37" s="1071"/>
      <c r="E37" s="1071"/>
      <c r="F37" s="1654"/>
      <c r="G37" s="121"/>
      <c r="H37" s="121"/>
      <c r="I37" s="121"/>
    </row>
    <row r="38" spans="1:15" ht="15.75" thickBot="1">
      <c r="A38" s="3401"/>
      <c r="B38" s="1655" t="s">
        <v>1311</v>
      </c>
      <c r="C38" s="641"/>
      <c r="D38" s="1656" t="s">
        <v>1312</v>
      </c>
      <c r="E38" s="1071"/>
      <c r="F38" s="1654"/>
      <c r="G38" s="121"/>
      <c r="H38" s="121"/>
      <c r="I38" s="121"/>
    </row>
    <row r="39" spans="1:15" ht="15">
      <c r="A39" s="1633" t="s">
        <v>1313</v>
      </c>
      <c r="B39" s="1657" t="s">
        <v>1297</v>
      </c>
      <c r="C39" s="1658" t="s">
        <v>1298</v>
      </c>
      <c r="D39" s="1658" t="s">
        <v>1316</v>
      </c>
      <c r="E39" s="1659" t="s">
        <v>1299</v>
      </c>
      <c r="F39" s="1654"/>
      <c r="G39" s="121"/>
      <c r="H39" s="121"/>
      <c r="I39" s="121"/>
    </row>
    <row r="40" spans="1:15" ht="14.25">
      <c r="A40" s="1660" t="s">
        <v>1318</v>
      </c>
      <c r="B40" s="141"/>
      <c r="C40" s="142"/>
      <c r="D40" s="142"/>
      <c r="E40" s="143"/>
      <c r="F40" s="1654"/>
      <c r="G40" s="121"/>
      <c r="H40" s="121"/>
      <c r="I40" s="121"/>
    </row>
    <row r="41" spans="1:15" ht="14.25">
      <c r="A41" s="1660" t="s">
        <v>1319</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1320</v>
      </c>
      <c r="B44" s="1664"/>
      <c r="C44" s="1664"/>
      <c r="D44" s="1665"/>
      <c r="E44" s="1665"/>
      <c r="F44" s="1666"/>
      <c r="G44" s="1666"/>
      <c r="H44" s="1666"/>
      <c r="I44" s="1666"/>
      <c r="J44" s="1667" t="s">
        <v>1321</v>
      </c>
      <c r="K44" s="4"/>
      <c r="L44" s="4"/>
      <c r="M44" s="4"/>
      <c r="N44" s="4"/>
      <c r="O44" s="4"/>
    </row>
    <row r="45" spans="1:15" ht="14.25" customHeight="1" thickBot="1">
      <c r="A45" s="3402" t="s">
        <v>1322</v>
      </c>
      <c r="B45" s="3403"/>
      <c r="C45" s="3404"/>
      <c r="D45" s="147">
        <f ca="1">ROUND(H101*F45,0)</f>
        <v>3196</v>
      </c>
      <c r="E45" s="148" t="s">
        <v>1323</v>
      </c>
      <c r="F45" s="149">
        <v>1</v>
      </c>
      <c r="G45" s="150" t="s">
        <v>1324</v>
      </c>
      <c r="H45" s="121"/>
      <c r="I45" s="121"/>
      <c r="J45" s="3387" t="s">
        <v>1325</v>
      </c>
      <c r="K45" s="3387"/>
      <c r="L45" s="3387"/>
      <c r="M45" s="3387"/>
      <c r="N45" s="3387"/>
      <c r="O45" s="3387"/>
    </row>
    <row r="46" spans="1:15" ht="14.25" customHeight="1">
      <c r="A46" s="3405" t="s">
        <v>1326</v>
      </c>
      <c r="B46" s="3406"/>
      <c r="C46" s="3406"/>
      <c r="D46" s="3406"/>
      <c r="E46" s="3406"/>
      <c r="F46" s="3406"/>
      <c r="G46" s="3407"/>
      <c r="H46" s="1668"/>
      <c r="I46" s="151"/>
      <c r="J46" s="2310">
        <v>1</v>
      </c>
      <c r="K46" s="3388" t="s">
        <v>1327</v>
      </c>
      <c r="L46" s="3388"/>
      <c r="M46" s="3408"/>
      <c r="N46" s="3408"/>
      <c r="O46" s="3408"/>
    </row>
    <row r="47" spans="1:15" ht="12" customHeight="1">
      <c r="A47" s="152" t="s">
        <v>1328</v>
      </c>
      <c r="B47" s="153"/>
      <c r="C47" s="154"/>
      <c r="D47" s="1024" t="s">
        <v>1329</v>
      </c>
      <c r="E47" s="294" t="s">
        <v>1330</v>
      </c>
      <c r="F47" s="155" t="s">
        <v>1331</v>
      </c>
      <c r="G47" s="2333" t="s">
        <v>1332</v>
      </c>
      <c r="H47" s="2334"/>
      <c r="I47" s="151"/>
      <c r="J47" s="2310">
        <v>2</v>
      </c>
      <c r="K47" s="3388" t="s">
        <v>1333</v>
      </c>
      <c r="L47" s="3388"/>
      <c r="M47" s="3389">
        <f>'数据-取费表'!B2</f>
        <v>46014</v>
      </c>
      <c r="N47" s="3389"/>
      <c r="O47" s="3389"/>
    </row>
    <row r="48" spans="1:15" ht="25.5">
      <c r="A48" s="3390" t="s">
        <v>1334</v>
      </c>
      <c r="B48" s="3385"/>
      <c r="C48" s="3385"/>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1335</v>
      </c>
      <c r="H48" s="2337"/>
      <c r="I48" s="1668"/>
      <c r="J48" s="2310">
        <v>3</v>
      </c>
      <c r="K48" s="3388" t="s">
        <v>1336</v>
      </c>
      <c r="L48" s="3388"/>
      <c r="M48" s="3391">
        <f ca="1">H101</f>
        <v>3196</v>
      </c>
      <c r="N48" s="3391"/>
      <c r="O48" s="3391"/>
    </row>
    <row r="49" spans="1:35" ht="25.5" customHeight="1">
      <c r="A49" s="2152" t="s">
        <v>1337</v>
      </c>
      <c r="B49" s="3366" t="s">
        <v>1338</v>
      </c>
      <c r="C49" s="3366"/>
      <c r="D49" s="1478">
        <v>0</v>
      </c>
      <c r="E49" s="316" t="s">
        <v>1339</v>
      </c>
      <c r="F49" s="2233" t="s">
        <v>28</v>
      </c>
      <c r="G49" s="3392"/>
      <c r="H49" s="2134" t="s">
        <v>2128</v>
      </c>
      <c r="I49" s="2135"/>
      <c r="J49" s="2310">
        <v>4</v>
      </c>
      <c r="K49" s="3388" t="str">
        <f>IF(项目基本情况!E8="房地产抵押价值","房地产抵押价值","抵押担保权已注销时的房地产抵押价值")</f>
        <v>房地产抵押价值</v>
      </c>
      <c r="L49" s="3388"/>
      <c r="M49" s="3391">
        <f ca="1">IF(项目基本情况!E8="房地产抵押价值",H107,H109)</f>
        <v>3196</v>
      </c>
      <c r="N49" s="3391"/>
      <c r="O49" s="3391"/>
    </row>
    <row r="50" spans="1:35" ht="25.5" customHeight="1">
      <c r="A50" s="2338"/>
      <c r="B50" s="3366" t="s">
        <v>1340</v>
      </c>
      <c r="C50" s="3366"/>
      <c r="D50" s="2189"/>
      <c r="E50" s="323"/>
      <c r="F50" s="2233"/>
      <c r="G50" s="3393"/>
      <c r="H50" s="2136" t="s">
        <v>2129</v>
      </c>
      <c r="I50" s="2135"/>
      <c r="J50" s="3387" t="s">
        <v>1341</v>
      </c>
      <c r="K50" s="3387"/>
      <c r="L50" s="3387"/>
      <c r="M50" s="3387"/>
      <c r="N50" s="3387"/>
      <c r="O50" s="3387"/>
    </row>
    <row r="51" spans="1:35" ht="20.45" customHeight="1">
      <c r="A51" s="2339"/>
      <c r="B51" s="3366" t="s">
        <v>1342</v>
      </c>
      <c r="C51" s="3366"/>
      <c r="D51" s="1024"/>
      <c r="E51" s="319"/>
      <c r="F51" s="2233"/>
      <c r="G51" s="3394"/>
      <c r="H51" s="2136" t="s">
        <v>2130</v>
      </c>
      <c r="I51" s="2135"/>
      <c r="J51" s="2311" t="s">
        <v>1343</v>
      </c>
      <c r="K51" s="3388" t="s">
        <v>1344</v>
      </c>
      <c r="L51" s="3388"/>
      <c r="M51" s="2311" t="s">
        <v>1345</v>
      </c>
      <c r="N51" s="2311" t="s">
        <v>1346</v>
      </c>
      <c r="O51" s="2311" t="s">
        <v>1347</v>
      </c>
    </row>
    <row r="52" spans="1:35" ht="24" customHeight="1">
      <c r="A52" s="2153" t="s">
        <v>1348</v>
      </c>
      <c r="B52" s="3366" t="s">
        <v>1349</v>
      </c>
      <c r="C52" s="3366"/>
      <c r="D52" s="1024">
        <f ca="1">ROUND(D45*'数据-取费表'!B41/(1+'数据-取费表'!C42),0)</f>
        <v>170</v>
      </c>
      <c r="E52" s="1256" t="s">
        <v>1350</v>
      </c>
      <c r="F52" s="2340">
        <f>'数据-取费表'!B41</f>
        <v>5.6000000000000001E-2</v>
      </c>
      <c r="G52" s="2341"/>
      <c r="H52" s="2331"/>
      <c r="I52" s="1669"/>
      <c r="J52" s="2310">
        <v>1</v>
      </c>
      <c r="K52" s="3375" t="s">
        <v>1351</v>
      </c>
      <c r="L52" s="3375"/>
      <c r="M52" s="2312" t="b">
        <f>D48</f>
        <v>0</v>
      </c>
      <c r="N52" s="2310" t="str">
        <f>E48</f>
        <v>销售额×税（费）率</v>
      </c>
      <c r="O52" s="2313">
        <f>F48</f>
        <v>5.6000000000000001E-2</v>
      </c>
    </row>
    <row r="53" spans="1:35" ht="12" customHeight="1">
      <c r="A53" s="2153" t="s">
        <v>1352</v>
      </c>
      <c r="B53" s="3365" t="s">
        <v>2276</v>
      </c>
      <c r="C53" s="3379"/>
      <c r="D53" s="1024">
        <f ca="1">ROUND(D45*'数据-取费表'!B41/(1+'数据-取费表'!C42),0)</f>
        <v>170</v>
      </c>
      <c r="E53" s="1256" t="s">
        <v>1350</v>
      </c>
      <c r="F53" s="2340">
        <f>'数据-取费表'!B41</f>
        <v>5.6000000000000001E-2</v>
      </c>
      <c r="G53" s="2341"/>
      <c r="H53" s="2331"/>
      <c r="I53" s="1669"/>
      <c r="J53" s="2310">
        <v>2</v>
      </c>
      <c r="K53" s="3375" t="s">
        <v>1353</v>
      </c>
      <c r="L53" s="3375"/>
      <c r="M53" s="2312">
        <f t="shared" ref="M53:O54" ca="1" si="0">D55</f>
        <v>2</v>
      </c>
      <c r="N53" s="2310" t="str">
        <f t="shared" si="0"/>
        <v>销售额×税（费）率</v>
      </c>
      <c r="O53" s="2313" t="str">
        <f t="shared" si="0"/>
        <v>免征</v>
      </c>
    </row>
    <row r="54" spans="1:35" ht="12" customHeight="1">
      <c r="A54" s="2153" t="s">
        <v>1354</v>
      </c>
      <c r="B54" s="3365" t="s">
        <v>2277</v>
      </c>
      <c r="C54" s="3379"/>
      <c r="D54" s="1024">
        <f ca="1">C68</f>
        <v>170</v>
      </c>
      <c r="E54" s="319" t="s">
        <v>1355</v>
      </c>
      <c r="F54" s="2340">
        <f>'数据-取费表'!B41</f>
        <v>5.6000000000000001E-2</v>
      </c>
      <c r="G54" s="2341"/>
      <c r="H54" s="2342"/>
      <c r="I54" s="1669"/>
      <c r="J54" s="2310">
        <v>3</v>
      </c>
      <c r="K54" s="3375" t="s">
        <v>1356</v>
      </c>
      <c r="L54" s="3375"/>
      <c r="M54" s="2312">
        <f t="shared" ca="1" si="0"/>
        <v>1809</v>
      </c>
      <c r="N54" s="2310" t="str">
        <f t="shared" si="0"/>
        <v>增值额×税（费）率</v>
      </c>
      <c r="O54" s="2314" t="str">
        <f t="shared" si="0"/>
        <v>免征</v>
      </c>
    </row>
    <row r="55" spans="1:35" ht="24" customHeight="1">
      <c r="A55" s="3384" t="s">
        <v>1357</v>
      </c>
      <c r="B55" s="3385"/>
      <c r="C55" s="3385"/>
      <c r="D55" s="12">
        <f ca="1">IF(H55="个人住宅",0,ROUND(D45*I55,0))</f>
        <v>2</v>
      </c>
      <c r="E55" s="1256" t="s">
        <v>1358</v>
      </c>
      <c r="F55" s="2340" t="str">
        <f>IF(H55="正常",I55,"免征")</f>
        <v>免征</v>
      </c>
      <c r="G55" s="2341"/>
      <c r="H55" s="2337"/>
      <c r="I55" s="157">
        <f>'数据-取费表'!B49</f>
        <v>5.0000000000000001E-4</v>
      </c>
      <c r="J55" s="2310">
        <f>IF(H59="非个人房产","",4)</f>
        <v>4</v>
      </c>
      <c r="K55" s="3375" t="str">
        <f>IF(H59="非个人房产","——","个人所得税")</f>
        <v>个人所得税</v>
      </c>
      <c r="L55" s="3375"/>
      <c r="M55" s="2315">
        <f ca="1">D59</f>
        <v>30</v>
      </c>
      <c r="N55" s="1883" t="str">
        <f>E59</f>
        <v>差额计税</v>
      </c>
      <c r="O55" s="2316">
        <f>F59</f>
        <v>0.01</v>
      </c>
    </row>
    <row r="56" spans="1:35" ht="24.75">
      <c r="A56" s="3384" t="s">
        <v>1359</v>
      </c>
      <c r="B56" s="3385"/>
      <c r="C56" s="3385"/>
      <c r="D56" s="12">
        <f ca="1">IF(H56="个人住宅",D57,D58)</f>
        <v>1809</v>
      </c>
      <c r="E56" s="1256" t="s">
        <v>1360</v>
      </c>
      <c r="F56" s="2340" t="str">
        <f>IF(H56="正常",F58,"免征")</f>
        <v>免征</v>
      </c>
      <c r="G56" s="2343" t="s">
        <v>1361</v>
      </c>
      <c r="H56" s="2344"/>
      <c r="I56" s="1670"/>
      <c r="J56" s="2310" t="str">
        <f>IF(项目基本情况!K6="上海银行",IF(J55="",4,J55+1),"")</f>
        <v/>
      </c>
      <c r="K56" s="3377" t="str">
        <f>IF(项目基本情况!K6="上海银行","其他处置费用","")</f>
        <v/>
      </c>
      <c r="L56" s="3386"/>
      <c r="M56" s="2312" t="str">
        <f>IF(项目基本情况!K6="上海银行",M69,"")</f>
        <v/>
      </c>
      <c r="N56" s="3377" t="str">
        <f>IF(项目基本情况!K6="上海银行","包含处置中涉及的律师、诉讼、拍卖、评估等费用","")</f>
        <v/>
      </c>
      <c r="O56" s="3378"/>
    </row>
    <row r="57" spans="1:35" ht="12.75">
      <c r="A57" s="2153" t="s">
        <v>1337</v>
      </c>
      <c r="B57" s="3365" t="s">
        <v>1362</v>
      </c>
      <c r="C57" s="3379"/>
      <c r="D57" s="1478">
        <v>0</v>
      </c>
      <c r="E57" s="316" t="s">
        <v>1339</v>
      </c>
      <c r="F57" s="294"/>
      <c r="G57" s="2341"/>
      <c r="H57" s="2345"/>
      <c r="I57" s="1670"/>
      <c r="J57" s="3375">
        <f>IF(AND(J55="",J56=""),4,IF(项目基本情况!K6="上海银行",'结果表-住宅'!J56+1,'结果表-住宅'!J55+1))</f>
        <v>5</v>
      </c>
      <c r="K57" s="3375" t="s">
        <v>1363</v>
      </c>
      <c r="L57" s="2317" t="s">
        <v>1364</v>
      </c>
      <c r="M57" s="2318"/>
      <c r="N57" s="2319">
        <f ca="1">SUMIF(M52:M56,"&lt;9e307")</f>
        <v>1841</v>
      </c>
      <c r="O57" s="2320"/>
      <c r="P57" s="2465">
        <f ca="1">N57/M49</f>
        <v>0.57603254067584475</v>
      </c>
    </row>
    <row r="58" spans="1:35" ht="24.75">
      <c r="A58" s="2153" t="s">
        <v>1348</v>
      </c>
      <c r="B58" s="3365" t="s">
        <v>1365</v>
      </c>
      <c r="C58" s="3366"/>
      <c r="D58" s="12">
        <f ca="1">IF(H58="转让取得",C81,C97)</f>
        <v>1809</v>
      </c>
      <c r="E58" s="1256" t="s">
        <v>1360</v>
      </c>
      <c r="F58" s="294" t="s">
        <v>28</v>
      </c>
      <c r="G58" s="2341"/>
      <c r="H58" s="2344"/>
      <c r="I58" s="1670"/>
      <c r="J58" s="3375"/>
      <c r="K58" s="3375"/>
      <c r="L58" s="2317" t="s">
        <v>1366</v>
      </c>
      <c r="M58" s="2321"/>
      <c r="N58" s="2322" t="str">
        <f ca="1">NUMBERSTRING(INT(N57*10000),2)&amp;"元整"</f>
        <v>壹仟捌佰肆拾壹万元整</v>
      </c>
      <c r="O58" s="2323"/>
    </row>
    <row r="59" spans="1:35" ht="24.75" thickBot="1">
      <c r="A59" s="3380" t="s">
        <v>1367</v>
      </c>
      <c r="B59" s="3381"/>
      <c r="C59" s="3381"/>
      <c r="D59" s="2346">
        <f ca="1">IF(H59="非个人房产","——",IF(H59="个人住宅（满五唯一有凭证）",0,IF(H59="个人其他（无凭证）",ROUND(D45/(1+'数据-取费表'!C42)*F59,0),ROUND(C67*F59,0))))</f>
        <v>30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1361</v>
      </c>
      <c r="H59" s="2138"/>
      <c r="I59" s="2137" t="s">
        <v>2131</v>
      </c>
      <c r="J59" s="3382">
        <f>J57+1</f>
        <v>6</v>
      </c>
      <c r="K59" s="3375" t="s">
        <v>1368</v>
      </c>
      <c r="L59" s="2310" t="s">
        <v>1364</v>
      </c>
      <c r="M59" s="2324"/>
      <c r="N59" s="2325">
        <f ca="1">M49-N57</f>
        <v>1355</v>
      </c>
      <c r="O59" s="2326"/>
    </row>
    <row r="60" spans="1:35" ht="12" customHeight="1">
      <c r="A60" s="1671"/>
      <c r="B60" s="646"/>
      <c r="C60" s="646"/>
      <c r="D60" s="646"/>
      <c r="E60" s="1466"/>
      <c r="F60" s="1670"/>
      <c r="G60" s="1670"/>
      <c r="H60" s="151"/>
      <c r="I60" s="121"/>
      <c r="J60" s="3383"/>
      <c r="K60" s="3375"/>
      <c r="L60" s="2317" t="s">
        <v>1366</v>
      </c>
      <c r="M60" s="2321"/>
      <c r="N60" s="2322" t="str">
        <f ca="1">NUMBERSTRING(INT(N59*10000),2)&amp;"元整"</f>
        <v>壹仟叁佰伍拾伍万元整</v>
      </c>
      <c r="O60" s="2323"/>
    </row>
    <row r="61" spans="1:35" ht="13.5" thickBot="1">
      <c r="A61" s="3374" t="s">
        <v>1369</v>
      </c>
      <c r="B61" s="3374"/>
      <c r="C61" s="3374"/>
      <c r="D61" s="3374"/>
      <c r="E61" s="3374"/>
      <c r="F61" s="1670"/>
      <c r="G61" s="1670"/>
      <c r="H61" s="151"/>
      <c r="I61" s="121"/>
      <c r="J61" s="2310">
        <f>J59+1</f>
        <v>7</v>
      </c>
      <c r="K61" s="3375" t="s">
        <v>1370</v>
      </c>
      <c r="L61" s="3375"/>
      <c r="M61" s="2327"/>
      <c r="N61" s="2328">
        <f ca="1">ROUND(N59*10000/'数据-汇总表'!E3,0)</f>
        <v>42963</v>
      </c>
      <c r="O61" s="2329"/>
    </row>
    <row r="62" spans="1:35" ht="12.75">
      <c r="A62" s="3370" t="s">
        <v>1371</v>
      </c>
      <c r="B62" s="3371"/>
      <c r="C62" s="1865"/>
      <c r="D62" s="1865" t="s">
        <v>1372</v>
      </c>
      <c r="E62" s="158" t="s">
        <v>1373</v>
      </c>
      <c r="F62" s="1670"/>
      <c r="G62" s="1670"/>
      <c r="H62" s="151"/>
      <c r="I62" s="121"/>
    </row>
    <row r="63" spans="1:35" ht="12.75">
      <c r="A63" s="165" t="s">
        <v>330</v>
      </c>
      <c r="B63" s="159" t="s">
        <v>1374</v>
      </c>
      <c r="C63" s="2350">
        <f ca="1">ROUND((C64+C65)/(1+'数据-取费表'!C42),0)</f>
        <v>3044</v>
      </c>
      <c r="D63" s="159"/>
      <c r="E63" s="160"/>
      <c r="F63" s="1670"/>
      <c r="G63" s="1670"/>
      <c r="H63" s="151"/>
      <c r="I63" s="121"/>
      <c r="J63" s="3376" t="s">
        <v>1375</v>
      </c>
      <c r="K63" s="1245" t="s">
        <v>1376</v>
      </c>
      <c r="L63" s="1245">
        <f ca="1">IF(M49&gt;10000,M49*0.5%,IF(AND(M49&gt;1000,M49&lt;=10000),M49*1%,IF(AND(M49&gt;100,M49&lt;=1000),M49*3%,IF(AND(M49&gt;10,M49&lt;=100),M49*5%,M49*8%))))</f>
        <v>31.96</v>
      </c>
      <c r="M63" s="294">
        <f ca="1">ROUND(L63,1)</f>
        <v>32</v>
      </c>
      <c r="N63" s="2330"/>
      <c r="Z63" s="1623"/>
      <c r="AI63" s="1561"/>
    </row>
    <row r="64" spans="1:35" ht="14.25" customHeight="1">
      <c r="A64" s="161" t="s">
        <v>325</v>
      </c>
      <c r="B64" s="162" t="s">
        <v>1377</v>
      </c>
      <c r="C64" s="2351">
        <f ca="1">D45</f>
        <v>3196</v>
      </c>
      <c r="D64" s="162" t="s">
        <v>26</v>
      </c>
      <c r="E64" s="164"/>
      <c r="F64" s="1670"/>
      <c r="G64" s="1670"/>
      <c r="H64" s="151"/>
      <c r="I64" s="121"/>
      <c r="J64" s="3376"/>
      <c r="K64" s="1245" t="s">
        <v>1378</v>
      </c>
      <c r="L64" s="1245">
        <f ca="1">IF(M49&gt;2000,M49*0.5%,IF(AND(M49&gt;1000,M49&lt;=2000),M49*0.6%,IF(AND(M49&gt;500,M49&lt;=1000),M49*0.7%,IF(AND(M49&gt;200,M49&lt;=500),M49*0.8%,IF(AND(M49&gt;100,M49&lt;=200),M49*0.9%,IF(AND(M49&gt;50,M49&lt;=100),M49*1%,IF(AND(M49&gt;20,M49&lt;=50),M49*1.5%,IF(AND(M49&gt;10,M49&lt;=20),M49*2%,IF(AND(M49&gt;1,M49&lt;=10),M49*2.5%)))))))))</f>
        <v>15.98</v>
      </c>
      <c r="M64" s="294">
        <f t="shared" ref="M64:M65" ca="1" si="1">ROUND(L64,1)</f>
        <v>16</v>
      </c>
      <c r="N64" s="2331" t="s">
        <v>1379</v>
      </c>
      <c r="Z64" s="1623"/>
      <c r="AI64" s="1561"/>
    </row>
    <row r="65" spans="1:35" ht="14.25" customHeight="1">
      <c r="A65" s="161" t="s">
        <v>326</v>
      </c>
      <c r="B65" s="162" t="s">
        <v>1380</v>
      </c>
      <c r="C65" s="2352"/>
      <c r="D65" s="162"/>
      <c r="E65" s="164"/>
      <c r="F65" s="1670"/>
      <c r="G65" s="1670"/>
      <c r="H65" s="151"/>
      <c r="I65" s="121"/>
      <c r="J65" s="3376"/>
      <c r="K65" s="1245" t="s">
        <v>1381</v>
      </c>
      <c r="L65" s="1245">
        <f ca="1">IF(M49&gt;1000,M49*0.1%,IF(AND(M49&gt;500,M49&lt;=1000),M49*0.5%,IF(AND(M49&gt;50,M49&lt;=500),M49*1%,IF(AND(M49&gt;1,M49&lt;=50),M49*1.5%))))</f>
        <v>3.1960000000000002</v>
      </c>
      <c r="M65" s="294">
        <f t="shared" ca="1" si="1"/>
        <v>3.2</v>
      </c>
      <c r="N65" s="2331" t="s">
        <v>1379</v>
      </c>
      <c r="Z65" s="1623"/>
      <c r="AI65" s="1561"/>
    </row>
    <row r="66" spans="1:35" ht="14.25" customHeight="1">
      <c r="A66" s="165" t="s">
        <v>327</v>
      </c>
      <c r="B66" s="166" t="s">
        <v>1382</v>
      </c>
      <c r="C66" s="2353"/>
      <c r="D66" s="166" t="s">
        <v>26</v>
      </c>
      <c r="E66" s="1251" t="s">
        <v>667</v>
      </c>
      <c r="F66" s="1670"/>
      <c r="G66" s="1670"/>
      <c r="H66" s="151"/>
      <c r="I66" s="121"/>
      <c r="J66" s="3376"/>
      <c r="K66" s="1245" t="s">
        <v>1383</v>
      </c>
      <c r="L66" s="1245">
        <f ca="1">M49*0.5%</f>
        <v>15.98</v>
      </c>
      <c r="M66" s="294">
        <f ca="1">IF(L66&gt;0.5,0.5,ROUND(L66,0))</f>
        <v>0.5</v>
      </c>
      <c r="N66" s="2331" t="s">
        <v>1384</v>
      </c>
      <c r="Z66" s="1623"/>
      <c r="AI66" s="1561"/>
    </row>
    <row r="67" spans="1:35" ht="14.25" customHeight="1">
      <c r="A67" s="165" t="s">
        <v>328</v>
      </c>
      <c r="B67" s="166" t="s">
        <v>1385</v>
      </c>
      <c r="C67" s="2354">
        <f ca="1">C63-C66</f>
        <v>3044</v>
      </c>
      <c r="D67" s="162" t="s">
        <v>26</v>
      </c>
      <c r="E67" s="164"/>
      <c r="F67" s="1670"/>
      <c r="G67" s="1670"/>
      <c r="H67" s="151"/>
      <c r="I67" s="121"/>
      <c r="J67" s="3376"/>
      <c r="K67" s="1245" t="s">
        <v>1386</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1387</v>
      </c>
      <c r="C68" s="2355">
        <f ca="1">IF(C67&lt;=0,0,ROUND(C67*D68,0))</f>
        <v>170</v>
      </c>
      <c r="D68" s="2356">
        <f>'数据-取费表'!B41</f>
        <v>5.6000000000000001E-2</v>
      </c>
      <c r="E68" s="170"/>
      <c r="F68" s="1670"/>
      <c r="G68" s="1670"/>
      <c r="H68" s="151"/>
      <c r="I68" s="121"/>
      <c r="J68" s="3376"/>
      <c r="K68" s="1245" t="s">
        <v>1388</v>
      </c>
      <c r="L68" s="1245">
        <f ca="1">IF(M49&gt;10000,M49*0.5%,IF(AND(M49&gt;5000,M49&lt;=10000),M49*1%,IF(AND(M49&gt;1000,M49&lt;=5000),M49*2%,IF(AND(M49&gt;200,M49&lt;=1000),M49*3%,M49*5%))))</f>
        <v>63.92</v>
      </c>
      <c r="M68" s="294">
        <f ca="1">ROUND(L68,1)</f>
        <v>63.9</v>
      </c>
      <c r="N68" s="2330"/>
      <c r="Z68" s="1623"/>
      <c r="AI68" s="1561"/>
    </row>
    <row r="69" spans="1:35" ht="16.5" customHeight="1">
      <c r="A69" s="1672"/>
      <c r="B69" s="1673"/>
      <c r="C69" s="1674"/>
      <c r="D69" s="1675"/>
      <c r="E69" s="1676"/>
      <c r="F69" s="1466"/>
      <c r="G69" s="1466"/>
      <c r="H69" s="1467"/>
      <c r="I69" s="646"/>
      <c r="J69" s="3376"/>
      <c r="K69" s="1245" t="s">
        <v>1389</v>
      </c>
      <c r="L69" s="1245"/>
      <c r="M69" s="294">
        <f ca="1">ROUND(SUM(M63:M68),0)</f>
        <v>118</v>
      </c>
      <c r="N69" s="2332">
        <f ca="1">M69/M49</f>
        <v>3.6921151439299124E-2</v>
      </c>
      <c r="Z69" s="1623"/>
      <c r="AI69" s="1561"/>
    </row>
    <row r="70" spans="1:35" s="642" customFormat="1" ht="15" thickBot="1">
      <c r="A70" s="3368" t="s">
        <v>1390</v>
      </c>
      <c r="B70" s="3369"/>
      <c r="C70" s="3369"/>
      <c r="D70" s="3369"/>
      <c r="E70" s="3369"/>
      <c r="F70" s="3369"/>
      <c r="G70" s="3369"/>
      <c r="H70" s="336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0" t="s">
        <v>1371</v>
      </c>
      <c r="B71" s="3371"/>
      <c r="C71" s="1865"/>
      <c r="D71" s="1865" t="s">
        <v>1372</v>
      </c>
      <c r="E71" s="171" t="s">
        <v>1373</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1391</v>
      </c>
      <c r="C72" s="2354">
        <f ca="1">ROUND(D45/(1+'数据-取费表'!C42),0)</f>
        <v>3044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1392</v>
      </c>
      <c r="C73" s="2354">
        <f ca="1">C74+C78</f>
        <v>18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1393</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1394</v>
      </c>
      <c r="C75" s="2357"/>
      <c r="D75" s="162" t="s">
        <v>26</v>
      </c>
      <c r="E75" s="176" t="s">
        <v>1395</v>
      </c>
      <c r="F75" s="2358"/>
      <c r="G75" s="176" t="s">
        <v>1396</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1397</v>
      </c>
      <c r="C76" s="162">
        <f>IF(F75="购房发票",ROUND(C75*H75*D76,0),0)</f>
        <v>0</v>
      </c>
      <c r="D76" s="2360">
        <v>0.05</v>
      </c>
      <c r="E76" s="3365" t="s">
        <v>1398</v>
      </c>
      <c r="F76" s="3366"/>
      <c r="G76" s="3366"/>
      <c r="H76" s="336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1399</v>
      </c>
      <c r="C77" s="162">
        <f>ROUND(IF(G77="个人住宅",0,IF(G77="2016年5月1日前购买",C75*D77,C75*D77/(1+'数据-取费表'!C42))),0)</f>
        <v>0</v>
      </c>
      <c r="D77" s="2361">
        <f>'数据-取费表'!B48+'数据-取费表'!B49</f>
        <v>3.0499999999999999E-2</v>
      </c>
      <c r="E77" s="12" t="s">
        <v>1400</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1401</v>
      </c>
      <c r="C78" s="2362">
        <f ca="1">ROUND(D45*D78/(1+'数据-取费表'!C42),0)</f>
        <v>18</v>
      </c>
      <c r="D78" s="2363">
        <f>'数据-取费表'!B43</f>
        <v>6.000000000000001E-3</v>
      </c>
      <c r="E78" s="3353" t="s">
        <v>1402</v>
      </c>
      <c r="F78" s="3354"/>
      <c r="G78" s="3354"/>
      <c r="H78" s="335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1403</v>
      </c>
      <c r="C79" s="2354">
        <f ca="1">C72-C73</f>
        <v>3026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1404</v>
      </c>
      <c r="C80" s="2364">
        <f ca="1">IF(C79&lt;=0,0,C79/C73)</f>
        <v>168.11111111111111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1405</v>
      </c>
      <c r="C81" s="2365">
        <f ca="1">ROUND(IF(C79&lt;=0,0,IF(C80&gt;=200%,C79*60%-C73*35%,IF(C80&gt;=100%,C79*50%-C73*15%,IF(C80&gt;=50%,C79*40%-C73*5%,IF(C80&lt;50%,C79*30%,0))))),0)</f>
        <v>1809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8" t="s">
        <v>1406</v>
      </c>
      <c r="B83" s="3369"/>
      <c r="C83" s="3369"/>
      <c r="D83" s="3369"/>
      <c r="E83" s="3369"/>
      <c r="F83" s="3369"/>
      <c r="G83" s="3369"/>
      <c r="H83" s="336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0" t="s">
        <v>1371</v>
      </c>
      <c r="B84" s="3371"/>
      <c r="C84" s="1865"/>
      <c r="D84" s="1865" t="s">
        <v>1372</v>
      </c>
      <c r="E84" s="171" t="s">
        <v>1373</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1391</v>
      </c>
      <c r="C85" s="2354">
        <f ca="1">ROUND(D45/(1+'数据-取费表'!C42),0)</f>
        <v>3044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1392</v>
      </c>
      <c r="C86" s="2354">
        <f ca="1">IF(H88="仅含出让金",C87+C90+C91+C92+C93+C94,C87+C91+C92+C93+C94)</f>
        <v>18</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1407</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1408</v>
      </c>
      <c r="C88" s="2368"/>
      <c r="D88" s="2363"/>
      <c r="E88" s="185" t="s">
        <v>1409</v>
      </c>
      <c r="F88" s="2148"/>
      <c r="G88" s="186" t="s">
        <v>1410</v>
      </c>
      <c r="H88" s="1684"/>
      <c r="I88" s="1681"/>
      <c r="J88" s="2308" t="s">
        <v>2273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1399</v>
      </c>
      <c r="C89" s="2362">
        <f>ROUND(C88*D89,0)</f>
        <v>0</v>
      </c>
      <c r="D89" s="2363">
        <f>'数据-取费表'!B48+'数据-取费表'!B49</f>
        <v>3.0499999999999999E-2</v>
      </c>
      <c r="E89" s="185" t="s">
        <v>1411</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1412</v>
      </c>
      <c r="C90" s="2368"/>
      <c r="D90" s="2363"/>
      <c r="E90" s="185" t="str">
        <f>IF(H88="-","土地取得成本中已包含该笔费用"," ")</f>
        <v xml:space="preserve"> </v>
      </c>
      <c r="F90" s="2148"/>
      <c r="G90" s="3372" t="s">
        <v>2123</v>
      </c>
      <c r="H90" s="3373"/>
      <c r="I90" s="1681"/>
      <c r="J90" s="2308" t="s">
        <v>2274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1413</v>
      </c>
      <c r="B91" s="162" t="s">
        <v>1414</v>
      </c>
      <c r="C91" s="2362">
        <f>IF(H91="——",成本法!C33,I91)</f>
        <v>0</v>
      </c>
      <c r="D91" s="2363"/>
      <c r="E91" s="3353" t="s">
        <v>1415</v>
      </c>
      <c r="F91" s="3354"/>
      <c r="G91" s="335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1416</v>
      </c>
      <c r="B92" s="162" t="s">
        <v>1417</v>
      </c>
      <c r="C92" s="2362">
        <f>ROUND((C87+C90+C91)*D92,0)</f>
        <v>0</v>
      </c>
      <c r="D92" s="2369"/>
      <c r="E92" s="3353" t="s">
        <v>1418</v>
      </c>
      <c r="F92" s="3354"/>
      <c r="G92" s="3354"/>
      <c r="H92" s="3355"/>
      <c r="I92" s="1681"/>
      <c r="J92" s="2309" t="s">
        <v>2275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1419</v>
      </c>
      <c r="B93" s="162" t="s">
        <v>1401</v>
      </c>
      <c r="C93" s="2362">
        <f ca="1">ROUND(D45*D93/(1+'数据-取费表'!C42),0)</f>
        <v>18</v>
      </c>
      <c r="D93" s="2363">
        <f>'数据-取费表'!B43</f>
        <v>6.000000000000001E-3</v>
      </c>
      <c r="E93" s="3353" t="s">
        <v>1402</v>
      </c>
      <c r="F93" s="3354"/>
      <c r="G93" s="3354"/>
      <c r="H93" s="335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1420</v>
      </c>
      <c r="B94" s="162" t="s">
        <v>1421</v>
      </c>
      <c r="C94" s="2368">
        <f>ROUND((C87+C90+C91)*D94,0)</f>
        <v>0</v>
      </c>
      <c r="D94" s="2363">
        <v>0.2</v>
      </c>
      <c r="E94" s="3356" t="s">
        <v>1422</v>
      </c>
      <c r="F94" s="3357"/>
      <c r="G94" s="3357"/>
      <c r="H94" s="33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1403</v>
      </c>
      <c r="C95" s="2354">
        <f ca="1">ROUND(C85-C86,0)</f>
        <v>3026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1404</v>
      </c>
      <c r="C96" s="2364">
        <f ca="1">IF(C95&lt;=0,0,C95/C86)</f>
        <v>168.11111111111111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1405</v>
      </c>
      <c r="C97" s="2365">
        <f ca="1">ROUND(IF(C95&lt;=0,0,IF(C96&gt;=200%,C95*60%-C86*35%,IF(C96&gt;=100%,C95*50%-C86*15%,IF(C96&gt;=50%,C95*40%-C86*5%,IF(C96&lt;50%,C95*30%,0))))),0)</f>
        <v>1809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1423</v>
      </c>
      <c r="B99" s="646"/>
      <c r="C99" s="646"/>
      <c r="D99" s="646"/>
      <c r="E99" s="1466"/>
      <c r="F99" s="1466"/>
      <c r="G99" s="1466"/>
      <c r="H99" s="1467"/>
      <c r="I99" s="121"/>
    </row>
    <row r="100" spans="1:35" ht="18.75" customHeight="1">
      <c r="A100" s="3279" t="s">
        <v>1424</v>
      </c>
      <c r="B100" s="3280"/>
      <c r="C100" s="3280"/>
      <c r="D100" s="3359"/>
      <c r="E100" s="3280" t="s">
        <v>1425</v>
      </c>
      <c r="F100" s="3280"/>
      <c r="G100" s="3280"/>
      <c r="H100" s="3359"/>
      <c r="I100" s="121"/>
    </row>
    <row r="101" spans="1:35" ht="18.75" customHeight="1">
      <c r="A101" s="3360" t="s">
        <v>1426</v>
      </c>
      <c r="B101" s="3361"/>
      <c r="C101" s="2371" t="str">
        <f>C4</f>
        <v>比较法-住宅</v>
      </c>
      <c r="D101" s="2372" t="str">
        <f>D4</f>
        <v>成本法-住宅</v>
      </c>
      <c r="E101" s="3362" t="s">
        <v>1427</v>
      </c>
      <c r="F101" s="3345"/>
      <c r="G101" s="1687" t="s">
        <v>1428</v>
      </c>
      <c r="H101" s="2381">
        <f ca="1">H118</f>
        <v>3196</v>
      </c>
      <c r="I101" s="121"/>
    </row>
    <row r="102" spans="1:35" ht="18.75" customHeight="1">
      <c r="A102" s="3342" t="s">
        <v>1429</v>
      </c>
      <c r="B102" s="2370" t="s">
        <v>1428</v>
      </c>
      <c r="C102" s="2371">
        <f ca="1">IF(D32="楼面单价",ROUND(C19,0),C19)</f>
        <v>3201</v>
      </c>
      <c r="D102" s="2372">
        <f ca="1">IF(D32="楼面单价",ROUND(D19,0),D19)</f>
        <v>3191.0246999999999</v>
      </c>
      <c r="E102" s="3362"/>
      <c r="F102" s="3345"/>
      <c r="G102" s="1687" t="s">
        <v>1430</v>
      </c>
      <c r="H102" s="2341">
        <f ca="1">I118</f>
        <v>117074</v>
      </c>
      <c r="I102" s="121"/>
    </row>
    <row r="103" spans="1:35" ht="42.75" customHeight="1">
      <c r="A103" s="3342"/>
      <c r="B103" s="2370" t="s">
        <v>1430</v>
      </c>
      <c r="C103" s="2373">
        <f ca="1">C20</f>
        <v>117258</v>
      </c>
      <c r="D103" s="2374">
        <f ca="1">D20</f>
        <v>116892</v>
      </c>
      <c r="E103" s="3363" t="s">
        <v>1431</v>
      </c>
      <c r="F103" s="3364"/>
      <c r="G103" s="1688" t="s">
        <v>1432</v>
      </c>
      <c r="H103" s="2381">
        <f>IF(D36="正常操作",H104+H105+H106,H105+H106)</f>
        <v>0</v>
      </c>
      <c r="I103" s="121"/>
    </row>
    <row r="104" spans="1:35" ht="18.75" customHeight="1">
      <c r="A104" s="3342" t="s">
        <v>1433</v>
      </c>
      <c r="B104" s="2375" t="s">
        <v>1428</v>
      </c>
      <c r="C104" s="2376">
        <f ca="1">H118</f>
        <v>3196</v>
      </c>
      <c r="D104" s="2377"/>
      <c r="E104" s="1555" t="s">
        <v>1434</v>
      </c>
      <c r="F104" s="1548"/>
      <c r="G104" s="1688" t="s">
        <v>1432</v>
      </c>
      <c r="H104" s="2382">
        <f>IF(D36="同一抵押权人同一抵押物续贷",C36&amp;"（续贷，未扣减，详见特别提示）",C36)</f>
        <v>0</v>
      </c>
      <c r="I104" s="121"/>
    </row>
    <row r="105" spans="1:35" ht="18.75" customHeight="1" thickBot="1">
      <c r="A105" s="3343"/>
      <c r="B105" s="2378" t="s">
        <v>1430</v>
      </c>
      <c r="C105" s="2379">
        <f ca="1">I118</f>
        <v>117074</v>
      </c>
      <c r="D105" s="2380"/>
      <c r="E105" s="1555" t="s">
        <v>1435</v>
      </c>
      <c r="F105" s="1548"/>
      <c r="G105" s="1688" t="s">
        <v>1432</v>
      </c>
      <c r="H105" s="2383">
        <f>C37</f>
        <v>0</v>
      </c>
      <c r="I105" s="121"/>
    </row>
    <row r="106" spans="1:35" ht="18.75" customHeight="1">
      <c r="A106" s="646" t="s">
        <v>1436</v>
      </c>
      <c r="B106" s="646"/>
      <c r="C106" s="646"/>
      <c r="D106" s="646"/>
      <c r="E106" s="1689" t="s">
        <v>1437</v>
      </c>
      <c r="F106" s="1548"/>
      <c r="G106" s="1688" t="s">
        <v>1432</v>
      </c>
      <c r="H106" s="2383">
        <f>C38</f>
        <v>0</v>
      </c>
      <c r="I106" s="121"/>
    </row>
    <row r="107" spans="1:35" ht="18.75" customHeight="1">
      <c r="A107" s="121"/>
      <c r="B107" s="121"/>
      <c r="C107" s="121"/>
      <c r="D107" s="121"/>
      <c r="E107" s="3344" t="str">
        <f>IF(项目基本情况!E8="已注销","——","3.房地产抵押价值")</f>
        <v>3.房地产抵押价值</v>
      </c>
      <c r="F107" s="3345"/>
      <c r="G107" s="1687" t="s">
        <v>1428</v>
      </c>
      <c r="H107" s="2381">
        <f ca="1">IF(E107="——","——",H101-H103)</f>
        <v>3196</v>
      </c>
      <c r="I107" s="121"/>
    </row>
    <row r="108" spans="1:35" ht="18.75" customHeight="1">
      <c r="A108" s="121"/>
      <c r="B108" s="121"/>
      <c r="C108" s="121"/>
      <c r="D108" s="121"/>
      <c r="E108" s="3344"/>
      <c r="F108" s="3345"/>
      <c r="G108" s="1687" t="s">
        <v>1430</v>
      </c>
      <c r="H108" s="2341">
        <f ca="1">IF(H107=H101,H102,ROUND(H107*10000/'数据-汇总表'!E3,0))</f>
        <v>117074</v>
      </c>
      <c r="I108" s="121"/>
    </row>
    <row r="109" spans="1:35" ht="18.75" customHeight="1">
      <c r="A109" s="121"/>
      <c r="B109" s="121"/>
      <c r="C109" s="121"/>
      <c r="D109" s="121"/>
      <c r="E109" s="3344" t="str">
        <f>IF(项目基本情况!E8="已注销及未注销","4.抵押担保权已注销时的房地产抵押价值",IF(项目基本情况!E8="已注销","3.抵押担保权已注销时的房地产抵押价值","——"))</f>
        <v>——</v>
      </c>
      <c r="F109" s="3345"/>
      <c r="G109" s="1687" t="s">
        <v>1428</v>
      </c>
      <c r="H109" s="2384" t="str">
        <f>IF(E109="——","——",H101-H105-H106)</f>
        <v>——</v>
      </c>
      <c r="I109" s="121"/>
    </row>
    <row r="110" spans="1:35" ht="18.75" customHeight="1">
      <c r="A110" s="121"/>
      <c r="B110" s="121"/>
      <c r="C110" s="121"/>
      <c r="D110" s="121"/>
      <c r="E110" s="3344"/>
      <c r="F110" s="3345"/>
      <c r="G110" s="1687" t="s">
        <v>1430</v>
      </c>
      <c r="H110" s="2341" t="str">
        <f>IF(H109="——","——",ROUND(H109*10000/'数据-汇总表'!E3,0))</f>
        <v>——</v>
      </c>
      <c r="I110" s="121"/>
    </row>
    <row r="111" spans="1:35" ht="18.75" customHeight="1">
      <c r="A111" s="121"/>
      <c r="B111" s="121"/>
      <c r="C111" s="121"/>
      <c r="D111" s="121"/>
      <c r="E111" s="3346" t="str">
        <f>IF(项目基本情况!E9="抵押净值",IF(OR(项目基本情况!E8="已注销",项目基本情况!E8="房地产抵押价值"),"4.抵押净值","5.抵押净值"),"——")</f>
        <v>——</v>
      </c>
      <c r="F111" s="3333"/>
      <c r="G111" s="1687" t="s">
        <v>1428</v>
      </c>
      <c r="H111" s="2381" t="str">
        <f>IF(E111="——","——",N59)</f>
        <v>——</v>
      </c>
      <c r="I111" s="121"/>
    </row>
    <row r="112" spans="1:35" ht="18.75" customHeight="1" thickBot="1">
      <c r="A112" s="121"/>
      <c r="B112" s="121"/>
      <c r="C112" s="121"/>
      <c r="D112" s="121"/>
      <c r="E112" s="3347"/>
      <c r="F112" s="3348"/>
      <c r="G112" s="1690" t="s">
        <v>1430</v>
      </c>
      <c r="H112" s="2385" t="str">
        <f>IF(E111="——","——",N61)</f>
        <v>——</v>
      </c>
      <c r="I112" s="121"/>
    </row>
    <row r="113" spans="1:27" ht="18.75" customHeight="1">
      <c r="A113" s="121"/>
      <c r="B113" s="121"/>
      <c r="C113" s="121"/>
      <c r="D113" s="121"/>
      <c r="E113" s="3349" t="s">
        <v>1436</v>
      </c>
      <c r="F113" s="3349"/>
      <c r="G113" s="3349"/>
      <c r="H113" s="3349"/>
      <c r="I113" s="121"/>
    </row>
    <row r="114" spans="1:27" ht="3.75" customHeight="1">
      <c r="A114" s="646"/>
      <c r="B114" s="646"/>
      <c r="C114" s="646"/>
      <c r="D114" s="646"/>
      <c r="E114" s="1671"/>
      <c r="F114" s="1671"/>
      <c r="G114" s="1671"/>
      <c r="H114" s="1671"/>
      <c r="I114" s="646"/>
    </row>
    <row r="115" spans="1:27" ht="18.75" customHeight="1">
      <c r="A115" s="3350" t="s">
        <v>1438</v>
      </c>
      <c r="B115" s="3351"/>
      <c r="C115" s="3351"/>
      <c r="D115" s="3351"/>
      <c r="E115" s="3351"/>
      <c r="F115" s="3351"/>
      <c r="G115" s="3351"/>
      <c r="H115" s="3351"/>
      <c r="I115" s="3352"/>
    </row>
    <row r="116" spans="1:27" ht="27" customHeight="1">
      <c r="A116" s="3328" t="s">
        <v>1439</v>
      </c>
      <c r="B116" s="3337" t="s">
        <v>1440</v>
      </c>
      <c r="C116" s="3337" t="s">
        <v>1441</v>
      </c>
      <c r="D116" s="3339" t="s">
        <v>1442</v>
      </c>
      <c r="E116" s="3340"/>
      <c r="F116" s="3341" t="s">
        <v>1443</v>
      </c>
      <c r="G116" s="3341"/>
      <c r="H116" s="3328" t="s">
        <v>1444</v>
      </c>
      <c r="I116" s="3328"/>
    </row>
    <row r="117" spans="1:27" ht="18.75" customHeight="1">
      <c r="A117" s="3328"/>
      <c r="B117" s="3338"/>
      <c r="C117" s="3338"/>
      <c r="D117" s="2150" t="s">
        <v>1445</v>
      </c>
      <c r="E117" s="2150" t="s">
        <v>1446</v>
      </c>
      <c r="F117" s="2150" t="s">
        <v>1445</v>
      </c>
      <c r="G117" s="2150" t="s">
        <v>1447</v>
      </c>
      <c r="H117" s="2150" t="s">
        <v>1445</v>
      </c>
      <c r="I117" s="2150" t="s">
        <v>1447</v>
      </c>
    </row>
    <row r="118" spans="1:27" ht="24.75" customHeight="1">
      <c r="A118" s="2386" t="str">
        <f>项目基本情况!S2</f>
        <v>北京市房地产</v>
      </c>
      <c r="B118" s="2150">
        <f>M18</f>
        <v>272.99</v>
      </c>
      <c r="C118" s="2150">
        <f>M19</f>
        <v>0</v>
      </c>
      <c r="D118" s="2150">
        <f ca="1">ROUND(IF(D32="总价",C34,E118*B118/10000),0)</f>
        <v>2928</v>
      </c>
      <c r="E118" s="2150">
        <f ca="1">ROUND(IF(C33="自定义",IF(D32="楼面单价",C34,D118*10000/B118),I118-G118),0)</f>
        <v>107257</v>
      </c>
      <c r="F118" s="2150">
        <f ca="1">ROUND(IF(D32="总价",C35,G118*B118/10000),0)</f>
        <v>268</v>
      </c>
      <c r="G118" s="2150">
        <f ca="1">ROUND(IF(D32="楼面单价",C35,F118*10000/B118),0)</f>
        <v>9817</v>
      </c>
      <c r="H118" s="2150">
        <f ca="1">ROUND(IF(D32="总价",C32,I118*B118/10000),0)</f>
        <v>3196</v>
      </c>
      <c r="I118" s="2150">
        <f ca="1">ROUND(IF(D32="楼面单价",C32,H118*10000/B118),0)</f>
        <v>117074</v>
      </c>
    </row>
    <row r="119" spans="1:27" ht="18.75" customHeight="1">
      <c r="A119" s="3328" t="s">
        <v>1448</v>
      </c>
      <c r="B119" s="3328"/>
      <c r="C119" s="3328"/>
      <c r="D119" s="3329" t="str">
        <f ca="1">NUMBERSTRING(INT(D118*10000),2)&amp;"元整"</f>
        <v>贰仟玖佰贰拾捌万元整</v>
      </c>
      <c r="E119" s="3331"/>
      <c r="F119" s="3329" t="str">
        <f ca="1">NUMBERSTRING(INT(F118*10000),2)&amp;"元整"</f>
        <v>贰佰陆拾捌万元整</v>
      </c>
      <c r="G119" s="3331"/>
      <c r="H119" s="3329" t="str">
        <f ca="1">NUMBERSTRING(INT(H118*10000),2)&amp;"元整"</f>
        <v>叁仟壹佰玖拾陆万元整</v>
      </c>
      <c r="I119" s="3331"/>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9" t="s">
        <v>1448</v>
      </c>
      <c r="B121" s="3330"/>
      <c r="C121" s="3331"/>
      <c r="D121" s="3329" t="str">
        <f>IF(D120=0,"零元整",NUMBERSTRING(INT(D120*10000),2)&amp;"元整")</f>
        <v>零元整</v>
      </c>
      <c r="E121" s="3330"/>
      <c r="F121" s="3330"/>
      <c r="G121" s="3330"/>
      <c r="H121" s="3330"/>
      <c r="I121" s="3331"/>
      <c r="AA121" s="684"/>
    </row>
    <row r="122" spans="1:27" ht="18.75" customHeight="1">
      <c r="A122" s="3333" t="str">
        <f>IF(项目基本情况!B9="房地产市场价值","",MID(E107,3,LEN(E107)-2))</f>
        <v>房地产抵押价值</v>
      </c>
      <c r="B122" s="3333"/>
      <c r="C122" s="3333"/>
      <c r="D122" s="3334">
        <f ca="1">H107</f>
        <v>3196</v>
      </c>
      <c r="E122" s="3335"/>
      <c r="F122" s="3335"/>
      <c r="G122" s="3335"/>
      <c r="H122" s="3335"/>
      <c r="I122" s="3336"/>
      <c r="AA122" s="684"/>
    </row>
    <row r="123" spans="1:27" ht="18.75" customHeight="1">
      <c r="A123" s="3328" t="s">
        <v>1448</v>
      </c>
      <c r="B123" s="3328"/>
      <c r="C123" s="3328"/>
      <c r="D123" s="3329" t="str">
        <f ca="1">NUMBERSTRING(INT(D122*10000),2)&amp;"元整"</f>
        <v>叁仟壹佰玖拾陆万元整</v>
      </c>
      <c r="E123" s="3330"/>
      <c r="F123" s="3330"/>
      <c r="G123" s="3330"/>
      <c r="H123" s="3330"/>
      <c r="I123" s="3331"/>
      <c r="AA123" s="684"/>
    </row>
    <row r="124" spans="1:27" ht="18.75" customHeight="1">
      <c r="A124" s="3333" t="str">
        <f>IF(项目基本情况!B9="房地产市场价值","",MID(E109,3,LEN(E109)-2))</f>
        <v/>
      </c>
      <c r="B124" s="3333"/>
      <c r="C124" s="3333"/>
      <c r="D124" s="3334" t="str">
        <f>H109</f>
        <v>——</v>
      </c>
      <c r="E124" s="3335"/>
      <c r="F124" s="3335"/>
      <c r="G124" s="3335"/>
      <c r="H124" s="3335"/>
      <c r="I124" s="3336"/>
      <c r="AA124" s="684"/>
    </row>
    <row r="125" spans="1:27" ht="18.75" customHeight="1">
      <c r="A125" s="3328" t="s">
        <v>1448</v>
      </c>
      <c r="B125" s="3328"/>
      <c r="C125" s="3328"/>
      <c r="D125" s="3329" t="e">
        <f>NUMBERSTRING(INT(D124*10000),2)&amp;"元整"</f>
        <v>#VALUE!</v>
      </c>
      <c r="E125" s="3330"/>
      <c r="F125" s="3330"/>
      <c r="G125" s="3330"/>
      <c r="H125" s="3330"/>
      <c r="I125" s="3331"/>
      <c r="AA125" s="684"/>
    </row>
    <row r="126" spans="1:27" ht="18.75" customHeight="1">
      <c r="A126" s="3333" t="str">
        <f>IF(项目基本情况!B9="房地产市场价值","",MID(E111,3,LEN(E111)-2))</f>
        <v/>
      </c>
      <c r="B126" s="3333"/>
      <c r="C126" s="3333"/>
      <c r="D126" s="3334" t="str">
        <f>H111</f>
        <v>——</v>
      </c>
      <c r="E126" s="3335"/>
      <c r="F126" s="3335"/>
      <c r="G126" s="3335"/>
      <c r="H126" s="3335"/>
      <c r="I126" s="3336"/>
      <c r="AA126" s="684"/>
    </row>
    <row r="127" spans="1:27" ht="18.75" customHeight="1">
      <c r="A127" s="3328" t="s">
        <v>1448</v>
      </c>
      <c r="B127" s="3328"/>
      <c r="C127" s="3328"/>
      <c r="D127" s="3329" t="e">
        <f>NUMBERSTRING(INT(D126*10000),2)&amp;"元整"</f>
        <v>#VALUE!</v>
      </c>
      <c r="E127" s="3330"/>
      <c r="F127" s="3330"/>
      <c r="G127" s="3330"/>
      <c r="H127" s="3330"/>
      <c r="I127" s="3331"/>
      <c r="AA127" s="684"/>
    </row>
    <row r="128" spans="1:27" ht="21.75" customHeight="1">
      <c r="A128" s="3332" t="s">
        <v>1449</v>
      </c>
      <c r="B128" s="3332"/>
      <c r="C128" s="3332"/>
      <c r="D128" s="3332"/>
      <c r="E128" s="3332"/>
      <c r="F128" s="3332"/>
      <c r="G128" s="3332"/>
      <c r="H128" s="3332"/>
      <c r="I128" s="3332"/>
      <c r="AA128" s="684"/>
    </row>
    <row r="129" spans="1:35" ht="21.75" customHeight="1">
      <c r="A129" s="1691" t="s">
        <v>1450</v>
      </c>
      <c r="B129" s="1692"/>
      <c r="C129" s="1693" t="s">
        <v>1451</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1452</v>
      </c>
      <c r="G135" s="1706"/>
      <c r="H135" s="1706"/>
      <c r="I135" s="1707" t="s">
        <v>1453</v>
      </c>
    </row>
    <row r="136" spans="1:35" ht="21.75" customHeight="1">
      <c r="A136" s="684"/>
      <c r="B136" s="1708" t="s">
        <v>1454</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1455</v>
      </c>
    </row>
    <row r="139" spans="1:35" ht="21.75" customHeight="1">
      <c r="A139" s="684"/>
      <c r="B139" s="1708" t="s">
        <v>1456</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1455</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D92" xr:uid="{D6D10D28-C0DB-49BD-AA1B-10342ECC4023}">
      <formula1>"0,5%,10%"</formula1>
    </dataValidation>
    <dataValidation type="list" allowBlank="1" showInputMessage="1" showErrorMessage="1" sqref="H59" xr:uid="{ED7D14E5-B850-4456-82F0-57E93DA25D95}">
      <formula1>"非个人房产,个人住宅（满五唯一有凭证）,个人其他（有凭证）,个人其他（无凭证）"</formula1>
    </dataValidation>
    <dataValidation type="list" allowBlank="1" showInputMessage="1" showErrorMessage="1" sqref="E103" xr:uid="{0B9841CB-515A-4FDD-898A-09750C5D82E0}">
      <formula1>"2.估价师知悉的法定优先受偿款,2.估价师知悉的除抵押担保权以外的法定优先受偿款"</formula1>
    </dataValidation>
    <dataValidation type="list" allowBlank="1" showInputMessage="1" showErrorMessage="1" sqref="G77" xr:uid="{78A9A1F5-D166-4E4B-8661-9E375D1EE480}">
      <formula1>"个人住宅,2016年5月1日前购买,2016年5月1日后购买"</formula1>
    </dataValidation>
    <dataValidation type="list" allowBlank="1" showInputMessage="1" showErrorMessage="1" sqref="C1" xr:uid="{E1EAE03C-6DD7-46D9-9AE4-99A8D6300A09}">
      <formula1>项目类型</formula1>
    </dataValidation>
    <dataValidation type="list" allowBlank="1" showInputMessage="1" showErrorMessage="1" sqref="I1" xr:uid="{B8ED37FF-E57C-4911-B584-9B5BBDDB992F}">
      <formula1>"项目局部,项目全部,——"</formula1>
    </dataValidation>
    <dataValidation type="list" showInputMessage="1" showErrorMessage="1" sqref="G1" xr:uid="{3A9F9BE1-522B-4FCE-B165-380CA3F3B508}">
      <formula1>"现房,在建,土地,-"</formula1>
    </dataValidation>
    <dataValidation type="list" allowBlank="1" showInputMessage="1" showErrorMessage="1" sqref="C129" xr:uid="{EBBF2931-1783-46B0-AE16-F563EF10CE61}">
      <formula1>"无,有"</formula1>
    </dataValidation>
    <dataValidation type="list" allowBlank="1" showInputMessage="1" showErrorMessage="1" sqref="F116:G116" xr:uid="{09D61AE9-D3B2-4BED-8008-34142E5383A3}">
      <formula1>"建筑物价值,在建建筑物价值,建筑物/在建建筑物价值"</formula1>
    </dataValidation>
    <dataValidation type="list" allowBlank="1" showInputMessage="1" showErrorMessage="1" sqref="D116:E116" xr:uid="{73230E29-07C2-41A7-BA1E-C2721D4D4BD8}">
      <formula1>"出让国有建设用地使用权价值,划拨国有建设用地使用权价值"</formula1>
    </dataValidation>
    <dataValidation type="list" allowBlank="1" showInputMessage="1" showErrorMessage="1" sqref="C116:C117" xr:uid="{9D28902B-D8DB-4A30-B609-A90F922FD47C}">
      <formula1>"土地面积,分摊土地面积,（分摊）土地面积"</formula1>
    </dataValidation>
    <dataValidation type="list" allowBlank="1" showInputMessage="1" showErrorMessage="1" sqref="B116:B117" xr:uid="{C60ACC68-65F6-41CB-BF54-1E56AB39B306}">
      <formula1>"建筑面积,规划建筑面积,（规划）建筑面积"</formula1>
    </dataValidation>
    <dataValidation type="list" allowBlank="1" showInputMessage="1" showErrorMessage="1" sqref="D36" xr:uid="{8C5E602D-55C8-4ED9-AD55-F14BE7B2B7C6}">
      <formula1>"同一抵押权人同一抵押物续贷,注销后放款,正常操作"</formula1>
    </dataValidation>
    <dataValidation type="list" allowBlank="1" showInputMessage="1" showErrorMessage="1" sqref="F75" xr:uid="{CBE7F18B-62EE-4E52-9588-933C9A45697C}">
      <formula1>"买卖合同,购房发票"</formula1>
    </dataValidation>
    <dataValidation type="list" allowBlank="1" showInputMessage="1" showErrorMessage="1" sqref="H88" xr:uid="{73D61BCB-C3C9-4880-A6FC-D574A9603C35}">
      <formula1>"仅含出让金,出让金+开发费"</formula1>
    </dataValidation>
    <dataValidation type="list" allowBlank="1" showInputMessage="1" showErrorMessage="1" sqref="H91" xr:uid="{D80CB9EF-F16D-46F9-9427-7CEB5DB75F64}">
      <formula1>"企业提供（在右侧录入）,——"</formula1>
    </dataValidation>
    <dataValidation type="list" allowBlank="1" showInputMessage="1" showErrorMessage="1" sqref="C33" xr:uid="{D8EE2FC9-A2F1-48B2-BEBF-B2015925F3E3}">
      <formula1>"成本比率,收益比率,自定义"</formula1>
    </dataValidation>
    <dataValidation type="list" allowBlank="1" showInputMessage="1" showErrorMessage="1" sqref="F45" xr:uid="{B87A9FAE-E4F0-462F-B6CB-CD352D476178}">
      <formula1>"100%,70%,56%"</formula1>
    </dataValidation>
    <dataValidation type="list" allowBlank="1" showInputMessage="1" showErrorMessage="1" sqref="D32" xr:uid="{C1A2FA50-ADC7-4651-BBE5-C67A095EE6C7}">
      <formula1>"总价,楼面单价"</formula1>
    </dataValidation>
    <dataValidation type="list" allowBlank="1" showInputMessage="1" showErrorMessage="1" sqref="H58" xr:uid="{B2051E13-E1C8-44F9-B881-96F3F1025173}">
      <formula1>"转让取得,自行开发建设"</formula1>
    </dataValidation>
    <dataValidation type="list" allowBlank="1" showInputMessage="1" showErrorMessage="1" sqref="H48" xr:uid="{440DF9BE-FC3A-4E52-887A-5E0DED65AFD5}">
      <formula1>"情况1,情况2,情况3,情况4"</formula1>
    </dataValidation>
    <dataValidation type="list" allowBlank="1" showInputMessage="1" showErrorMessage="1" sqref="H55:H56" xr:uid="{BFEF901D-1289-4EC3-B161-3817E8B77CD0}">
      <formula1>"个人住宅,正常"</formula1>
    </dataValidation>
    <dataValidation type="list" allowBlank="1" showInputMessage="1" showErrorMessage="1" sqref="C4:D4 D33" xr:uid="{525EB866-2E40-46AA-98D8-961AB6580085}">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J25" sqref="J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1457</v>
      </c>
      <c r="B1" s="1374" t="s">
        <v>3387</v>
      </c>
      <c r="C1" s="1717" t="s">
        <v>1559</v>
      </c>
      <c r="D1" s="190"/>
      <c r="E1" s="190"/>
      <c r="F1" s="190"/>
      <c r="G1" s="1062">
        <f>MATCH(B1,'数据-取费表'!A6:A16,0)+5</f>
        <v>6</v>
      </c>
      <c r="H1" s="998" t="str">
        <f>IF(ISERROR(FIND("住宅",B1)),"非住宅","住宅")</f>
        <v>住宅</v>
      </c>
    </row>
    <row r="2" spans="1:8" s="192" customFormat="1" ht="18" customHeight="1">
      <c r="A2" s="193" t="s">
        <v>1458</v>
      </c>
      <c r="B2" s="3123">
        <f ca="1">ROUND(IF(D2="——",C52/10000,C52/10000-E2),4)</f>
        <v>3191.0246999999999</v>
      </c>
      <c r="C2" s="191" t="s">
        <v>1459</v>
      </c>
      <c r="D2" s="1711" t="s">
        <v>43</v>
      </c>
      <c r="E2" s="1089" t="e">
        <f ca="1">SUMIF(INDIRECT("'"&amp;G2&amp;"'"&amp;"!A:A"),"承租人权益价值",INDIRECT("'"&amp;G2&amp;"'"&amp;"!c:c"))</f>
        <v>#REF!</v>
      </c>
      <c r="F2" s="1712" t="s">
        <v>1459</v>
      </c>
      <c r="G2" s="1713"/>
    </row>
    <row r="3" spans="1:8" s="192" customFormat="1" ht="18" customHeight="1" thickBot="1">
      <c r="A3" s="195" t="s">
        <v>1460</v>
      </c>
      <c r="B3" s="196">
        <f ca="1">ROUND(B2*10000/(IF(B1="",'数据-汇总表'!E3,INDIRECT("'数据-取费表'!k"&amp;$G$1))),0)</f>
        <v>116892</v>
      </c>
      <c r="C3" s="191" t="s">
        <v>1461</v>
      </c>
      <c r="D3" s="191"/>
      <c r="E3" s="191"/>
      <c r="F3" s="191"/>
      <c r="G3" s="191"/>
    </row>
    <row r="4" spans="1:8" s="200" customFormat="1" ht="15.75">
      <c r="A4" s="197" t="s">
        <v>1462</v>
      </c>
      <c r="B4" s="198"/>
      <c r="C4" s="198"/>
      <c r="D4" s="198"/>
      <c r="E4" s="198"/>
      <c r="F4" s="198"/>
      <c r="G4" s="199"/>
    </row>
    <row r="5" spans="1:8" s="206" customFormat="1" ht="13.5" customHeight="1">
      <c r="A5" s="247" t="s">
        <v>1463</v>
      </c>
      <c r="B5" s="202" t="s">
        <v>1464</v>
      </c>
      <c r="C5" s="203">
        <f ca="1">C6+C7+C8</f>
        <v>21820082.91</v>
      </c>
      <c r="D5" s="203" t="s">
        <v>1465</v>
      </c>
      <c r="E5" s="204" t="s">
        <v>1466</v>
      </c>
      <c r="F5" s="204" t="s">
        <v>1467</v>
      </c>
      <c r="G5" s="205"/>
    </row>
    <row r="6" spans="1:8" s="206" customFormat="1" ht="13.5" customHeight="1">
      <c r="A6" s="732" t="s">
        <v>1468</v>
      </c>
      <c r="B6" s="207" t="s">
        <v>1469</v>
      </c>
      <c r="C6" s="208">
        <f>'土地比较法-住宅、综合'!B56*'土地比较法-住宅、综合'!E56</f>
        <v>21131882.91</v>
      </c>
      <c r="D6" s="209"/>
      <c r="E6" s="210"/>
      <c r="F6" s="210"/>
      <c r="G6" s="211"/>
    </row>
    <row r="7" spans="1:8" s="206" customFormat="1" ht="13.5" customHeight="1">
      <c r="A7" s="732" t="s">
        <v>1470</v>
      </c>
      <c r="B7" s="207" t="s">
        <v>1471</v>
      </c>
      <c r="C7" s="212">
        <f>ROUND(C6*F7,0)</f>
        <v>644522</v>
      </c>
      <c r="D7" s="212"/>
      <c r="E7" s="210"/>
      <c r="F7" s="213">
        <f>IF(项目基本情况!B8="出让",0,'数据-取费表'!B48+'数据-取费表'!B49)</f>
        <v>3.0499999999999999E-2</v>
      </c>
      <c r="G7" s="211"/>
    </row>
    <row r="8" spans="1:8" s="215" customFormat="1">
      <c r="A8" s="732" t="s">
        <v>1472</v>
      </c>
      <c r="B8" s="207" t="s">
        <v>1473</v>
      </c>
      <c r="C8" s="212">
        <f ca="1">IF(G8="已包含在土地购买价格中",0,C9+C10)</f>
        <v>43678</v>
      </c>
      <c r="D8" s="214"/>
      <c r="E8" s="212"/>
      <c r="F8" s="213"/>
      <c r="G8" s="1714" t="s">
        <v>4809</v>
      </c>
    </row>
    <row r="9" spans="1:8" s="206" customFormat="1" ht="13.5" customHeight="1">
      <c r="A9" s="733" t="s">
        <v>355</v>
      </c>
      <c r="B9" s="216" t="s">
        <v>1474</v>
      </c>
      <c r="C9" s="217">
        <f ca="1">ROUND(D9*E9,0)</f>
        <v>43678</v>
      </c>
      <c r="D9" s="795">
        <f ca="1">IF(B1="",'数据-汇总表'!E5,IF(INDIRECT("'数据-取费表'!c"&amp;$G$1)="住宅",INDIRECT("'数据-取费表'!k"&amp;$G$1),0))</f>
        <v>272.99</v>
      </c>
      <c r="E9" s="217">
        <f>'数据-取费表'!B27</f>
        <v>160</v>
      </c>
      <c r="F9" s="213"/>
      <c r="G9" s="218"/>
    </row>
    <row r="10" spans="1:8" s="206" customFormat="1" ht="13.5" customHeight="1">
      <c r="A10" s="733" t="s">
        <v>356</v>
      </c>
      <c r="B10" s="216" t="s">
        <v>1476</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1477</v>
      </c>
      <c r="C11" s="203"/>
      <c r="D11" s="210"/>
      <c r="E11" s="210"/>
      <c r="F11" s="210"/>
      <c r="G11" s="211"/>
    </row>
    <row r="12" spans="1:8" s="206" customFormat="1" ht="13.5" hidden="1" customHeight="1">
      <c r="A12" s="219" t="s">
        <v>5</v>
      </c>
      <c r="B12" s="207" t="s">
        <v>1560</v>
      </c>
      <c r="C12" s="203">
        <v>0</v>
      </c>
      <c r="D12" s="210"/>
      <c r="E12" s="220"/>
      <c r="F12" s="213">
        <v>3.0499999999999999E-2</v>
      </c>
      <c r="G12" s="211"/>
    </row>
    <row r="13" spans="1:8" s="206" customFormat="1" ht="13.5" hidden="1" customHeight="1">
      <c r="A13" s="219" t="s">
        <v>6</v>
      </c>
      <c r="B13" s="207" t="s">
        <v>1561</v>
      </c>
      <c r="C13" s="203"/>
      <c r="D13" s="210"/>
      <c r="E13" s="210"/>
      <c r="F13" s="210"/>
      <c r="G13" s="211"/>
    </row>
    <row r="14" spans="1:8" s="206" customFormat="1" ht="13.5" hidden="1" customHeight="1">
      <c r="A14" s="219" t="s">
        <v>7</v>
      </c>
      <c r="B14" s="207" t="s">
        <v>1473</v>
      </c>
      <c r="C14" s="203"/>
      <c r="D14" s="210"/>
      <c r="E14" s="210"/>
      <c r="F14" s="210"/>
      <c r="G14" s="211" t="s">
        <v>1562</v>
      </c>
    </row>
    <row r="15" spans="1:8" s="206" customFormat="1" ht="13.5" hidden="1" customHeight="1">
      <c r="A15" s="219" t="s">
        <v>8</v>
      </c>
      <c r="B15" s="207" t="s">
        <v>1563</v>
      </c>
      <c r="C15" s="212"/>
      <c r="D15" s="210"/>
      <c r="E15" s="210"/>
      <c r="F15" s="210"/>
      <c r="G15" s="211" t="s">
        <v>1564</v>
      </c>
    </row>
    <row r="16" spans="1:8" s="206" customFormat="1" ht="13.5" hidden="1" customHeight="1">
      <c r="A16" s="219" t="s">
        <v>9</v>
      </c>
      <c r="B16" s="207" t="s">
        <v>1473</v>
      </c>
      <c r="C16" s="212"/>
      <c r="D16" s="210"/>
      <c r="E16" s="210"/>
      <c r="F16" s="210"/>
      <c r="G16" s="211"/>
    </row>
    <row r="17" spans="1:7" s="206" customFormat="1" ht="13.5" hidden="1" customHeight="1">
      <c r="A17" s="219" t="s">
        <v>10</v>
      </c>
      <c r="B17" s="207" t="s">
        <v>1565</v>
      </c>
      <c r="C17" s="221"/>
      <c r="D17" s="221"/>
      <c r="E17" s="221"/>
      <c r="F17" s="221"/>
      <c r="G17" s="211" t="s">
        <v>1564</v>
      </c>
    </row>
    <row r="18" spans="1:7" s="206" customFormat="1" ht="13.5" hidden="1" customHeight="1">
      <c r="A18" s="219" t="s">
        <v>11</v>
      </c>
      <c r="B18" s="207" t="s">
        <v>1566</v>
      </c>
      <c r="C18" s="212">
        <v>0</v>
      </c>
      <c r="D18" s="210"/>
      <c r="E18" s="210"/>
      <c r="F18" s="213">
        <v>3.0499999999999999E-2</v>
      </c>
      <c r="G18" s="211" t="s">
        <v>1567</v>
      </c>
    </row>
    <row r="19" spans="1:7" s="215" customFormat="1" ht="13.5" customHeight="1">
      <c r="A19" s="247" t="s">
        <v>1568</v>
      </c>
      <c r="B19" s="202" t="s">
        <v>1569</v>
      </c>
      <c r="C19" s="203" t="str">
        <f>IF(G19="已包含在土地取得成本中","0",ROUND(D19*E19,0))</f>
        <v>0</v>
      </c>
      <c r="D19" s="204">
        <f ca="1">D9+D10</f>
        <v>272.99</v>
      </c>
      <c r="E19" s="203">
        <f>'数据-取费表'!B31</f>
        <v>200</v>
      </c>
      <c r="F19" s="223"/>
      <c r="G19" s="1714" t="s">
        <v>4810</v>
      </c>
    </row>
    <row r="20" spans="1:7" s="206" customFormat="1" ht="13.5" customHeight="1">
      <c r="A20" s="247" t="s">
        <v>1570</v>
      </c>
      <c r="B20" s="202" t="s">
        <v>1571</v>
      </c>
      <c r="C20" s="224">
        <f ca="1">ROUND((C5+C19)*F20,0)</f>
        <v>436402</v>
      </c>
      <c r="D20" s="224"/>
      <c r="E20" s="224"/>
      <c r="F20" s="225">
        <f>'数据-取费表'!B37</f>
        <v>0.02</v>
      </c>
      <c r="G20" s="226" t="s">
        <v>1572</v>
      </c>
    </row>
    <row r="21" spans="1:7" s="206" customFormat="1" ht="13.5" customHeight="1">
      <c r="A21" s="247" t="s">
        <v>1573</v>
      </c>
      <c r="B21" s="202" t="s">
        <v>1574</v>
      </c>
      <c r="C21" s="227">
        <f>F21</f>
        <v>0.02</v>
      </c>
      <c r="D21" s="228" t="s">
        <v>1575</v>
      </c>
      <c r="E21" s="224"/>
      <c r="F21" s="225">
        <f>'数据-取费表'!B38</f>
        <v>0.02</v>
      </c>
      <c r="G21" s="226" t="s">
        <v>1576</v>
      </c>
    </row>
    <row r="22" spans="1:7" s="206" customFormat="1" ht="13.5" customHeight="1">
      <c r="A22" s="247" t="s">
        <v>1577</v>
      </c>
      <c r="B22" s="202" t="s">
        <v>1578</v>
      </c>
      <c r="C22" s="224">
        <f ca="1">ROUND(SUM(C23:C25),0)</f>
        <v>1400973</v>
      </c>
      <c r="D22" s="227">
        <f ca="1">C26</f>
        <v>5.9999999999999995E-4</v>
      </c>
      <c r="E22" s="228" t="s">
        <v>1575</v>
      </c>
      <c r="F22" s="229">
        <f ca="1">'数据-取费表'!B40</f>
        <v>3.1300000000000001E-2</v>
      </c>
      <c r="G22" s="226" t="str">
        <f>IF('数据-取费表'!B22&lt;=1,"单利计息","复利计息")</f>
        <v>复利计息</v>
      </c>
    </row>
    <row r="23" spans="1:7" s="206" customFormat="1" ht="13.5" customHeight="1">
      <c r="A23" s="734" t="s">
        <v>1468</v>
      </c>
      <c r="B23" s="207" t="s">
        <v>1579</v>
      </c>
      <c r="C23" s="230">
        <f ca="1">ROUND(IF('数据-取费表'!B22&lt;=1,C5*F22*'数据-取费表'!B22,C5*(POWER((1+F22),'数据-取费表'!B22)-1)),0)</f>
        <v>1387314</v>
      </c>
      <c r="D23" s="230"/>
      <c r="E23" s="230"/>
      <c r="F23" s="231"/>
      <c r="G23" s="232" t="s">
        <v>1580</v>
      </c>
    </row>
    <row r="24" spans="1:7" s="206" customFormat="1" ht="13.5" customHeight="1">
      <c r="A24" s="734" t="s">
        <v>1470</v>
      </c>
      <c r="B24" s="207" t="s">
        <v>1581</v>
      </c>
      <c r="C24" s="230">
        <f ca="1">ROUND(IF('数据-取费表'!B22&lt;=1,C19*F22*('数据-取费表'!B19/2+'数据-取费表'!B20),C19*(POWER((1+F22),('数据-取费表'!B19/2+'数据-取费表'!B20))-1)),0)</f>
        <v>0</v>
      </c>
      <c r="D24" s="230"/>
      <c r="E24" s="230"/>
      <c r="F24" s="231"/>
      <c r="G24" s="232" t="s">
        <v>1582</v>
      </c>
    </row>
    <row r="25" spans="1:7" s="206" customFormat="1" ht="24">
      <c r="A25" s="734" t="s">
        <v>1472</v>
      </c>
      <c r="B25" s="207" t="s">
        <v>1583</v>
      </c>
      <c r="C25" s="230">
        <f ca="1">ROUND(IF('数据-取费表'!B22&lt;=1,C20*F22*'数据-取费表'!B22/2,C20*(POWER((1+F22),'数据-取费表'!B22/2)-1)),0)</f>
        <v>13659</v>
      </c>
      <c r="D25" s="230"/>
      <c r="E25" s="233"/>
      <c r="F25" s="231"/>
      <c r="G25" s="234" t="s">
        <v>1584</v>
      </c>
    </row>
    <row r="26" spans="1:7" s="206" customFormat="1">
      <c r="A26" s="734" t="s">
        <v>350</v>
      </c>
      <c r="B26" s="207" t="s">
        <v>1507</v>
      </c>
      <c r="C26" s="230">
        <f ca="1">ROUND(IF('数据-取费表'!B22&lt;=1,F21*F22*'数据-取费表'!B22/2,F21*(POWER((1+F22),'数据-取费表'!B22/2)-1)),4)</f>
        <v>5.9999999999999995E-4</v>
      </c>
      <c r="D26" s="230"/>
      <c r="E26" s="233"/>
      <c r="F26" s="231"/>
      <c r="G26" s="235"/>
    </row>
    <row r="27" spans="1:7" s="206" customFormat="1" ht="24.75">
      <c r="A27" s="247" t="s">
        <v>1508</v>
      </c>
      <c r="B27" s="236" t="s">
        <v>1509</v>
      </c>
      <c r="C27" s="237">
        <f ca="1">C28</f>
        <v>3338473</v>
      </c>
      <c r="D27" s="227">
        <f ca="1">C29</f>
        <v>3.0000000000000001E-3</v>
      </c>
      <c r="E27" s="228" t="s">
        <v>1510</v>
      </c>
      <c r="F27" s="238">
        <f ca="1">IF(B1="",'数据-取费表'!Q16,INDIRECT("'数据-取费表'!q"&amp;$G$1))</f>
        <v>0.15</v>
      </c>
      <c r="G27" s="239" t="s">
        <v>1511</v>
      </c>
    </row>
    <row r="28" spans="1:7" s="206" customFormat="1" ht="13.5" customHeight="1">
      <c r="A28" s="734" t="s">
        <v>346</v>
      </c>
      <c r="B28" s="240" t="s">
        <v>1512</v>
      </c>
      <c r="C28" s="241">
        <f ca="1">ROUND((C5+C19+C20)*F27,0)</f>
        <v>3338473</v>
      </c>
      <c r="D28" s="227"/>
      <c r="E28" s="228"/>
      <c r="F28" s="238"/>
      <c r="G28" s="239"/>
    </row>
    <row r="29" spans="1:7" s="206" customFormat="1" ht="13.5" customHeight="1">
      <c r="A29" s="734" t="s">
        <v>347</v>
      </c>
      <c r="B29" s="240" t="s">
        <v>1513</v>
      </c>
      <c r="C29" s="230">
        <f ca="1">ROUND(C21*F27,4)</f>
        <v>3.0000000000000001E-3</v>
      </c>
      <c r="D29" s="227"/>
      <c r="E29" s="228"/>
      <c r="F29" s="238"/>
      <c r="G29" s="239"/>
    </row>
    <row r="30" spans="1:7" s="206" customFormat="1" ht="13.5" customHeight="1">
      <c r="A30" s="247" t="s">
        <v>1514</v>
      </c>
      <c r="B30" s="202" t="s">
        <v>1515</v>
      </c>
      <c r="C30" s="227">
        <f>ROUND(F30/(1+'数据-取费表'!C42),4)</f>
        <v>5.33E-2</v>
      </c>
      <c r="D30" s="228" t="s">
        <v>1510</v>
      </c>
      <c r="E30" s="233"/>
      <c r="F30" s="229">
        <f>'数据-取费表'!B41</f>
        <v>5.6000000000000001E-2</v>
      </c>
      <c r="G30" s="226" t="s">
        <v>1516</v>
      </c>
    </row>
    <row r="31" spans="1:7" ht="16.5" customHeight="1">
      <c r="A31" s="201">
        <v>1</v>
      </c>
      <c r="B31" s="202" t="s">
        <v>1517</v>
      </c>
      <c r="C31" s="203">
        <f ca="1">ROUND((C5+C19+C20+C22+C27)/(1-C21-D22-D27-C30),0)</f>
        <v>29244861</v>
      </c>
      <c r="D31" s="222"/>
      <c r="E31" s="203"/>
      <c r="F31" s="242"/>
      <c r="G31" s="226" t="s">
        <v>1518</v>
      </c>
    </row>
    <row r="32" spans="1:7" s="200" customFormat="1" ht="15.75">
      <c r="A32" s="244" t="s">
        <v>1585</v>
      </c>
      <c r="B32" s="245"/>
      <c r="C32" s="245"/>
      <c r="D32" s="245"/>
      <c r="E32" s="245"/>
      <c r="F32" s="245"/>
      <c r="G32" s="246"/>
    </row>
    <row r="33" spans="1:7" s="206" customFormat="1" ht="13.5" customHeight="1">
      <c r="A33" s="247" t="s">
        <v>337</v>
      </c>
      <c r="B33" s="202" t="s">
        <v>1586</v>
      </c>
      <c r="C33" s="248">
        <f ca="1">SUM(C34:C38)</f>
        <v>2041966</v>
      </c>
      <c r="D33" s="224"/>
      <c r="E33" s="204"/>
      <c r="F33" s="233"/>
      <c r="G33" s="226"/>
    </row>
    <row r="34" spans="1:7" s="250" customFormat="1" ht="13.5" customHeight="1">
      <c r="A34" s="734" t="s">
        <v>346</v>
      </c>
      <c r="B34" s="207" t="s">
        <v>1521</v>
      </c>
      <c r="C34" s="212">
        <f ca="1">ROUND(IF(B1="",SUMPRODUCT('数据-取费表'!K6:K14,'数据-取费表'!L6:L14),INDIRECT("'数据-取费表'!l"&amp;$G$1)*INDIRECT("'数据-取费表'!k"&amp;$G$1)+'数据-取费表'!L14*INDIRECT("'数据-取费表'!S"&amp;$G$1)),0)</f>
        <v>1774435</v>
      </c>
      <c r="D34" s="209"/>
      <c r="E34" s="212"/>
      <c r="F34" s="249"/>
      <c r="G34" s="211"/>
    </row>
    <row r="35" spans="1:7" ht="13.5" customHeight="1">
      <c r="A35" s="734" t="s">
        <v>351</v>
      </c>
      <c r="B35" s="207" t="s">
        <v>1523</v>
      </c>
      <c r="C35" s="212">
        <f ca="1">ROUND(C34*F35,0)</f>
        <v>88722</v>
      </c>
      <c r="D35" s="212"/>
      <c r="E35" s="212"/>
      <c r="F35" s="251">
        <f>'数据-取费表'!B33</f>
        <v>0.05</v>
      </c>
      <c r="G35" s="211" t="s">
        <v>1524</v>
      </c>
    </row>
    <row r="36" spans="1:7" ht="24">
      <c r="A36" s="734" t="s">
        <v>352</v>
      </c>
      <c r="B36" s="207" t="s">
        <v>1525</v>
      </c>
      <c r="C36" s="212">
        <f ca="1">ROUND(IF(B1="",SUM('数据-取费表'!AP6:AP13)*F36,IF(INDIRECT("'数据-取费表'!c"&amp;$G$1)="住宅",INDIRECT("'数据-取费表'!k"&amp;$G$1)*INDIRECT("'数据-取费表'!l"&amp;$G$1)*F36,0)),0)</f>
        <v>88722</v>
      </c>
      <c r="D36" s="212"/>
      <c r="E36" s="212"/>
      <c r="F36" s="251">
        <f>'数据-取费表'!B34</f>
        <v>0.05</v>
      </c>
      <c r="G36" s="252" t="s">
        <v>1526</v>
      </c>
    </row>
    <row r="37" spans="1:7" s="250" customFormat="1" ht="13.5" customHeight="1">
      <c r="A37" s="734" t="s">
        <v>353</v>
      </c>
      <c r="B37" s="207" t="s">
        <v>1527</v>
      </c>
      <c r="C37" s="241">
        <f ca="1">ROUND(E37*D37,0)</f>
        <v>54598</v>
      </c>
      <c r="D37" s="209">
        <f ca="1">D19</f>
        <v>272.99</v>
      </c>
      <c r="E37" s="241">
        <f>'数据-取费表'!B35</f>
        <v>200</v>
      </c>
      <c r="F37" s="251"/>
      <c r="G37" s="253"/>
    </row>
    <row r="38" spans="1:7" ht="13.5" customHeight="1">
      <c r="A38" s="734" t="s">
        <v>354</v>
      </c>
      <c r="B38" s="207" t="s">
        <v>1529</v>
      </c>
      <c r="C38" s="212">
        <f ca="1">ROUND(C34*F38,0)</f>
        <v>35489</v>
      </c>
      <c r="D38" s="212"/>
      <c r="E38" s="212"/>
      <c r="F38" s="251">
        <f>'数据-取费表'!B36</f>
        <v>0.02</v>
      </c>
      <c r="G38" s="211" t="s">
        <v>1524</v>
      </c>
    </row>
    <row r="39" spans="1:7" s="206" customFormat="1" ht="13.5" customHeight="1">
      <c r="A39" s="247" t="s">
        <v>1530</v>
      </c>
      <c r="B39" s="202" t="s">
        <v>1531</v>
      </c>
      <c r="C39" s="224">
        <f ca="1">ROUND(C33*F20,0)</f>
        <v>40839</v>
      </c>
      <c r="D39" s="224"/>
      <c r="E39" s="224"/>
      <c r="F39" s="225">
        <f>F20</f>
        <v>0.02</v>
      </c>
      <c r="G39" s="226" t="s">
        <v>1532</v>
      </c>
    </row>
    <row r="40" spans="1:7" s="206" customFormat="1" ht="13.5" customHeight="1">
      <c r="A40" s="247" t="s">
        <v>1533</v>
      </c>
      <c r="B40" s="202" t="s">
        <v>1534</v>
      </c>
      <c r="C40" s="227">
        <f>F21</f>
        <v>0.02</v>
      </c>
      <c r="D40" s="228" t="s">
        <v>1535</v>
      </c>
      <c r="E40" s="224"/>
      <c r="F40" s="225">
        <f>F21</f>
        <v>0.02</v>
      </c>
      <c r="G40" s="226" t="s">
        <v>1536</v>
      </c>
    </row>
    <row r="41" spans="1:7" s="206" customFormat="1" ht="13.5" customHeight="1">
      <c r="A41" s="247" t="s">
        <v>1537</v>
      </c>
      <c r="B41" s="202" t="s">
        <v>1538</v>
      </c>
      <c r="C41" s="224">
        <f ca="1">ROUND(SUM(C42:C43),0)</f>
        <v>65192</v>
      </c>
      <c r="D41" s="227">
        <f ca="1">C44</f>
        <v>5.9999999999999995E-4</v>
      </c>
      <c r="E41" s="228" t="s">
        <v>1535</v>
      </c>
      <c r="F41" s="229">
        <f ca="1">F22</f>
        <v>3.1300000000000001E-2</v>
      </c>
      <c r="G41" s="226" t="str">
        <f>IF('数据-取费表'!B22&lt;=1,"单利计息","复利计息")</f>
        <v>复利计息</v>
      </c>
    </row>
    <row r="42" spans="1:7" ht="13.5" customHeight="1">
      <c r="A42" s="734" t="s">
        <v>346</v>
      </c>
      <c r="B42" s="207" t="s">
        <v>1539</v>
      </c>
      <c r="C42" s="230">
        <f ca="1">ROUND(IF('数据-取费表'!B22&lt;=1,C33*F22*'数据-取费表'!B20/2,C33*(POWER((1+F22),'数据-取费表'!B20/2)-1)),0)</f>
        <v>63914</v>
      </c>
      <c r="D42" s="230"/>
      <c r="E42" s="230"/>
      <c r="F42" s="231"/>
      <c r="G42" s="3421" t="s">
        <v>1587</v>
      </c>
    </row>
    <row r="43" spans="1:7" ht="13.5" customHeight="1">
      <c r="A43" s="734" t="s">
        <v>347</v>
      </c>
      <c r="B43" s="207" t="s">
        <v>1541</v>
      </c>
      <c r="C43" s="230">
        <f ca="1">ROUND(IF('数据-取费表'!B22&lt;=1,C39*F22*'数据-取费表'!B20/2,C39*(POWER((1+F22),'数据-取费表'!B20/2)-1)),0)</f>
        <v>1278</v>
      </c>
      <c r="D43" s="230"/>
      <c r="E43" s="230"/>
      <c r="F43" s="231"/>
      <c r="G43" s="3422"/>
    </row>
    <row r="44" spans="1:7" ht="13.5" customHeight="1">
      <c r="A44" s="734" t="s">
        <v>348</v>
      </c>
      <c r="B44" s="207" t="s">
        <v>1542</v>
      </c>
      <c r="C44" s="230">
        <f ca="1">ROUND(IF('数据-取费表'!B22&lt;=1,C40*F22*'数据-取费表'!B20/2,C40*(POWER((1+F22),'数据-取费表'!B20/2)-1)),4)</f>
        <v>5.9999999999999995E-4</v>
      </c>
      <c r="D44" s="230"/>
      <c r="E44" s="230"/>
      <c r="F44" s="231"/>
      <c r="G44" s="3423"/>
    </row>
    <row r="45" spans="1:7" s="206" customFormat="1" ht="13.5" customHeight="1">
      <c r="A45" s="247" t="s">
        <v>1543</v>
      </c>
      <c r="B45" s="236" t="s">
        <v>1509</v>
      </c>
      <c r="C45" s="237">
        <f ca="1">C46</f>
        <v>312421</v>
      </c>
      <c r="D45" s="227">
        <f ca="1">C47</f>
        <v>3.0000000000000001E-3</v>
      </c>
      <c r="E45" s="228" t="s">
        <v>1535</v>
      </c>
      <c r="F45" s="238">
        <f ca="1">F27</f>
        <v>0.15</v>
      </c>
      <c r="G45" s="239" t="s">
        <v>1544</v>
      </c>
    </row>
    <row r="46" spans="1:7" s="206" customFormat="1" ht="13.5" customHeight="1">
      <c r="A46" s="734" t="s">
        <v>346</v>
      </c>
      <c r="B46" s="240" t="s">
        <v>1545</v>
      </c>
      <c r="C46" s="241">
        <f ca="1">ROUND((C33+C39)*F27,0)</f>
        <v>312421</v>
      </c>
      <c r="D46" s="255"/>
      <c r="E46" s="228"/>
      <c r="F46" s="238"/>
      <c r="G46" s="239"/>
    </row>
    <row r="47" spans="1:7" s="206" customFormat="1" ht="13.5" customHeight="1">
      <c r="A47" s="734" t="s">
        <v>347</v>
      </c>
      <c r="B47" s="240" t="s">
        <v>1546</v>
      </c>
      <c r="C47" s="230">
        <f ca="1">ROUND(C40*F27,4)</f>
        <v>3.0000000000000001E-3</v>
      </c>
      <c r="D47" s="255"/>
      <c r="E47" s="228"/>
      <c r="F47" s="238"/>
      <c r="G47" s="239"/>
    </row>
    <row r="48" spans="1:7" s="206" customFormat="1" ht="13.5" customHeight="1">
      <c r="A48" s="247" t="s">
        <v>1508</v>
      </c>
      <c r="B48" s="202" t="s">
        <v>1547</v>
      </c>
      <c r="C48" s="254">
        <f>ROUND(F30/(1+'数据-取费表'!C42),4)</f>
        <v>5.33E-2</v>
      </c>
      <c r="D48" s="228" t="s">
        <v>1535</v>
      </c>
      <c r="E48" s="224"/>
      <c r="F48" s="229">
        <f>F30</f>
        <v>5.6000000000000001E-2</v>
      </c>
      <c r="G48" s="226" t="s">
        <v>1548</v>
      </c>
    </row>
    <row r="49" spans="1:7" ht="16.5" customHeight="1">
      <c r="A49" s="247" t="s">
        <v>1514</v>
      </c>
      <c r="B49" s="202" t="s">
        <v>1588</v>
      </c>
      <c r="C49" s="224">
        <f ca="1">ROUND((C33+C39+C41+C45)/(1-C40-D41-D45-C48),0)</f>
        <v>2665386</v>
      </c>
      <c r="D49" s="224"/>
      <c r="E49" s="224"/>
      <c r="F49" s="256"/>
      <c r="G49" s="226" t="s">
        <v>1550</v>
      </c>
    </row>
    <row r="50" spans="1:7" s="250" customFormat="1">
      <c r="A50" s="247" t="s">
        <v>1551</v>
      </c>
      <c r="B50" s="202" t="s">
        <v>1552</v>
      </c>
      <c r="C50" s="224"/>
      <c r="D50" s="224"/>
      <c r="E50" s="224"/>
      <c r="F50" s="256">
        <f>IF('数据-取费表'!B24=0,'数据-取费表'!N16,1)</f>
        <v>1</v>
      </c>
      <c r="G50" s="239"/>
    </row>
    <row r="51" spans="1:7" ht="16.5" customHeight="1">
      <c r="A51" s="247" t="s">
        <v>1554</v>
      </c>
      <c r="B51" s="202" t="s">
        <v>1589</v>
      </c>
      <c r="C51" s="224">
        <f ca="1">ROUND(C49*F50,0)</f>
        <v>2665386</v>
      </c>
      <c r="D51" s="224"/>
      <c r="E51" s="224"/>
      <c r="F51" s="256"/>
      <c r="G51" s="226" t="s">
        <v>1556</v>
      </c>
    </row>
    <row r="52" spans="1:7" s="200" customFormat="1" ht="16.5" thickBot="1">
      <c r="A52" s="257" t="s">
        <v>1557</v>
      </c>
      <c r="B52" s="258"/>
      <c r="C52" s="259">
        <f ca="1">C31+C51</f>
        <v>31910247</v>
      </c>
      <c r="D52" s="258"/>
      <c r="E52" s="258"/>
      <c r="F52" s="258"/>
      <c r="G52" s="260"/>
    </row>
    <row r="55" spans="1:7" ht="15">
      <c r="B55" s="262" t="s">
        <v>1558</v>
      </c>
      <c r="C55" s="263"/>
    </row>
    <row r="56" spans="1:7">
      <c r="B56" s="265" t="s">
        <v>798</v>
      </c>
      <c r="C56" s="267">
        <f ca="1">1-C57</f>
        <v>0.91600000000000004</v>
      </c>
    </row>
    <row r="57" spans="1:7">
      <c r="B57" s="265" t="s">
        <v>799</v>
      </c>
      <c r="C57" s="266">
        <f ca="1">ROUND(C51/C52,3)</f>
        <v>8.4000000000000005E-2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Normal="60" zoomScaleSheetLayoutView="100" workbookViewId="0">
      <selection activeCell="D3" sqref="D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734" t="s">
        <v>1657</v>
      </c>
      <c r="C1" s="1155" t="s">
        <v>1658</v>
      </c>
      <c r="D1" s="1142" t="s">
        <v>3387</v>
      </c>
      <c r="E1" s="3125" t="s">
        <v>4820</v>
      </c>
      <c r="F1" s="1735" t="s">
        <v>4819</v>
      </c>
      <c r="G1" s="1152" t="s">
        <v>1659</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681</v>
      </c>
      <c r="B2" s="3126">
        <f>IF(E1="项目模式",IF(C2="——",ROUND(C49*D3/10000,0),ROUND(C49*D3/10000,0)-D2),IF(E1="单套模式",IF(C2="——",ROUND(C49*D3/10000,4),ROUND(C49*D3/10000,4)-D2)))</f>
        <v>3201</v>
      </c>
      <c r="C2" s="1737" t="s">
        <v>43</v>
      </c>
      <c r="D2" s="1052" t="e">
        <f ca="1">IF(E1="项目模式",SUMIF(INDIRECT("'"&amp;F2&amp;"'"&amp;"!A:A"),"承租人权益价值",INDIRECT("'"&amp;F2&amp;"'"&amp;"!c:c")),SUMIF(INDIRECT("'"&amp;F2&amp;"'"&amp;"!A:A"),"承租人权益价值（单套）",INDIRECT("'"&amp;F2&amp;"'"&amp;"!c:c")))</f>
        <v>#REF!</v>
      </c>
      <c r="E2" s="1738" t="s">
        <v>1660</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682</v>
      </c>
      <c r="B3" s="343">
        <f>IF(C2="——",C49,ROUND(B2*10000/D3,0))</f>
        <v>117258</v>
      </c>
      <c r="C3" s="344" t="s">
        <v>1661</v>
      </c>
      <c r="D3" s="343">
        <f>IF(D1="",'数据-汇总表'!E3,SUMIF('数据-汇总表'!$C19:$C33,D1,'数据-汇总表'!$E19:$E33))</f>
        <v>272.99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1662</v>
      </c>
      <c r="B4" s="346"/>
      <c r="C4" s="3304" t="s">
        <v>1663</v>
      </c>
      <c r="D4" s="3305"/>
      <c r="E4" s="3306" t="s">
        <v>1664</v>
      </c>
      <c r="F4" s="3307"/>
      <c r="G4" s="3304" t="s">
        <v>1665</v>
      </c>
      <c r="H4" s="3305"/>
      <c r="I4" s="3304" t="s">
        <v>1666</v>
      </c>
      <c r="J4" s="3305"/>
      <c r="K4" s="1744" t="s">
        <v>1667</v>
      </c>
      <c r="L4" s="2487"/>
      <c r="M4" s="2488"/>
      <c r="N4" s="2488"/>
      <c r="O4" s="2488"/>
      <c r="P4" s="3308" t="s">
        <v>1668</v>
      </c>
      <c r="Q4" s="3309"/>
      <c r="R4" s="3290" t="s">
        <v>1664</v>
      </c>
      <c r="S4" s="3291"/>
      <c r="T4" s="3290" t="s">
        <v>1665</v>
      </c>
      <c r="U4" s="3291"/>
      <c r="V4" s="3316" t="s">
        <v>1666</v>
      </c>
      <c r="W4" s="3316"/>
      <c r="X4" s="1265"/>
      <c r="Y4" s="3290" t="s">
        <v>1668</v>
      </c>
      <c r="Z4" s="3291"/>
      <c r="AA4" s="3285" t="s">
        <v>1664</v>
      </c>
      <c r="AB4" s="3285" t="s">
        <v>1665</v>
      </c>
      <c r="AC4" s="3285" t="s">
        <v>1666</v>
      </c>
    </row>
    <row r="5" spans="1:29" ht="15.75" thickBot="1">
      <c r="A5" s="348"/>
      <c r="B5" s="349"/>
      <c r="C5" s="3296" t="s">
        <v>1669</v>
      </c>
      <c r="D5" s="3297"/>
      <c r="E5" s="3424" t="s">
        <v>4821</v>
      </c>
      <c r="F5" s="3295"/>
      <c r="G5" s="3425" t="s">
        <v>4822</v>
      </c>
      <c r="H5" s="3297"/>
      <c r="I5" s="3425" t="s">
        <v>4823</v>
      </c>
      <c r="J5" s="3297"/>
      <c r="K5" s="1745"/>
      <c r="L5" s="2487"/>
      <c r="M5" s="2488"/>
      <c r="N5" s="2488"/>
      <c r="O5" s="2488"/>
      <c r="P5" s="3310"/>
      <c r="Q5" s="3311"/>
      <c r="R5" s="3292"/>
      <c r="S5" s="3293"/>
      <c r="T5" s="3292"/>
      <c r="U5" s="3293"/>
      <c r="V5" s="3316"/>
      <c r="W5" s="3316"/>
      <c r="X5" s="1265"/>
      <c r="Y5" s="3292"/>
      <c r="Z5" s="3293"/>
      <c r="AA5" s="3286"/>
      <c r="AB5" s="3286"/>
      <c r="AC5" s="3286"/>
    </row>
    <row r="6" spans="1:29" ht="15.75" hidden="1" thickBot="1">
      <c r="A6" s="350"/>
      <c r="B6" s="351"/>
      <c r="C6" s="3298" t="s">
        <v>1673</v>
      </c>
      <c r="D6" s="3299"/>
      <c r="E6" s="3300" t="s">
        <v>1673</v>
      </c>
      <c r="F6" s="3301"/>
      <c r="G6" s="3298" t="s">
        <v>1673</v>
      </c>
      <c r="H6" s="3299"/>
      <c r="I6" s="3298" t="s">
        <v>1673</v>
      </c>
      <c r="J6" s="3299"/>
      <c r="K6" s="1745" t="s">
        <v>1674</v>
      </c>
      <c r="L6" s="2487"/>
      <c r="M6" s="2488"/>
      <c r="N6" s="2488"/>
      <c r="O6" s="2488"/>
      <c r="P6" s="3312"/>
      <c r="Q6" s="3313"/>
      <c r="R6" s="3292"/>
      <c r="S6" s="3293"/>
      <c r="T6" s="3314"/>
      <c r="U6" s="3315"/>
      <c r="V6" s="3316"/>
      <c r="W6" s="3316"/>
      <c r="X6" s="1265"/>
      <c r="Y6" s="3314"/>
      <c r="Z6" s="3315"/>
      <c r="AA6" s="3287"/>
      <c r="AB6" s="3287"/>
      <c r="AC6" s="3287"/>
    </row>
    <row r="7" spans="1:29" s="102" customFormat="1" ht="15.75" thickBot="1">
      <c r="A7" s="352" t="s">
        <v>1675</v>
      </c>
      <c r="B7" s="353"/>
      <c r="C7" s="354">
        <f>'数据-取费表'!B2</f>
        <v>46014</v>
      </c>
      <c r="D7" s="355">
        <v>100</v>
      </c>
      <c r="E7" s="356">
        <f>C7</f>
        <v>46014</v>
      </c>
      <c r="F7" s="357">
        <f>SUMIF(58:58,YEAR(E7)&amp;"-"&amp;MONTH(E7),59:59)</f>
        <v>100</v>
      </c>
      <c r="G7" s="356">
        <f>E7</f>
        <v>46014</v>
      </c>
      <c r="H7" s="355">
        <f>SUMIF(58:58,YEAR(G7)&amp;"-"&amp;MONTH(G7),59:59)</f>
        <v>100</v>
      </c>
      <c r="I7" s="356">
        <f>G7</f>
        <v>46014</v>
      </c>
      <c r="J7" s="355">
        <f>SUMIF(58:58,YEAR(I7)&amp;"-"&amp;MONTH(I7),59:59)</f>
        <v>100</v>
      </c>
      <c r="K7" s="1746"/>
      <c r="L7" s="2489"/>
      <c r="M7" s="2440"/>
      <c r="N7" s="2440"/>
      <c r="O7" s="2440"/>
      <c r="P7" s="3288" t="s">
        <v>1676</v>
      </c>
      <c r="Q7" s="3317"/>
      <c r="R7" s="664" t="s">
        <v>20</v>
      </c>
      <c r="S7" s="665">
        <f t="shared" ref="S7:S15" si="0">F7</f>
        <v>100</v>
      </c>
      <c r="T7" s="664" t="s">
        <v>20</v>
      </c>
      <c r="U7" s="665">
        <f t="shared" ref="U7:U15" si="1">H7</f>
        <v>100</v>
      </c>
      <c r="V7" s="664" t="s">
        <v>20</v>
      </c>
      <c r="W7" s="665">
        <f t="shared" ref="W7:W15" si="2">J7</f>
        <v>100</v>
      </c>
      <c r="X7" s="666"/>
      <c r="Y7" s="3288" t="s">
        <v>1676</v>
      </c>
      <c r="Z7" s="3289"/>
      <c r="AA7" s="50">
        <f>D7/F7</f>
        <v>1</v>
      </c>
      <c r="AB7" s="50">
        <f>D7/H7</f>
        <v>1</v>
      </c>
      <c r="AC7" s="50">
        <f>D7/J7</f>
        <v>1</v>
      </c>
    </row>
    <row r="8" spans="1:29" s="102" customFormat="1" ht="15.75" thickBot="1">
      <c r="A8" s="352" t="s">
        <v>1677</v>
      </c>
      <c r="B8" s="353"/>
      <c r="C8" s="358" t="s">
        <v>4795</v>
      </c>
      <c r="D8" s="355">
        <v>100</v>
      </c>
      <c r="E8" s="1747" t="s">
        <v>4795</v>
      </c>
      <c r="F8" s="357">
        <f>SUMIF(61:61,E8,62:62)-SUMIF(61:61,C8,62:62)+100</f>
        <v>100</v>
      </c>
      <c r="G8" s="1747" t="s">
        <v>4795</v>
      </c>
      <c r="H8" s="355">
        <f>SUMIF(61:61,G8,62:62)-SUMIF(61:61,C8,62:62)+100</f>
        <v>100</v>
      </c>
      <c r="I8" s="1747" t="s">
        <v>4795</v>
      </c>
      <c r="J8" s="355">
        <f>SUMIF(61:61,I8,62:62)-SUMIF(61:61,C8,62:62)+100</f>
        <v>100</v>
      </c>
      <c r="K8" s="1746"/>
      <c r="L8" s="2489"/>
      <c r="M8" s="2440"/>
      <c r="N8" s="2440"/>
      <c r="O8" s="2440"/>
      <c r="P8" s="3288" t="s">
        <v>1679</v>
      </c>
      <c r="Q8" s="3289"/>
      <c r="R8" s="664" t="s">
        <v>20</v>
      </c>
      <c r="S8" s="665">
        <f t="shared" si="0"/>
        <v>100</v>
      </c>
      <c r="T8" s="664" t="s">
        <v>20</v>
      </c>
      <c r="U8" s="665">
        <f t="shared" si="1"/>
        <v>100</v>
      </c>
      <c r="V8" s="664" t="s">
        <v>20</v>
      </c>
      <c r="W8" s="665">
        <f t="shared" si="2"/>
        <v>100</v>
      </c>
      <c r="X8" s="666"/>
      <c r="Y8" s="3288" t="s">
        <v>1679</v>
      </c>
      <c r="Z8" s="3289"/>
      <c r="AA8" s="50">
        <f t="shared" ref="AA8:AA19" si="3">D8/F8</f>
        <v>1</v>
      </c>
      <c r="AB8" s="50">
        <f t="shared" ref="AB8:AB19" si="4">D8/H8</f>
        <v>1</v>
      </c>
      <c r="AC8" s="50">
        <f t="shared" ref="AC8:AC19" si="5">D8/J8</f>
        <v>1</v>
      </c>
    </row>
    <row r="9" spans="1:29" s="102" customFormat="1">
      <c r="A9" s="359" t="s">
        <v>1680</v>
      </c>
      <c r="B9" s="60" t="s">
        <v>1681</v>
      </c>
      <c r="C9" s="3177" t="s">
        <v>4828</v>
      </c>
      <c r="D9" s="59">
        <v>100</v>
      </c>
      <c r="E9" s="361" t="s">
        <v>3387</v>
      </c>
      <c r="F9" s="60">
        <f>SUMIF(63:63,E9,64:64)-SUMIF(63:63,C9,64:64)+100</f>
        <v>100</v>
      </c>
      <c r="G9" s="361" t="s">
        <v>3387</v>
      </c>
      <c r="H9" s="59">
        <f>SUMIF(63:63,G9,64:64)-SUMIF(63:63,C9,64:64)+100</f>
        <v>100</v>
      </c>
      <c r="I9" s="361" t="s">
        <v>3387</v>
      </c>
      <c r="J9" s="59">
        <f>SUMIF(63:63,I9,64:64)-SUMIF(63:63,C9,64:64)+100</f>
        <v>100</v>
      </c>
      <c r="K9" s="1746"/>
      <c r="L9" s="2489"/>
      <c r="M9" s="2440"/>
      <c r="N9" s="2440"/>
      <c r="O9" s="2440"/>
      <c r="P9" s="3327" t="s">
        <v>1682</v>
      </c>
      <c r="Q9" s="530" t="str">
        <f t="shared" ref="Q9:Q15" si="6">B9</f>
        <v>用途</v>
      </c>
      <c r="R9" s="664" t="s">
        <v>14</v>
      </c>
      <c r="S9" s="665">
        <f t="shared" si="0"/>
        <v>100</v>
      </c>
      <c r="T9" s="664" t="s">
        <v>14</v>
      </c>
      <c r="U9" s="665">
        <f t="shared" si="1"/>
        <v>100</v>
      </c>
      <c r="V9" s="664" t="s">
        <v>14</v>
      </c>
      <c r="W9" s="665">
        <f t="shared" si="2"/>
        <v>100</v>
      </c>
      <c r="X9" s="666"/>
      <c r="Y9" s="3303" t="s">
        <v>1683</v>
      </c>
      <c r="Z9" s="50" t="str">
        <f t="shared" ref="Z9:Z15" si="7">Q9</f>
        <v>用途</v>
      </c>
      <c r="AA9" s="50">
        <f t="shared" si="3"/>
        <v>1</v>
      </c>
      <c r="AB9" s="50">
        <f t="shared" si="4"/>
        <v>1</v>
      </c>
      <c r="AC9" s="50">
        <f t="shared" si="5"/>
        <v>1</v>
      </c>
    </row>
    <row r="10" spans="1:29" s="366" customFormat="1" ht="27">
      <c r="A10" s="363"/>
      <c r="B10" s="364" t="s">
        <v>1684</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27"/>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75" thickBot="1">
      <c r="A11" s="367"/>
      <c r="B11" s="364" t="s">
        <v>1685</v>
      </c>
      <c r="C11" s="368">
        <v>1.05</v>
      </c>
      <c r="D11" s="119">
        <v>100</v>
      </c>
      <c r="E11" s="369">
        <v>1.05</v>
      </c>
      <c r="F11" s="364">
        <f>LOOKUP(E11,68:68,69:69)-LOOKUP(C11,68:68,69:69)+100</f>
        <v>100</v>
      </c>
      <c r="G11" s="368">
        <v>2.1</v>
      </c>
      <c r="H11" s="119">
        <f>LOOKUP(G11,68:68,69:69)-LOOKUP(C11,68:68,69:69)+100</f>
        <v>96</v>
      </c>
      <c r="I11" s="368">
        <v>2.1</v>
      </c>
      <c r="J11" s="119">
        <f>LOOKUP(I11,68:68,69:69)-LOOKUP(C11,68:68,69:69)+100</f>
        <v>96</v>
      </c>
      <c r="K11" s="365">
        <v>2</v>
      </c>
      <c r="L11" s="2492"/>
      <c r="M11" s="2488"/>
      <c r="N11" s="2488"/>
      <c r="O11" s="2488"/>
      <c r="P11" s="3327"/>
      <c r="Q11" s="530" t="str">
        <f t="shared" si="6"/>
        <v>容积率</v>
      </c>
      <c r="R11" s="664" t="s">
        <v>18</v>
      </c>
      <c r="S11" s="665">
        <f t="shared" si="0"/>
        <v>100</v>
      </c>
      <c r="T11" s="664" t="s">
        <v>18</v>
      </c>
      <c r="U11" s="665">
        <f t="shared" si="1"/>
        <v>96</v>
      </c>
      <c r="V11" s="664" t="s">
        <v>18</v>
      </c>
      <c r="W11" s="665">
        <f t="shared" si="2"/>
        <v>96</v>
      </c>
      <c r="X11" s="666"/>
      <c r="Y11" s="3303"/>
      <c r="Z11" s="50" t="str">
        <f t="shared" si="7"/>
        <v>容积率</v>
      </c>
      <c r="AA11" s="50">
        <f t="shared" si="3"/>
        <v>1</v>
      </c>
      <c r="AB11" s="50">
        <f t="shared" si="4"/>
        <v>1.0416666666666667</v>
      </c>
      <c r="AC11" s="50">
        <f t="shared" si="5"/>
        <v>1.0416666666666667</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27"/>
      <c r="Q12" s="530">
        <f t="shared" si="6"/>
        <v>111</v>
      </c>
      <c r="R12" s="664" t="s">
        <v>18</v>
      </c>
      <c r="S12" s="665">
        <f t="shared" si="0"/>
        <v>100</v>
      </c>
      <c r="T12" s="664" t="s">
        <v>18</v>
      </c>
      <c r="U12" s="665">
        <f t="shared" si="1"/>
        <v>100</v>
      </c>
      <c r="V12" s="664" t="s">
        <v>18</v>
      </c>
      <c r="W12" s="665">
        <f t="shared" si="2"/>
        <v>100</v>
      </c>
      <c r="X12" s="666"/>
      <c r="Y12" s="3303"/>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27"/>
      <c r="Q13" s="530">
        <f t="shared" si="6"/>
        <v>111</v>
      </c>
      <c r="R13" s="664" t="s">
        <v>18</v>
      </c>
      <c r="S13" s="665">
        <f t="shared" si="0"/>
        <v>100</v>
      </c>
      <c r="T13" s="664" t="s">
        <v>18</v>
      </c>
      <c r="U13" s="665">
        <f t="shared" si="1"/>
        <v>100</v>
      </c>
      <c r="V13" s="664" t="s">
        <v>18</v>
      </c>
      <c r="W13" s="665">
        <f t="shared" si="2"/>
        <v>100</v>
      </c>
      <c r="X13" s="666"/>
      <c r="Y13" s="3303"/>
      <c r="Z13" s="50">
        <f t="shared" si="7"/>
        <v>111</v>
      </c>
      <c r="AA13" s="50">
        <f t="shared" si="3"/>
        <v>1</v>
      </c>
      <c r="AB13" s="50">
        <f t="shared" si="4"/>
        <v>1</v>
      </c>
      <c r="AC13" s="50">
        <f t="shared" si="5"/>
        <v>1</v>
      </c>
    </row>
    <row r="14" spans="1:29" ht="15.75" hidden="1"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27"/>
      <c r="Q14" s="530">
        <f t="shared" si="6"/>
        <v>111</v>
      </c>
      <c r="R14" s="664" t="s">
        <v>18</v>
      </c>
      <c r="S14" s="665">
        <f t="shared" si="0"/>
        <v>100</v>
      </c>
      <c r="T14" s="664" t="s">
        <v>18</v>
      </c>
      <c r="U14" s="665">
        <f t="shared" si="1"/>
        <v>100</v>
      </c>
      <c r="V14" s="664" t="s">
        <v>18</v>
      </c>
      <c r="W14" s="665">
        <f t="shared" si="2"/>
        <v>100</v>
      </c>
      <c r="X14" s="666"/>
      <c r="Y14" s="3303"/>
      <c r="Z14" s="50">
        <f t="shared" si="7"/>
        <v>111</v>
      </c>
      <c r="AA14" s="50">
        <f t="shared" si="3"/>
        <v>1</v>
      </c>
      <c r="AB14" s="50">
        <f t="shared" si="4"/>
        <v>1</v>
      </c>
      <c r="AC14" s="50">
        <f t="shared" si="5"/>
        <v>1</v>
      </c>
    </row>
    <row r="15" spans="1:29" ht="15">
      <c r="A15" s="379" t="s">
        <v>1686</v>
      </c>
      <c r="B15" s="58" t="s">
        <v>1253</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93"/>
      <c r="M15" s="2488"/>
      <c r="N15" s="2488"/>
      <c r="O15" s="2488"/>
      <c r="P15" s="3431" t="s">
        <v>1687</v>
      </c>
      <c r="Q15" s="1263" t="str">
        <f t="shared" si="6"/>
        <v>居住社区成熟度</v>
      </c>
      <c r="R15" s="667" t="s">
        <v>18</v>
      </c>
      <c r="S15" s="668">
        <f t="shared" si="0"/>
        <v>100</v>
      </c>
      <c r="T15" s="667" t="s">
        <v>18</v>
      </c>
      <c r="U15" s="668">
        <f t="shared" si="1"/>
        <v>100</v>
      </c>
      <c r="V15" s="667" t="s">
        <v>18</v>
      </c>
      <c r="W15" s="668">
        <f t="shared" si="2"/>
        <v>100</v>
      </c>
      <c r="X15" s="1265"/>
      <c r="Y15" s="3318" t="s">
        <v>1687</v>
      </c>
      <c r="Z15" s="1264" t="str">
        <f t="shared" si="7"/>
        <v>居住社区成熟度</v>
      </c>
      <c r="AA15" s="1264">
        <f t="shared" si="3"/>
        <v>1</v>
      </c>
      <c r="AB15" s="1264">
        <f t="shared" si="4"/>
        <v>1</v>
      </c>
      <c r="AC15" s="1264">
        <f t="shared" si="5"/>
        <v>1</v>
      </c>
    </row>
    <row r="16" spans="1:29" ht="15">
      <c r="A16" s="367"/>
      <c r="B16" s="385"/>
      <c r="C16" s="386" t="s">
        <v>4801</v>
      </c>
      <c r="D16" s="387"/>
      <c r="E16" s="1751" t="s">
        <v>4801</v>
      </c>
      <c r="F16" s="387"/>
      <c r="G16" s="1751" t="s">
        <v>4801</v>
      </c>
      <c r="H16" s="389"/>
      <c r="I16" s="1751" t="s">
        <v>4801</v>
      </c>
      <c r="J16" s="387"/>
      <c r="K16" s="1753"/>
      <c r="L16" s="2493"/>
      <c r="M16" s="2488"/>
      <c r="N16" s="2488"/>
      <c r="O16" s="2488"/>
      <c r="P16" s="3432"/>
      <c r="Q16" s="1263"/>
      <c r="R16" s="667"/>
      <c r="S16" s="668"/>
      <c r="T16" s="667"/>
      <c r="U16" s="668"/>
      <c r="V16" s="667"/>
      <c r="W16" s="668"/>
      <c r="X16" s="1265"/>
      <c r="Y16" s="3319"/>
      <c r="Z16" s="1264"/>
      <c r="AA16" s="1264">
        <v>1</v>
      </c>
      <c r="AB16" s="1264">
        <v>1</v>
      </c>
      <c r="AC16" s="1264">
        <v>1</v>
      </c>
    </row>
    <row r="17" spans="1:29" ht="15">
      <c r="A17" s="367"/>
      <c r="B17" s="390" t="s">
        <v>1255</v>
      </c>
      <c r="C17" s="1754">
        <f>估价对象房地状况!C6</f>
        <v>0</v>
      </c>
      <c r="D17" s="389">
        <v>100</v>
      </c>
      <c r="E17" s="393"/>
      <c r="F17" s="389">
        <f>SUMIF(78:78,E18,79:79)-SUMIF(78:78,C18,79:79)+100</f>
        <v>100</v>
      </c>
      <c r="G17" s="393"/>
      <c r="H17" s="394">
        <f>SUMIF(78:78,G18,79:79)-SUMIF(78:78,C18,79:79)+100</f>
        <v>100</v>
      </c>
      <c r="I17" s="393"/>
      <c r="J17" s="394">
        <f>SUMIF(78:78,I18,79:79)-SUMIF(78:78,C18,79:79)+100</f>
        <v>100</v>
      </c>
      <c r="K17" s="384">
        <v>3</v>
      </c>
      <c r="L17" s="2493"/>
      <c r="M17" s="2488"/>
      <c r="N17" s="2488"/>
      <c r="O17" s="2488"/>
      <c r="P17" s="3432"/>
      <c r="Q17" s="1263" t="str">
        <f>B17</f>
        <v>交通便捷度</v>
      </c>
      <c r="R17" s="667" t="s">
        <v>18</v>
      </c>
      <c r="S17" s="668">
        <f>F17</f>
        <v>100</v>
      </c>
      <c r="T17" s="667" t="s">
        <v>18</v>
      </c>
      <c r="U17" s="668">
        <f>H17</f>
        <v>100</v>
      </c>
      <c r="V17" s="667" t="s">
        <v>18</v>
      </c>
      <c r="W17" s="668">
        <f>J17</f>
        <v>100</v>
      </c>
      <c r="X17" s="1265"/>
      <c r="Y17" s="3319"/>
      <c r="Z17" s="1264" t="str">
        <f>Q17</f>
        <v>交通便捷度</v>
      </c>
      <c r="AA17" s="1264">
        <f t="shared" si="3"/>
        <v>1</v>
      </c>
      <c r="AB17" s="1264">
        <f t="shared" si="4"/>
        <v>1</v>
      </c>
      <c r="AC17" s="1264">
        <f t="shared" si="5"/>
        <v>1</v>
      </c>
    </row>
    <row r="18" spans="1:29" ht="15">
      <c r="A18" s="367"/>
      <c r="B18" s="395"/>
      <c r="C18" s="1755" t="s">
        <v>4801</v>
      </c>
      <c r="D18" s="389"/>
      <c r="E18" s="1756" t="s">
        <v>4801</v>
      </c>
      <c r="F18" s="389"/>
      <c r="G18" s="1756" t="s">
        <v>4801</v>
      </c>
      <c r="H18" s="387"/>
      <c r="I18" s="1756" t="s">
        <v>4801</v>
      </c>
      <c r="J18" s="387"/>
      <c r="K18" s="1753"/>
      <c r="L18" s="2493"/>
      <c r="M18" s="2488"/>
      <c r="N18" s="2488"/>
      <c r="O18" s="2488"/>
      <c r="P18" s="3432"/>
      <c r="Q18" s="1263"/>
      <c r="R18" s="667"/>
      <c r="S18" s="668"/>
      <c r="T18" s="667"/>
      <c r="U18" s="668"/>
      <c r="V18" s="667"/>
      <c r="W18" s="668"/>
      <c r="X18" s="1265"/>
      <c r="Y18" s="3319"/>
      <c r="Z18" s="1264"/>
      <c r="AA18" s="1264">
        <v>1</v>
      </c>
      <c r="AB18" s="1264">
        <v>1</v>
      </c>
      <c r="AC18" s="1264">
        <v>1</v>
      </c>
    </row>
    <row r="19" spans="1:29" ht="15">
      <c r="A19" s="367"/>
      <c r="B19" s="390" t="s">
        <v>1254</v>
      </c>
      <c r="C19" s="1754">
        <f>估价对象房地状况!C7</f>
        <v>0</v>
      </c>
      <c r="D19" s="394">
        <v>100</v>
      </c>
      <c r="E19" s="398"/>
      <c r="F19" s="394">
        <f>SUMIF(80:80,E20,81:81)-SUMIF(80:80,C20,81:81)+100</f>
        <v>100</v>
      </c>
      <c r="G19" s="398"/>
      <c r="H19" s="389">
        <f>SUMIF(80:80,G20,81:81)-SUMIF(80:80,C20,81:81)+100</f>
        <v>100</v>
      </c>
      <c r="I19" s="398"/>
      <c r="J19" s="389">
        <f>SUMIF(80:80,I20,81:81)-SUMIF(80:80,C20,81:81)+100</f>
        <v>100</v>
      </c>
      <c r="K19" s="384">
        <v>3</v>
      </c>
      <c r="L19" s="2493"/>
      <c r="M19" s="2488"/>
      <c r="N19" s="2488"/>
      <c r="O19" s="2488"/>
      <c r="P19" s="3432"/>
      <c r="Q19" s="1263" t="str">
        <f>B19</f>
        <v>公共配套设施</v>
      </c>
      <c r="R19" s="667" t="s">
        <v>18</v>
      </c>
      <c r="S19" s="668">
        <f>F19</f>
        <v>100</v>
      </c>
      <c r="T19" s="667" t="s">
        <v>18</v>
      </c>
      <c r="U19" s="668">
        <f>H19</f>
        <v>100</v>
      </c>
      <c r="V19" s="667" t="s">
        <v>18</v>
      </c>
      <c r="W19" s="668">
        <f>J19</f>
        <v>100</v>
      </c>
      <c r="X19" s="1265"/>
      <c r="Y19" s="3319"/>
      <c r="Z19" s="1264" t="str">
        <f>Q19</f>
        <v>公共配套设施</v>
      </c>
      <c r="AA19" s="1264">
        <f t="shared" si="3"/>
        <v>1</v>
      </c>
      <c r="AB19" s="1264">
        <f t="shared" si="4"/>
        <v>1</v>
      </c>
      <c r="AC19" s="1264">
        <f t="shared" si="5"/>
        <v>1</v>
      </c>
    </row>
    <row r="20" spans="1:29" ht="15">
      <c r="A20" s="367"/>
      <c r="B20" s="395"/>
      <c r="C20" s="386" t="s">
        <v>4797</v>
      </c>
      <c r="D20" s="387"/>
      <c r="E20" s="1751" t="s">
        <v>4797</v>
      </c>
      <c r="F20" s="387"/>
      <c r="G20" s="1751" t="s">
        <v>4797</v>
      </c>
      <c r="H20" s="387"/>
      <c r="I20" s="1751" t="s">
        <v>4797</v>
      </c>
      <c r="J20" s="387"/>
      <c r="K20" s="1753"/>
      <c r="L20" s="2493"/>
      <c r="M20" s="2488"/>
      <c r="N20" s="2488"/>
      <c r="O20" s="2488"/>
      <c r="P20" s="3432"/>
      <c r="Q20" s="1263"/>
      <c r="R20" s="667"/>
      <c r="S20" s="668"/>
      <c r="T20" s="667"/>
      <c r="U20" s="668"/>
      <c r="V20" s="667"/>
      <c r="W20" s="668"/>
      <c r="X20" s="1265"/>
      <c r="Y20" s="3319"/>
      <c r="Z20" s="1264"/>
      <c r="AA20" s="1264">
        <v>1</v>
      </c>
      <c r="AB20" s="1264">
        <v>1</v>
      </c>
      <c r="AC20" s="1264">
        <v>1</v>
      </c>
    </row>
    <row r="21" spans="1:29" ht="15">
      <c r="A21" s="367"/>
      <c r="B21" s="586" t="s">
        <v>1256</v>
      </c>
      <c r="C21" s="1754">
        <f>估价对象房地状况!C8</f>
        <v>0</v>
      </c>
      <c r="D21" s="389">
        <v>100</v>
      </c>
      <c r="E21" s="398"/>
      <c r="F21" s="394">
        <f>SUMIF(82:82,E22,83:83)-SUMIF(82:82,C22,83:83)+100</f>
        <v>100</v>
      </c>
      <c r="G21" s="398"/>
      <c r="H21" s="389">
        <f>SUMIF(82:82,G22,83:83)-SUMIF(82:82,C22,83:83)+100</f>
        <v>100</v>
      </c>
      <c r="I21" s="398"/>
      <c r="J21" s="389">
        <f>SUMIF(82:82,I22,83:83)-SUMIF(82:82,C22,83:83)+100</f>
        <v>100</v>
      </c>
      <c r="K21" s="384">
        <v>2</v>
      </c>
      <c r="L21" s="2493"/>
      <c r="M21" s="2488"/>
      <c r="N21" s="2488"/>
      <c r="O21" s="2488"/>
      <c r="P21" s="3432"/>
      <c r="Q21" s="1263" t="str">
        <f>B21</f>
        <v>基础设施水平</v>
      </c>
      <c r="R21" s="667" t="s">
        <v>14</v>
      </c>
      <c r="S21" s="668">
        <f>F21</f>
        <v>100</v>
      </c>
      <c r="T21" s="667" t="s">
        <v>14</v>
      </c>
      <c r="U21" s="668">
        <f>H21</f>
        <v>100</v>
      </c>
      <c r="V21" s="667" t="s">
        <v>14</v>
      </c>
      <c r="W21" s="668">
        <f>J21</f>
        <v>100</v>
      </c>
      <c r="X21" s="1265"/>
      <c r="Y21" s="3319"/>
      <c r="Z21" s="1264" t="str">
        <f>Q21</f>
        <v>基础设施水平</v>
      </c>
      <c r="AA21" s="1264">
        <f t="shared" ref="AA21" si="8">D21/F21</f>
        <v>1</v>
      </c>
      <c r="AB21" s="1264">
        <f t="shared" ref="AB21" si="9">D21/H21</f>
        <v>1</v>
      </c>
      <c r="AC21" s="1264">
        <f t="shared" ref="AC21" si="10">D21/J21</f>
        <v>1</v>
      </c>
    </row>
    <row r="22" spans="1:29" ht="15">
      <c r="A22" s="367"/>
      <c r="B22" s="586"/>
      <c r="C22" s="1755" t="s">
        <v>4798</v>
      </c>
      <c r="D22" s="387"/>
      <c r="E22" s="386" t="s">
        <v>4798</v>
      </c>
      <c r="F22" s="387"/>
      <c r="G22" s="386" t="s">
        <v>4798</v>
      </c>
      <c r="H22" s="387"/>
      <c r="I22" s="386" t="s">
        <v>4798</v>
      </c>
      <c r="J22" s="387"/>
      <c r="K22" s="1759"/>
      <c r="L22" s="2493"/>
      <c r="M22" s="2488"/>
      <c r="N22" s="2488"/>
      <c r="O22" s="2488"/>
      <c r="P22" s="3432"/>
      <c r="Q22" s="1263"/>
      <c r="R22" s="667"/>
      <c r="S22" s="668"/>
      <c r="T22" s="667"/>
      <c r="U22" s="668"/>
      <c r="V22" s="667"/>
      <c r="W22" s="668"/>
      <c r="X22" s="1265"/>
      <c r="Y22" s="3319"/>
      <c r="Z22" s="1264"/>
      <c r="AA22" s="1264">
        <v>1</v>
      </c>
      <c r="AB22" s="1264">
        <v>1</v>
      </c>
      <c r="AC22" s="1264">
        <v>1</v>
      </c>
    </row>
    <row r="23" spans="1:29" ht="15">
      <c r="A23" s="367"/>
      <c r="B23" s="390" t="s">
        <v>1257</v>
      </c>
      <c r="C23" s="1754">
        <f>估价对象房地状况!C9</f>
        <v>0</v>
      </c>
      <c r="D23" s="389">
        <v>100</v>
      </c>
      <c r="E23" s="393"/>
      <c r="F23" s="389">
        <f>SUMIF(84:84,E24,85:85)-SUMIF(84:84,C24,85:85)+100</f>
        <v>100</v>
      </c>
      <c r="G23" s="393"/>
      <c r="H23" s="389">
        <f>SUMIF(84:84,G24,85:85)-SUMIF(84:84,C24,85:85)+100</f>
        <v>100</v>
      </c>
      <c r="I23" s="393"/>
      <c r="J23" s="389">
        <f>SUMIF(84:84,I24,85:85)-SUMIF(84:84,C24,85:85)+100</f>
        <v>100</v>
      </c>
      <c r="K23" s="384">
        <v>3</v>
      </c>
      <c r="L23" s="2493"/>
      <c r="M23" s="2488"/>
      <c r="N23" s="2488"/>
      <c r="O23" s="2488"/>
      <c r="P23" s="3432"/>
      <c r="Q23" s="1263" t="str">
        <f>B23</f>
        <v>自然及人文环境</v>
      </c>
      <c r="R23" s="667" t="s">
        <v>18</v>
      </c>
      <c r="S23" s="668">
        <f>F23</f>
        <v>100</v>
      </c>
      <c r="T23" s="667" t="s">
        <v>18</v>
      </c>
      <c r="U23" s="668">
        <f>H23</f>
        <v>100</v>
      </c>
      <c r="V23" s="667" t="s">
        <v>18</v>
      </c>
      <c r="W23" s="668">
        <f>J23</f>
        <v>100</v>
      </c>
      <c r="X23" s="1265"/>
      <c r="Y23" s="3319"/>
      <c r="Z23" s="1264" t="str">
        <f>Q23</f>
        <v>自然及人文环境</v>
      </c>
      <c r="AA23" s="1264">
        <f>D23/F23</f>
        <v>1</v>
      </c>
      <c r="AB23" s="1264">
        <f>D23/H23</f>
        <v>1</v>
      </c>
      <c r="AC23" s="1264">
        <f>D23/J23</f>
        <v>1</v>
      </c>
    </row>
    <row r="24" spans="1:29" ht="15.75" thickBot="1">
      <c r="A24" s="367"/>
      <c r="B24" s="395"/>
      <c r="C24" s="386" t="s">
        <v>4797</v>
      </c>
      <c r="D24" s="387"/>
      <c r="E24" s="1751" t="s">
        <v>4797</v>
      </c>
      <c r="F24" s="387"/>
      <c r="G24" s="1751" t="s">
        <v>4797</v>
      </c>
      <c r="H24" s="387"/>
      <c r="I24" s="1751" t="s">
        <v>4797</v>
      </c>
      <c r="J24" s="387"/>
      <c r="K24" s="1753"/>
      <c r="L24" s="2493"/>
      <c r="M24" s="2488"/>
      <c r="N24" s="2488"/>
      <c r="O24" s="2488"/>
      <c r="P24" s="3432"/>
      <c r="Q24" s="1263"/>
      <c r="R24" s="667"/>
      <c r="S24" s="668"/>
      <c r="T24" s="667"/>
      <c r="U24" s="668"/>
      <c r="V24" s="667"/>
      <c r="W24" s="668"/>
      <c r="X24" s="1265"/>
      <c r="Y24" s="3319"/>
      <c r="Z24" s="1264"/>
      <c r="AA24" s="1264">
        <v>1</v>
      </c>
      <c r="AB24" s="1264">
        <v>1</v>
      </c>
      <c r="AC24" s="1264">
        <v>1</v>
      </c>
    </row>
    <row r="25" spans="1:29" ht="15" hidden="1">
      <c r="A25" s="367"/>
      <c r="B25" s="364" t="s">
        <v>1688</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3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19"/>
      <c r="Z25" s="1264" t="str">
        <f>Q25</f>
        <v>楼层-1</v>
      </c>
      <c r="AA25" s="1264">
        <f t="shared" ref="AA25:AA46" si="15">D25/F25</f>
        <v>1</v>
      </c>
      <c r="AB25" s="1264">
        <f t="shared" ref="AB25:AB46" si="16">D25/H25</f>
        <v>1</v>
      </c>
      <c r="AC25" s="1264">
        <f t="shared" ref="AC25:AC46" si="17">D25/J25</f>
        <v>1</v>
      </c>
    </row>
    <row r="26" spans="1:29" ht="15" hidden="1">
      <c r="A26" s="367"/>
      <c r="B26" s="364" t="s">
        <v>1689</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32"/>
      <c r="Q26" s="1263" t="str">
        <f t="shared" si="11"/>
        <v>朝向</v>
      </c>
      <c r="R26" s="667" t="s">
        <v>18</v>
      </c>
      <c r="S26" s="668">
        <f t="shared" si="12"/>
        <v>100</v>
      </c>
      <c r="T26" s="667" t="s">
        <v>18</v>
      </c>
      <c r="U26" s="668">
        <f t="shared" si="13"/>
        <v>100</v>
      </c>
      <c r="V26" s="667" t="s">
        <v>18</v>
      </c>
      <c r="W26" s="668">
        <f t="shared" si="14"/>
        <v>100</v>
      </c>
      <c r="X26" s="1265"/>
      <c r="Y26" s="3319"/>
      <c r="Z26" s="1264" t="str">
        <f>Q26</f>
        <v>朝向</v>
      </c>
      <c r="AA26" s="1264">
        <f t="shared" si="15"/>
        <v>1</v>
      </c>
      <c r="AB26" s="1264">
        <f t="shared" si="16"/>
        <v>1</v>
      </c>
      <c r="AC26" s="1264">
        <f t="shared" si="17"/>
        <v>1</v>
      </c>
    </row>
    <row r="27" spans="1:29" s="102" customFormat="1" ht="15" hidden="1">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32"/>
      <c r="Q27" s="530">
        <f t="shared" si="11"/>
        <v>111</v>
      </c>
      <c r="R27" s="664" t="s">
        <v>18</v>
      </c>
      <c r="S27" s="665">
        <f t="shared" si="12"/>
        <v>100</v>
      </c>
      <c r="T27" s="664" t="s">
        <v>18</v>
      </c>
      <c r="U27" s="665">
        <f t="shared" si="13"/>
        <v>100</v>
      </c>
      <c r="V27" s="664" t="s">
        <v>18</v>
      </c>
      <c r="W27" s="665">
        <f t="shared" si="14"/>
        <v>100</v>
      </c>
      <c r="X27" s="666"/>
      <c r="Y27" s="3319"/>
      <c r="Z27" s="50">
        <f>Q27</f>
        <v>111</v>
      </c>
      <c r="AA27" s="1264">
        <f t="shared" si="15"/>
        <v>1</v>
      </c>
      <c r="AB27" s="1264">
        <f t="shared" si="16"/>
        <v>1</v>
      </c>
      <c r="AC27" s="1264">
        <f t="shared" si="17"/>
        <v>1</v>
      </c>
    </row>
    <row r="28" spans="1:29" ht="15" hidden="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32"/>
      <c r="Q28" s="1263">
        <f t="shared" si="11"/>
        <v>111</v>
      </c>
      <c r="R28" s="667" t="s">
        <v>18</v>
      </c>
      <c r="S28" s="668">
        <f t="shared" si="12"/>
        <v>100</v>
      </c>
      <c r="T28" s="667" t="s">
        <v>18</v>
      </c>
      <c r="U28" s="668">
        <f t="shared" si="13"/>
        <v>100</v>
      </c>
      <c r="V28" s="667" t="s">
        <v>18</v>
      </c>
      <c r="W28" s="668">
        <f t="shared" si="14"/>
        <v>100</v>
      </c>
      <c r="X28" s="1265"/>
      <c r="Y28" s="3319"/>
      <c r="Z28" s="1264">
        <f t="shared" ref="Z28:Z46" si="18">Q28</f>
        <v>111</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32"/>
      <c r="Q29" s="1263">
        <f t="shared" si="11"/>
        <v>111</v>
      </c>
      <c r="R29" s="667" t="s">
        <v>18</v>
      </c>
      <c r="S29" s="668">
        <f t="shared" si="12"/>
        <v>100</v>
      </c>
      <c r="T29" s="667" t="s">
        <v>18</v>
      </c>
      <c r="U29" s="668">
        <f t="shared" si="13"/>
        <v>100</v>
      </c>
      <c r="V29" s="667" t="s">
        <v>18</v>
      </c>
      <c r="W29" s="668">
        <f t="shared" si="14"/>
        <v>100</v>
      </c>
      <c r="X29" s="1265"/>
      <c r="Y29" s="3319"/>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32"/>
      <c r="Q30" s="1263">
        <f t="shared" si="11"/>
        <v>111</v>
      </c>
      <c r="R30" s="667" t="s">
        <v>18</v>
      </c>
      <c r="S30" s="668">
        <f t="shared" si="12"/>
        <v>100</v>
      </c>
      <c r="T30" s="667" t="s">
        <v>18</v>
      </c>
      <c r="U30" s="668">
        <f t="shared" si="13"/>
        <v>100</v>
      </c>
      <c r="V30" s="667" t="s">
        <v>18</v>
      </c>
      <c r="W30" s="668">
        <f t="shared" si="14"/>
        <v>100</v>
      </c>
      <c r="X30" s="1265"/>
      <c r="Y30" s="3319"/>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32"/>
      <c r="Q31" s="1263">
        <f t="shared" si="11"/>
        <v>111</v>
      </c>
      <c r="R31" s="667" t="s">
        <v>18</v>
      </c>
      <c r="S31" s="668">
        <f t="shared" si="12"/>
        <v>100</v>
      </c>
      <c r="T31" s="667" t="s">
        <v>18</v>
      </c>
      <c r="U31" s="668">
        <f t="shared" si="13"/>
        <v>100</v>
      </c>
      <c r="V31" s="667" t="s">
        <v>18</v>
      </c>
      <c r="W31" s="668">
        <f t="shared" si="14"/>
        <v>100</v>
      </c>
      <c r="X31" s="1265"/>
      <c r="Y31" s="3319"/>
      <c r="Z31" s="1264">
        <f t="shared" si="18"/>
        <v>111</v>
      </c>
      <c r="AA31" s="1264">
        <f t="shared" si="15"/>
        <v>1</v>
      </c>
      <c r="AB31" s="1264">
        <f t="shared" si="16"/>
        <v>1</v>
      </c>
      <c r="AC31" s="1264">
        <f t="shared" si="17"/>
        <v>1</v>
      </c>
    </row>
    <row r="32" spans="1:29" ht="15">
      <c r="A32" s="379" t="s">
        <v>1690</v>
      </c>
      <c r="B32" s="60" t="s">
        <v>1691</v>
      </c>
      <c r="C32" s="1765" t="s">
        <v>4824</v>
      </c>
      <c r="D32" s="405">
        <v>100</v>
      </c>
      <c r="E32" s="1765" t="s">
        <v>4824</v>
      </c>
      <c r="F32" s="400">
        <f>SUMIF(100:100,E32,101:101)-SUMIF(100:100,C32,101:101)+100</f>
        <v>100</v>
      </c>
      <c r="G32" s="1764" t="s">
        <v>4826</v>
      </c>
      <c r="H32" s="405">
        <f>SUMIF(100:100,G32,101:101)-SUMIF(100:100,C32,101:101)+100</f>
        <v>95</v>
      </c>
      <c r="I32" s="1765" t="s">
        <v>4826</v>
      </c>
      <c r="J32" s="374">
        <f>SUMIF(100:100,I32,101:101)-SUMIF(100:100,C32,101:101)+100</f>
        <v>95</v>
      </c>
      <c r="K32" s="365">
        <v>5</v>
      </c>
      <c r="L32" s="2493"/>
      <c r="M32" s="2488"/>
      <c r="N32" s="2488"/>
      <c r="O32" s="2488"/>
      <c r="P32" s="3427" t="s">
        <v>1692</v>
      </c>
      <c r="Q32" s="1263" t="str">
        <f t="shared" si="11"/>
        <v>建筑类型</v>
      </c>
      <c r="R32" s="667" t="s">
        <v>18</v>
      </c>
      <c r="S32" s="668">
        <f t="shared" si="12"/>
        <v>100</v>
      </c>
      <c r="T32" s="667" t="s">
        <v>18</v>
      </c>
      <c r="U32" s="668">
        <f t="shared" si="13"/>
        <v>95</v>
      </c>
      <c r="V32" s="667" t="s">
        <v>18</v>
      </c>
      <c r="W32" s="668">
        <f t="shared" si="14"/>
        <v>95</v>
      </c>
      <c r="X32" s="1265"/>
      <c r="Y32" s="3321" t="s">
        <v>1692</v>
      </c>
      <c r="Z32" s="1264" t="str">
        <f t="shared" si="18"/>
        <v>建筑类型</v>
      </c>
      <c r="AA32" s="1264">
        <f t="shared" si="15"/>
        <v>1</v>
      </c>
      <c r="AB32" s="1264">
        <f t="shared" si="16"/>
        <v>1.0526315789473684</v>
      </c>
      <c r="AC32" s="1264">
        <f t="shared" si="17"/>
        <v>1.0526315789473684</v>
      </c>
    </row>
    <row r="33" spans="1:29" s="408" customFormat="1" ht="15">
      <c r="A33" s="406"/>
      <c r="B33" s="364" t="s">
        <v>1693</v>
      </c>
      <c r="C33" s="407">
        <v>272.99</v>
      </c>
      <c r="D33" s="119">
        <v>100</v>
      </c>
      <c r="E33" s="369">
        <f>ROUND(3178/14,2)</f>
        <v>227</v>
      </c>
      <c r="F33" s="364">
        <f>LOOKUP(E33,103:103,104:104)-LOOKUP(C33,103:103,104:104)+100</f>
        <v>100</v>
      </c>
      <c r="G33" s="368">
        <f>ROUND(87139/664,2)</f>
        <v>131.22999999999999</v>
      </c>
      <c r="H33" s="119">
        <f>LOOKUP(G33,103:103,104:104)-LOOKUP(C33,103:103,104:104)+100</f>
        <v>101</v>
      </c>
      <c r="I33" s="369">
        <f>ROUND(61723/386,2)</f>
        <v>159.9</v>
      </c>
      <c r="J33" s="119">
        <f>LOOKUP(I33,103:103,104:104)-LOOKUP(C33,103:103,104:104)+100</f>
        <v>101</v>
      </c>
      <c r="K33" s="1748"/>
      <c r="L33" s="2492"/>
      <c r="M33" s="2494"/>
      <c r="N33" s="2494"/>
      <c r="O33" s="2494"/>
      <c r="P33" s="3428"/>
      <c r="Q33" s="531" t="str">
        <f t="shared" si="11"/>
        <v>项目建筑规模</v>
      </c>
      <c r="R33" s="669" t="s">
        <v>18</v>
      </c>
      <c r="S33" s="670">
        <f t="shared" si="12"/>
        <v>100</v>
      </c>
      <c r="T33" s="669" t="s">
        <v>18</v>
      </c>
      <c r="U33" s="670">
        <f t="shared" si="13"/>
        <v>101</v>
      </c>
      <c r="V33" s="669" t="s">
        <v>18</v>
      </c>
      <c r="W33" s="670">
        <f t="shared" si="14"/>
        <v>101</v>
      </c>
      <c r="X33" s="671"/>
      <c r="Y33" s="3321"/>
      <c r="Z33" s="672" t="str">
        <f t="shared" si="18"/>
        <v>项目建筑规模</v>
      </c>
      <c r="AA33" s="1264">
        <f t="shared" si="15"/>
        <v>1</v>
      </c>
      <c r="AB33" s="1264">
        <f t="shared" si="16"/>
        <v>0.99009900990099009</v>
      </c>
      <c r="AC33" s="1264">
        <f t="shared" si="17"/>
        <v>0.99009900990099009</v>
      </c>
    </row>
    <row r="34" spans="1:29" ht="15">
      <c r="A34" s="409"/>
      <c r="B34" s="364" t="s">
        <v>1694</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v>2</v>
      </c>
      <c r="L34" s="2493"/>
      <c r="M34" s="2488"/>
      <c r="N34" s="2488"/>
      <c r="O34" s="2488"/>
      <c r="P34" s="3428"/>
      <c r="Q34" s="1263" t="str">
        <f t="shared" si="11"/>
        <v>建筑结构</v>
      </c>
      <c r="R34" s="667" t="s">
        <v>18</v>
      </c>
      <c r="S34" s="668">
        <f t="shared" si="12"/>
        <v>100</v>
      </c>
      <c r="T34" s="667" t="s">
        <v>18</v>
      </c>
      <c r="U34" s="668">
        <f t="shared" si="13"/>
        <v>100</v>
      </c>
      <c r="V34" s="667" t="s">
        <v>18</v>
      </c>
      <c r="W34" s="668">
        <f t="shared" si="14"/>
        <v>100</v>
      </c>
      <c r="X34" s="1265"/>
      <c r="Y34" s="3321"/>
      <c r="Z34" s="1264" t="str">
        <f t="shared" si="18"/>
        <v>建筑结构</v>
      </c>
      <c r="AA34" s="1264">
        <f t="shared" si="15"/>
        <v>1</v>
      </c>
      <c r="AB34" s="1264">
        <f t="shared" si="16"/>
        <v>1</v>
      </c>
      <c r="AC34" s="1264">
        <f t="shared" si="17"/>
        <v>1</v>
      </c>
    </row>
    <row r="35" spans="1:29" ht="15">
      <c r="A35" s="409"/>
      <c r="B35" s="364" t="s">
        <v>1695</v>
      </c>
      <c r="C35" s="1760" t="s">
        <v>4825</v>
      </c>
      <c r="D35" s="374">
        <v>100</v>
      </c>
      <c r="E35" s="1761" t="s">
        <v>4825</v>
      </c>
      <c r="F35" s="400">
        <f>SUMIF(107:107,E35,108:108)-SUMIF(107:107,C35,108:108)+100</f>
        <v>100</v>
      </c>
      <c r="G35" s="1760" t="s">
        <v>4827</v>
      </c>
      <c r="H35" s="374">
        <f>SUMIF(107:107,G35,108:108)-SUMIF(107:107,C35,108:108)+100</f>
        <v>95</v>
      </c>
      <c r="I35" s="1761" t="s">
        <v>4827</v>
      </c>
      <c r="J35" s="374">
        <f>SUMIF(107:107,I35,108:108)-SUMIF(107:107,C35,108:108)+100</f>
        <v>95</v>
      </c>
      <c r="K35" s="365">
        <v>5</v>
      </c>
      <c r="L35" s="2493"/>
      <c r="M35" s="2488"/>
      <c r="N35" s="2488"/>
      <c r="O35" s="2488"/>
      <c r="P35" s="3428"/>
      <c r="Q35" s="1263" t="str">
        <f t="shared" si="11"/>
        <v>建筑品质</v>
      </c>
      <c r="R35" s="667" t="s">
        <v>18</v>
      </c>
      <c r="S35" s="668">
        <f t="shared" si="12"/>
        <v>100</v>
      </c>
      <c r="T35" s="667" t="s">
        <v>18</v>
      </c>
      <c r="U35" s="668">
        <f t="shared" si="13"/>
        <v>95</v>
      </c>
      <c r="V35" s="667" t="s">
        <v>18</v>
      </c>
      <c r="W35" s="668">
        <f t="shared" si="14"/>
        <v>95</v>
      </c>
      <c r="X35" s="1265"/>
      <c r="Y35" s="3321"/>
      <c r="Z35" s="1264" t="str">
        <f t="shared" si="18"/>
        <v>建筑品质</v>
      </c>
      <c r="AA35" s="1264">
        <f t="shared" si="15"/>
        <v>1</v>
      </c>
      <c r="AB35" s="1264">
        <f t="shared" si="16"/>
        <v>1.0526315789473684</v>
      </c>
      <c r="AC35" s="1264">
        <f t="shared" si="17"/>
        <v>1.0526315789473684</v>
      </c>
    </row>
    <row r="36" spans="1:29" ht="15">
      <c r="A36" s="409"/>
      <c r="B36" s="364" t="s">
        <v>1696</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v>2</v>
      </c>
      <c r="L36" s="2493"/>
      <c r="M36" s="2488"/>
      <c r="N36" s="2488"/>
      <c r="O36" s="2488"/>
      <c r="P36" s="3428"/>
      <c r="Q36" s="1263" t="str">
        <f t="shared" si="11"/>
        <v>公共部分装修</v>
      </c>
      <c r="R36" s="667" t="s">
        <v>18</v>
      </c>
      <c r="S36" s="668">
        <f t="shared" si="12"/>
        <v>100</v>
      </c>
      <c r="T36" s="667" t="s">
        <v>18</v>
      </c>
      <c r="U36" s="668">
        <f t="shared" si="13"/>
        <v>100</v>
      </c>
      <c r="V36" s="667" t="s">
        <v>18</v>
      </c>
      <c r="W36" s="668">
        <f t="shared" si="14"/>
        <v>100</v>
      </c>
      <c r="X36" s="1265"/>
      <c r="Y36" s="3321"/>
      <c r="Z36" s="1264" t="str">
        <f t="shared" si="18"/>
        <v>公共部分装修</v>
      </c>
      <c r="AA36" s="1264">
        <f t="shared" si="15"/>
        <v>1</v>
      </c>
      <c r="AB36" s="1264">
        <f t="shared" si="16"/>
        <v>1</v>
      </c>
      <c r="AC36" s="1264">
        <f t="shared" si="17"/>
        <v>1</v>
      </c>
    </row>
    <row r="37" spans="1:29" s="102" customFormat="1" ht="15">
      <c r="A37" s="410"/>
      <c r="B37" s="364" t="s">
        <v>1697</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v>2</v>
      </c>
      <c r="L37" s="2489"/>
      <c r="M37" s="2440"/>
      <c r="N37" s="2440"/>
      <c r="O37" s="2440"/>
      <c r="P37" s="3428"/>
      <c r="Q37" s="530" t="str">
        <f t="shared" si="11"/>
        <v>成新度</v>
      </c>
      <c r="R37" s="664" t="s">
        <v>18</v>
      </c>
      <c r="S37" s="665">
        <f t="shared" si="12"/>
        <v>100</v>
      </c>
      <c r="T37" s="664" t="s">
        <v>18</v>
      </c>
      <c r="U37" s="665">
        <f t="shared" si="13"/>
        <v>100</v>
      </c>
      <c r="V37" s="664" t="s">
        <v>18</v>
      </c>
      <c r="W37" s="665">
        <f t="shared" si="14"/>
        <v>100</v>
      </c>
      <c r="X37" s="666"/>
      <c r="Y37" s="3321"/>
      <c r="Z37" s="50" t="str">
        <f t="shared" si="18"/>
        <v>成新度</v>
      </c>
      <c r="AA37" s="50">
        <f t="shared" si="15"/>
        <v>1</v>
      </c>
      <c r="AB37" s="50">
        <f t="shared" si="16"/>
        <v>1</v>
      </c>
      <c r="AC37" s="50">
        <f t="shared" si="17"/>
        <v>1</v>
      </c>
    </row>
    <row r="38" spans="1:29" ht="15">
      <c r="A38" s="409"/>
      <c r="B38" s="364" t="s">
        <v>1698</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v>2</v>
      </c>
      <c r="L38" s="2493"/>
      <c r="M38" s="2488"/>
      <c r="N38" s="2488"/>
      <c r="O38" s="2488"/>
      <c r="P38" s="3428" t="s">
        <v>1692</v>
      </c>
      <c r="Q38" s="1263" t="str">
        <f t="shared" si="11"/>
        <v>物业管理</v>
      </c>
      <c r="R38" s="667" t="s">
        <v>18</v>
      </c>
      <c r="S38" s="668">
        <f t="shared" si="12"/>
        <v>100</v>
      </c>
      <c r="T38" s="667" t="s">
        <v>18</v>
      </c>
      <c r="U38" s="668">
        <f t="shared" si="13"/>
        <v>100</v>
      </c>
      <c r="V38" s="667" t="s">
        <v>18</v>
      </c>
      <c r="W38" s="668">
        <f t="shared" si="14"/>
        <v>100</v>
      </c>
      <c r="X38" s="1265"/>
      <c r="Y38" s="3321" t="s">
        <v>1692</v>
      </c>
      <c r="Z38" s="1264" t="str">
        <f t="shared" si="18"/>
        <v>物业管理</v>
      </c>
      <c r="AA38" s="1264">
        <f t="shared" si="15"/>
        <v>1</v>
      </c>
      <c r="AB38" s="1264">
        <f t="shared" si="16"/>
        <v>1</v>
      </c>
      <c r="AC38" s="1264">
        <f t="shared" si="17"/>
        <v>1</v>
      </c>
    </row>
    <row r="39" spans="1:29" ht="15.75" thickBot="1">
      <c r="A39" s="409"/>
      <c r="B39" s="364" t="s">
        <v>1699</v>
      </c>
      <c r="C39" s="1760" t="s">
        <v>4800</v>
      </c>
      <c r="D39" s="374">
        <v>100</v>
      </c>
      <c r="E39" s="1761" t="s">
        <v>4800</v>
      </c>
      <c r="F39" s="400">
        <f>SUMIF(116:116,E39,117:117)-SUMIF(116:116,C39,117:117)+100</f>
        <v>100</v>
      </c>
      <c r="G39" s="1760" t="s">
        <v>4798</v>
      </c>
      <c r="H39" s="374">
        <f>SUMIF(116:116,G39,117:117)-SUMIF(116:116,C39,117:117)+100</f>
        <v>102</v>
      </c>
      <c r="I39" s="1761" t="s">
        <v>4798</v>
      </c>
      <c r="J39" s="374">
        <f>SUMIF(116:116,I39,117:117)-SUMIF(116:116,C39,117:117)+100</f>
        <v>102</v>
      </c>
      <c r="K39" s="365">
        <v>2</v>
      </c>
      <c r="L39" s="2493"/>
      <c r="M39" s="2488"/>
      <c r="N39" s="2488"/>
      <c r="O39" s="2488"/>
      <c r="P39" s="3428"/>
      <c r="Q39" s="1263" t="str">
        <f t="shared" si="11"/>
        <v>市政基础设施</v>
      </c>
      <c r="R39" s="667" t="s">
        <v>18</v>
      </c>
      <c r="S39" s="668">
        <f t="shared" si="12"/>
        <v>100</v>
      </c>
      <c r="T39" s="667" t="s">
        <v>18</v>
      </c>
      <c r="U39" s="668">
        <f t="shared" si="13"/>
        <v>102</v>
      </c>
      <c r="V39" s="667" t="s">
        <v>18</v>
      </c>
      <c r="W39" s="668">
        <f t="shared" si="14"/>
        <v>102</v>
      </c>
      <c r="X39" s="1265"/>
      <c r="Y39" s="3321"/>
      <c r="Z39" s="1264" t="str">
        <f t="shared" si="18"/>
        <v>市政基础设施</v>
      </c>
      <c r="AA39" s="1264">
        <f t="shared" si="15"/>
        <v>1</v>
      </c>
      <c r="AB39" s="1264">
        <f t="shared" si="16"/>
        <v>0.98039215686274506</v>
      </c>
      <c r="AC39" s="1264">
        <f t="shared" si="17"/>
        <v>0.98039215686274506</v>
      </c>
    </row>
    <row r="40" spans="1:29" ht="15" hidden="1">
      <c r="A40" s="409"/>
      <c r="B40" s="364" t="s">
        <v>1700</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8"/>
      <c r="Q40" s="1263" t="str">
        <f t="shared" si="11"/>
        <v>房型</v>
      </c>
      <c r="R40" s="667" t="s">
        <v>18</v>
      </c>
      <c r="S40" s="668">
        <f t="shared" si="12"/>
        <v>100</v>
      </c>
      <c r="T40" s="667" t="s">
        <v>18</v>
      </c>
      <c r="U40" s="668">
        <f t="shared" si="13"/>
        <v>100</v>
      </c>
      <c r="V40" s="667" t="s">
        <v>18</v>
      </c>
      <c r="W40" s="668">
        <f t="shared" si="14"/>
        <v>100</v>
      </c>
      <c r="X40" s="1265"/>
      <c r="Y40" s="3321"/>
      <c r="Z40" s="1264" t="str">
        <f t="shared" si="18"/>
        <v>房型</v>
      </c>
      <c r="AA40" s="1264">
        <f t="shared" si="15"/>
        <v>1</v>
      </c>
      <c r="AB40" s="1264">
        <f t="shared" si="16"/>
        <v>1</v>
      </c>
      <c r="AC40" s="1264">
        <f t="shared" si="17"/>
        <v>1</v>
      </c>
    </row>
    <row r="41" spans="1:29" s="408" customFormat="1" ht="28.5" hidden="1">
      <c r="A41" s="406"/>
      <c r="B41" s="364" t="s">
        <v>1701</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8"/>
      <c r="Q41" s="531" t="str">
        <f t="shared" si="11"/>
        <v>单套/主力户型建筑面积</v>
      </c>
      <c r="R41" s="669" t="s">
        <v>18</v>
      </c>
      <c r="S41" s="670">
        <f t="shared" si="12"/>
        <v>100</v>
      </c>
      <c r="T41" s="669" t="s">
        <v>18</v>
      </c>
      <c r="U41" s="670">
        <f t="shared" si="13"/>
        <v>100</v>
      </c>
      <c r="V41" s="669" t="s">
        <v>18</v>
      </c>
      <c r="W41" s="670">
        <f t="shared" si="14"/>
        <v>100</v>
      </c>
      <c r="X41" s="671"/>
      <c r="Y41" s="3321"/>
      <c r="Z41" s="672" t="str">
        <f t="shared" si="18"/>
        <v>单套/主力户型建筑面积</v>
      </c>
      <c r="AA41" s="1264">
        <f t="shared" si="15"/>
        <v>1</v>
      </c>
      <c r="AB41" s="1264">
        <f t="shared" si="16"/>
        <v>1</v>
      </c>
      <c r="AC41" s="1264">
        <f t="shared" si="17"/>
        <v>1</v>
      </c>
    </row>
    <row r="42" spans="1:29" ht="15" hidden="1">
      <c r="A42" s="409"/>
      <c r="B42" s="364" t="s">
        <v>1702</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8"/>
      <c r="Q42" s="1263" t="str">
        <f t="shared" si="11"/>
        <v>内部装修</v>
      </c>
      <c r="R42" s="667" t="s">
        <v>18</v>
      </c>
      <c r="S42" s="668">
        <f t="shared" si="12"/>
        <v>100</v>
      </c>
      <c r="T42" s="667" t="s">
        <v>18</v>
      </c>
      <c r="U42" s="668">
        <f t="shared" si="13"/>
        <v>100</v>
      </c>
      <c r="V42" s="667" t="s">
        <v>18</v>
      </c>
      <c r="W42" s="668">
        <f t="shared" si="14"/>
        <v>100</v>
      </c>
      <c r="X42" s="1265"/>
      <c r="Y42" s="3321"/>
      <c r="Z42" s="1264" t="str">
        <f t="shared" si="18"/>
        <v>内部装修</v>
      </c>
      <c r="AA42" s="1264">
        <f t="shared" si="15"/>
        <v>1</v>
      </c>
      <c r="AB42" s="1264">
        <f t="shared" si="16"/>
        <v>1</v>
      </c>
      <c r="AC42" s="1264">
        <f t="shared" si="17"/>
        <v>1</v>
      </c>
    </row>
    <row r="43" spans="1:29" ht="15" hidden="1">
      <c r="A43" s="409"/>
      <c r="B43" s="364" t="s">
        <v>1703</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8"/>
      <c r="Q43" s="1263" t="str">
        <f t="shared" si="11"/>
        <v>内部装修维护情况</v>
      </c>
      <c r="R43" s="667" t="s">
        <v>18</v>
      </c>
      <c r="S43" s="668">
        <f t="shared" si="12"/>
        <v>100</v>
      </c>
      <c r="T43" s="667" t="s">
        <v>18</v>
      </c>
      <c r="U43" s="668">
        <f t="shared" si="13"/>
        <v>100</v>
      </c>
      <c r="V43" s="667" t="s">
        <v>18</v>
      </c>
      <c r="W43" s="668">
        <f t="shared" si="14"/>
        <v>100</v>
      </c>
      <c r="X43" s="1265"/>
      <c r="Y43" s="3321"/>
      <c r="Z43" s="1264" t="str">
        <f t="shared" si="18"/>
        <v>内部装修维护情况</v>
      </c>
      <c r="AA43" s="1264">
        <f t="shared" si="15"/>
        <v>1</v>
      </c>
      <c r="AB43" s="1264">
        <f t="shared" si="16"/>
        <v>1</v>
      </c>
      <c r="AC43" s="1264">
        <f t="shared" si="17"/>
        <v>1</v>
      </c>
    </row>
    <row r="44" spans="1:29" s="102" customFormat="1" ht="15" hidden="1">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8"/>
      <c r="Q44" s="530">
        <f t="shared" si="11"/>
        <v>111</v>
      </c>
      <c r="R44" s="664" t="s">
        <v>18</v>
      </c>
      <c r="S44" s="665">
        <f t="shared" si="12"/>
        <v>100</v>
      </c>
      <c r="T44" s="664" t="s">
        <v>18</v>
      </c>
      <c r="U44" s="665">
        <f t="shared" si="13"/>
        <v>100</v>
      </c>
      <c r="V44" s="664" t="s">
        <v>18</v>
      </c>
      <c r="W44" s="665">
        <f t="shared" si="14"/>
        <v>100</v>
      </c>
      <c r="X44" s="666"/>
      <c r="Y44" s="3321"/>
      <c r="Z44" s="50">
        <f t="shared" si="18"/>
        <v>111</v>
      </c>
      <c r="AA44" s="50">
        <f t="shared" si="15"/>
        <v>1</v>
      </c>
      <c r="AB44" s="50">
        <f t="shared" si="16"/>
        <v>1</v>
      </c>
      <c r="AC44" s="50">
        <f t="shared" si="17"/>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8"/>
      <c r="Q45" s="1263">
        <f t="shared" si="11"/>
        <v>111</v>
      </c>
      <c r="R45" s="667" t="s">
        <v>18</v>
      </c>
      <c r="S45" s="668">
        <f t="shared" si="12"/>
        <v>100</v>
      </c>
      <c r="T45" s="667" t="s">
        <v>18</v>
      </c>
      <c r="U45" s="668">
        <f t="shared" si="13"/>
        <v>100</v>
      </c>
      <c r="V45" s="667" t="s">
        <v>18</v>
      </c>
      <c r="W45" s="668">
        <f t="shared" si="14"/>
        <v>100</v>
      </c>
      <c r="X45" s="1265"/>
      <c r="Y45" s="3321"/>
      <c r="Z45" s="1264">
        <f t="shared" si="18"/>
        <v>111</v>
      </c>
      <c r="AA45" s="1264">
        <f t="shared" si="15"/>
        <v>1</v>
      </c>
      <c r="AB45" s="1264">
        <f t="shared" si="16"/>
        <v>1</v>
      </c>
      <c r="AC45" s="1264">
        <f t="shared" si="17"/>
        <v>1</v>
      </c>
    </row>
    <row r="46" spans="1:29" ht="15.75" hidden="1"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9"/>
      <c r="Q46" s="1263">
        <f t="shared" si="11"/>
        <v>111</v>
      </c>
      <c r="R46" s="667" t="s">
        <v>17</v>
      </c>
      <c r="S46" s="668">
        <f t="shared" si="12"/>
        <v>100</v>
      </c>
      <c r="T46" s="667" t="s">
        <v>17</v>
      </c>
      <c r="U46" s="668">
        <f t="shared" si="13"/>
        <v>100</v>
      </c>
      <c r="V46" s="667" t="s">
        <v>17</v>
      </c>
      <c r="W46" s="668">
        <f t="shared" si="14"/>
        <v>100</v>
      </c>
      <c r="X46" s="1265"/>
      <c r="Y46" s="3430"/>
      <c r="Z46" s="1264">
        <f t="shared" si="18"/>
        <v>111</v>
      </c>
      <c r="AA46" s="1264">
        <f t="shared" si="15"/>
        <v>1</v>
      </c>
      <c r="AB46" s="1264">
        <f t="shared" si="16"/>
        <v>1</v>
      </c>
      <c r="AC46" s="1264">
        <f t="shared" si="17"/>
        <v>1</v>
      </c>
    </row>
    <row r="47" spans="1:29" ht="15">
      <c r="A47" s="416" t="s">
        <v>1704</v>
      </c>
      <c r="B47" s="417"/>
      <c r="C47" s="1081" t="s">
        <v>16</v>
      </c>
      <c r="D47" s="418"/>
      <c r="E47" s="419">
        <v>116626</v>
      </c>
      <c r="F47" s="420"/>
      <c r="G47" s="421">
        <v>105220</v>
      </c>
      <c r="H47" s="422"/>
      <c r="I47" s="419">
        <v>104664</v>
      </c>
      <c r="J47" s="422"/>
      <c r="K47" s="1767"/>
      <c r="L47" s="2495"/>
      <c r="M47" s="2488"/>
      <c r="N47" s="2488"/>
      <c r="O47" s="2488"/>
      <c r="P47" s="3302" t="str">
        <f>A47</f>
        <v>成交单价（元/平方米）</v>
      </c>
      <c r="Q47" s="3302"/>
      <c r="R47" s="3316">
        <f>E47</f>
        <v>116626</v>
      </c>
      <c r="S47" s="3316"/>
      <c r="T47" s="3316">
        <f>G47</f>
        <v>105220</v>
      </c>
      <c r="U47" s="3316"/>
      <c r="V47" s="3316">
        <f>I47</f>
        <v>104664</v>
      </c>
      <c r="W47" s="3316"/>
      <c r="X47" s="385"/>
      <c r="Y47" s="673"/>
      <c r="Z47" s="385"/>
      <c r="AA47" s="385"/>
      <c r="AB47" s="385"/>
      <c r="AC47" s="385"/>
    </row>
    <row r="48" spans="1:29" ht="15.75" thickBot="1">
      <c r="A48" s="423" t="s">
        <v>1705</v>
      </c>
      <c r="B48" s="424"/>
      <c r="C48" s="1082">
        <f>R49</f>
        <v>117258</v>
      </c>
      <c r="D48" s="2141" t="s">
        <v>2132</v>
      </c>
      <c r="E48" s="1083">
        <f>R48</f>
        <v>116626</v>
      </c>
      <c r="F48" s="2142"/>
      <c r="G48" s="1082">
        <f>T48</f>
        <v>117885</v>
      </c>
      <c r="H48" s="2142"/>
      <c r="I48" s="1083">
        <f>V48</f>
        <v>117262</v>
      </c>
      <c r="J48" s="2142"/>
      <c r="K48" s="2143">
        <f>F48+H48+J48</f>
        <v>0</v>
      </c>
      <c r="L48" s="2495"/>
      <c r="M48" s="2488"/>
      <c r="N48" s="2488"/>
      <c r="O48" s="2488"/>
      <c r="P48" s="3302" t="str">
        <f>A48</f>
        <v>比较价值（元/平方米）</v>
      </c>
      <c r="Q48" s="3302"/>
      <c r="R48" s="3316">
        <f>IF(F1="售价",ROUND(PRODUCT(R47,AA7:AA46),0),ROUND(PRODUCT(R47,AA7:AA46),1))</f>
        <v>116626</v>
      </c>
      <c r="S48" s="3316"/>
      <c r="T48" s="3316">
        <f>IF(F1="售价",ROUND(PRODUCT(T47,AB7:AB46),0),ROUND(PRODUCT(T47,AB7:AB46),1))</f>
        <v>117885</v>
      </c>
      <c r="U48" s="3316"/>
      <c r="V48" s="3316">
        <f>IF(F1="售价",ROUND(PRODUCT(V47,AC7:AC46),0),ROUND(PRODUCT(V47,AC7:AC46),1))</f>
        <v>117262</v>
      </c>
      <c r="W48" s="3316"/>
      <c r="X48" s="385"/>
      <c r="Y48" s="385"/>
      <c r="Z48" s="385"/>
      <c r="AA48" s="385"/>
      <c r="AB48" s="385"/>
      <c r="AC48" s="385"/>
    </row>
    <row r="49" spans="1:29" ht="15.75" thickBot="1">
      <c r="A49" s="427" t="s">
        <v>1706</v>
      </c>
      <c r="B49" s="428"/>
      <c r="C49" s="1084">
        <f>R49</f>
        <v>117258</v>
      </c>
      <c r="D49" s="351"/>
      <c r="E49" s="351"/>
      <c r="F49" s="351"/>
      <c r="G49" s="351"/>
      <c r="H49" s="351"/>
      <c r="I49" s="351"/>
      <c r="J49" s="351"/>
      <c r="K49" s="1768"/>
      <c r="L49" s="2495"/>
      <c r="M49" s="2488"/>
      <c r="N49" s="2488"/>
      <c r="O49" s="2488"/>
      <c r="P49" s="3323" t="str">
        <f>A49</f>
        <v>估价对象XX用房的比较价值（楼面单价，元/平方米）</v>
      </c>
      <c r="Q49" s="3324"/>
      <c r="R49" s="3426">
        <f>IF(F1="售价",ROUND(IF(D48="简单平均",AVERAGE(R48:V48),R48*F48+T48*H48+V48*J48),0),ROUND(IF(D48="简单平均",AVERAGE(R48:V48),R48*F48+T48*H48+V48*J48),1))</f>
        <v>117258</v>
      </c>
      <c r="S49" s="3426"/>
      <c r="T49" s="3426"/>
      <c r="U49" s="3426"/>
      <c r="V49" s="3426"/>
      <c r="W49" s="342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5">
      <c r="A52" s="2488"/>
      <c r="B52" s="2488"/>
      <c r="C52" s="432" t="s">
        <v>1707</v>
      </c>
      <c r="D52" s="433"/>
      <c r="E52" s="434">
        <f>IF(E47&lt;E48,E48/E47-1,E47/E48-1)</f>
        <v>0</v>
      </c>
      <c r="F52" s="435" t="str">
        <f>IF(OR(E52&gt;=0.3,E52&lt;=-0.3),"超过30%","")</f>
        <v/>
      </c>
      <c r="G52" s="434">
        <f>IF(G47&lt;G48,G48/G47-1,G47/G48-1)</f>
        <v>0.12036685040866746</v>
      </c>
      <c r="H52" s="435" t="str">
        <f>IF(OR(G52&gt;=0.3,G52&lt;=-0.3),"超过30%","")</f>
        <v/>
      </c>
      <c r="I52" s="434">
        <f>IF(I47&lt;I48,I48/I47-1,I47/I48-1)</f>
        <v>0.12036612397768098</v>
      </c>
      <c r="J52" s="435" t="str">
        <f>IF(OR(I52&gt;=0.3,I52&lt;=-0.3),"超过30%","")</f>
        <v/>
      </c>
      <c r="K52" s="2500"/>
      <c r="L52" s="2496"/>
      <c r="M52" s="2488"/>
      <c r="N52" s="2488"/>
      <c r="O52" s="2488"/>
    </row>
    <row r="53" spans="1:29" ht="15">
      <c r="A53" s="2488"/>
      <c r="B53" s="2488"/>
      <c r="C53" s="432" t="s">
        <v>1708</v>
      </c>
      <c r="D53" s="436"/>
      <c r="E53" s="434">
        <f>IF(E48&lt;G48,G48/E48-1,E48/G48-1)</f>
        <v>1.0795191466739906E-2</v>
      </c>
      <c r="F53" s="435" t="str">
        <f>IF(OR(E53&gt;=0.2,E53&lt;=-0.2),"超过20%","")</f>
        <v/>
      </c>
      <c r="G53" s="434">
        <f>IF(G48&lt;I48,I48/G48-1,G48/I48-1)</f>
        <v>5.3128890859783784E-3</v>
      </c>
      <c r="H53" s="435" t="str">
        <f>IF(OR(G53&gt;=0.2,G53&lt;=-0.2),"超过20%","")</f>
        <v/>
      </c>
      <c r="I53" s="434">
        <f>IF(I48&lt;E48,E48/I48-1,I48/E48-1)</f>
        <v>5.453329446264199E-3</v>
      </c>
      <c r="J53" s="435" t="str">
        <f>IF(OR(I53&gt;=0.2,I53&lt;=-0.2),"超过20%","")</f>
        <v/>
      </c>
      <c r="K53" s="2500"/>
      <c r="L53" s="2496"/>
      <c r="M53" s="2488"/>
      <c r="N53" s="2488"/>
      <c r="O53" s="2488"/>
    </row>
    <row r="54" spans="1:29" s="437" customFormat="1" ht="15">
      <c r="A54" s="2498"/>
      <c r="B54" s="2498"/>
      <c r="C54" s="432" t="s">
        <v>1709</v>
      </c>
      <c r="D54" s="436"/>
      <c r="E54" s="434">
        <f>IF(E47&lt;G47,G47/E47-1,E47/G47-1)</f>
        <v>0.10840144459228274</v>
      </c>
      <c r="F54" s="435" t="str">
        <f>IF(OR(E54&gt;=0.3,E54&lt;=-0.3),"超过30%","")</f>
        <v/>
      </c>
      <c r="G54" s="434">
        <f>IF(G47&lt;I47,I47/G47-1,G47/I47-1)</f>
        <v>5.31223725445229E-3</v>
      </c>
      <c r="H54" s="435" t="str">
        <f>IF(OR(G54&gt;=0.3,G54&lt;=-0.3),"超过30%","")</f>
        <v/>
      </c>
      <c r="I54" s="434">
        <f>IF(I47&lt;E47,E47/I47-1,I47/E47-1)</f>
        <v>0.11428953603913472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1710</v>
      </c>
      <c r="B57" s="385"/>
      <c r="C57" s="659"/>
      <c r="D57" s="659"/>
      <c r="E57" s="659"/>
      <c r="F57" s="660"/>
      <c r="G57" s="660"/>
      <c r="H57" s="659"/>
      <c r="I57" s="659"/>
      <c r="J57" s="659"/>
      <c r="K57" s="887"/>
      <c r="L57" s="888"/>
      <c r="M57" s="886"/>
      <c r="N57" s="886"/>
      <c r="O57" s="886"/>
      <c r="P57" s="1771"/>
      <c r="Q57" s="439"/>
    </row>
    <row r="58" spans="1:29" s="442" customFormat="1" ht="15">
      <c r="A58" s="440" t="s">
        <v>1711</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1712</v>
      </c>
      <c r="B60" s="450"/>
      <c r="C60" s="451"/>
      <c r="D60" s="452"/>
      <c r="E60" s="452"/>
      <c r="F60" s="452"/>
      <c r="G60" s="452"/>
      <c r="H60" s="452"/>
      <c r="I60" s="452"/>
      <c r="J60" s="452"/>
      <c r="K60" s="452"/>
      <c r="L60" s="452"/>
      <c r="M60" s="453"/>
      <c r="N60" s="452"/>
      <c r="O60" s="453"/>
      <c r="P60" s="1773"/>
      <c r="Q60" s="439"/>
    </row>
    <row r="61" spans="1:29" s="102" customFormat="1" ht="15">
      <c r="A61" s="455" t="s">
        <v>1713</v>
      </c>
      <c r="B61" s="444"/>
      <c r="C61" s="456" t="s">
        <v>1714</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1715</v>
      </c>
      <c r="B63" s="460" t="s">
        <v>1681</v>
      </c>
      <c r="C63" s="461" t="str">
        <f>C9</f>
        <v>住宅</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1684</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1685</v>
      </c>
      <c r="C67" s="478" t="str">
        <f>C68&amp;"（含）"&amp;"-"&amp;D68</f>
        <v>0（含）-1</v>
      </c>
      <c r="D67" s="478" t="str">
        <f t="shared" ref="D67:L67" si="20">D68&amp;"（含）"&amp;"-"&amp;E68</f>
        <v>1（含）-1.5</v>
      </c>
      <c r="E67" s="478" t="str">
        <f t="shared" si="20"/>
        <v>1.5（含）-2</v>
      </c>
      <c r="F67" s="478" t="str">
        <f t="shared" si="20"/>
        <v>2（含）-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1.5</v>
      </c>
      <c r="F68" s="480">
        <v>2</v>
      </c>
      <c r="G68" s="480"/>
      <c r="H68" s="480"/>
      <c r="I68" s="480"/>
      <c r="J68" s="480"/>
      <c r="K68" s="481"/>
      <c r="L68" s="482"/>
      <c r="M68" s="483"/>
      <c r="N68" s="879"/>
      <c r="O68" s="879"/>
      <c r="P68" s="1775"/>
      <c r="Q68" s="439"/>
    </row>
    <row r="69" spans="1:17" ht="15.75" thickBot="1">
      <c r="A69" s="367"/>
      <c r="B69" s="466"/>
      <c r="C69" s="475">
        <v>100</v>
      </c>
      <c r="D69" s="475">
        <f t="shared" ref="D69:M69" si="21">C69-$K11</f>
        <v>98</v>
      </c>
      <c r="E69" s="475">
        <f t="shared" si="21"/>
        <v>96</v>
      </c>
      <c r="F69" s="475">
        <f t="shared" si="21"/>
        <v>94</v>
      </c>
      <c r="G69" s="475">
        <f t="shared" si="21"/>
        <v>92</v>
      </c>
      <c r="H69" s="475">
        <f t="shared" si="21"/>
        <v>90</v>
      </c>
      <c r="I69" s="475">
        <f t="shared" si="21"/>
        <v>88</v>
      </c>
      <c r="J69" s="475">
        <f t="shared" si="21"/>
        <v>86</v>
      </c>
      <c r="K69" s="475">
        <f t="shared" si="21"/>
        <v>84</v>
      </c>
      <c r="L69" s="475">
        <f t="shared" si="21"/>
        <v>82</v>
      </c>
      <c r="M69" s="476">
        <f t="shared" si="21"/>
        <v>80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1686</v>
      </c>
      <c r="B76" s="460" t="s">
        <v>1716</v>
      </c>
      <c r="C76" s="504" t="s">
        <v>1717</v>
      </c>
      <c r="D76" s="504" t="s">
        <v>1718</v>
      </c>
      <c r="E76" s="504" t="s">
        <v>1719</v>
      </c>
      <c r="F76" s="504" t="s">
        <v>1720</v>
      </c>
      <c r="G76" s="504" t="s">
        <v>1721</v>
      </c>
      <c r="H76" s="461"/>
      <c r="I76" s="461"/>
      <c r="J76" s="461"/>
      <c r="K76" s="505"/>
      <c r="L76" s="506"/>
      <c r="M76" s="507"/>
      <c r="N76" s="879"/>
      <c r="O76" s="879"/>
      <c r="P76" s="1779"/>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5"/>
      <c r="Q77" s="439"/>
    </row>
    <row r="78" spans="1:17" ht="15.75" thickTop="1">
      <c r="A78" s="367"/>
      <c r="B78" s="469" t="s">
        <v>1722</v>
      </c>
      <c r="C78" s="509" t="s">
        <v>1717</v>
      </c>
      <c r="D78" s="509" t="s">
        <v>1718</v>
      </c>
      <c r="E78" s="509" t="s">
        <v>1719</v>
      </c>
      <c r="F78" s="509" t="s">
        <v>1720</v>
      </c>
      <c r="G78" s="509" t="s">
        <v>1721</v>
      </c>
      <c r="H78" s="470"/>
      <c r="I78" s="470"/>
      <c r="J78" s="470"/>
      <c r="K78" s="471"/>
      <c r="L78" s="472"/>
      <c r="M78" s="473"/>
      <c r="N78" s="879"/>
      <c r="O78" s="879"/>
      <c r="P78" s="1775"/>
      <c r="Q78" s="439"/>
    </row>
    <row r="79" spans="1:17" ht="15.75" thickBot="1">
      <c r="A79" s="367"/>
      <c r="B79" s="474"/>
      <c r="C79" s="475">
        <v>100</v>
      </c>
      <c r="D79" s="475">
        <f>C79-$K17</f>
        <v>97</v>
      </c>
      <c r="E79" s="475">
        <f>D79-$K17</f>
        <v>94</v>
      </c>
      <c r="F79" s="475">
        <f>E79-$K17</f>
        <v>91</v>
      </c>
      <c r="G79" s="475">
        <f>F79-$K17</f>
        <v>88</v>
      </c>
      <c r="H79" s="475"/>
      <c r="I79" s="475"/>
      <c r="J79" s="475"/>
      <c r="K79" s="475"/>
      <c r="L79" s="475"/>
      <c r="M79" s="476"/>
      <c r="N79" s="880"/>
      <c r="O79" s="880"/>
      <c r="P79" s="1775"/>
      <c r="Q79" s="439"/>
    </row>
    <row r="80" spans="1:17" ht="15.75" thickTop="1">
      <c r="A80" s="367"/>
      <c r="B80" s="469" t="s">
        <v>1723</v>
      </c>
      <c r="C80" s="509" t="s">
        <v>1717</v>
      </c>
      <c r="D80" s="509" t="s">
        <v>1718</v>
      </c>
      <c r="E80" s="509" t="s">
        <v>1719</v>
      </c>
      <c r="F80" s="509" t="s">
        <v>1720</v>
      </c>
      <c r="G80" s="509" t="s">
        <v>1721</v>
      </c>
      <c r="H80" s="470"/>
      <c r="I80" s="470"/>
      <c r="J80" s="470"/>
      <c r="K80" s="471"/>
      <c r="L80" s="472"/>
      <c r="M80" s="473"/>
      <c r="N80" s="879"/>
      <c r="O80" s="879"/>
      <c r="P80" s="1775"/>
      <c r="Q80" s="439"/>
    </row>
    <row r="81" spans="1:17" ht="15.75" thickBot="1">
      <c r="A81" s="367"/>
      <c r="B81" s="474"/>
      <c r="C81" s="475">
        <v>100</v>
      </c>
      <c r="D81" s="475">
        <f>C81-$K19</f>
        <v>97</v>
      </c>
      <c r="E81" s="475">
        <f>D81-$K19</f>
        <v>94</v>
      </c>
      <c r="F81" s="475">
        <f>E81-$K19</f>
        <v>91</v>
      </c>
      <c r="G81" s="475">
        <f>F81-$K19</f>
        <v>88</v>
      </c>
      <c r="H81" s="475"/>
      <c r="I81" s="475"/>
      <c r="J81" s="475"/>
      <c r="K81" s="475"/>
      <c r="L81" s="475"/>
      <c r="M81" s="476"/>
      <c r="N81" s="880"/>
      <c r="O81" s="880"/>
      <c r="P81" s="1775"/>
      <c r="Q81" s="439"/>
    </row>
    <row r="82" spans="1:17" ht="15.75" thickTop="1">
      <c r="A82" s="367"/>
      <c r="B82" s="477" t="s">
        <v>1256</v>
      </c>
      <c r="C82" s="470" t="s">
        <v>1724</v>
      </c>
      <c r="D82" s="470" t="s">
        <v>1725</v>
      </c>
      <c r="E82" s="470" t="s">
        <v>1726</v>
      </c>
      <c r="F82" s="470" t="s">
        <v>1727</v>
      </c>
      <c r="G82" s="470" t="s">
        <v>1728</v>
      </c>
      <c r="H82" s="470"/>
      <c r="I82" s="470"/>
      <c r="J82" s="470"/>
      <c r="K82" s="470"/>
      <c r="L82" s="470"/>
      <c r="M82" s="1063"/>
      <c r="N82" s="880"/>
      <c r="O82" s="880"/>
      <c r="P82" s="1775"/>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5"/>
      <c r="Q83" s="439"/>
    </row>
    <row r="84" spans="1:17" ht="15.75" thickTop="1">
      <c r="A84" s="367"/>
      <c r="B84" s="469" t="s">
        <v>1729</v>
      </c>
      <c r="C84" s="509" t="s">
        <v>1717</v>
      </c>
      <c r="D84" s="509" t="s">
        <v>1718</v>
      </c>
      <c r="E84" s="509" t="s">
        <v>1719</v>
      </c>
      <c r="F84" s="509" t="s">
        <v>1720</v>
      </c>
      <c r="G84" s="509" t="s">
        <v>1721</v>
      </c>
      <c r="H84" s="470"/>
      <c r="I84" s="470"/>
      <c r="J84" s="470"/>
      <c r="K84" s="471"/>
      <c r="L84" s="472"/>
      <c r="M84" s="473"/>
      <c r="N84" s="879"/>
      <c r="O84" s="879"/>
      <c r="P84" s="1775"/>
      <c r="Q84" s="439"/>
    </row>
    <row r="85" spans="1:17" ht="15.75" thickBot="1">
      <c r="A85" s="367"/>
      <c r="B85" s="474"/>
      <c r="C85" s="475">
        <v>100</v>
      </c>
      <c r="D85" s="475">
        <f>C85-$K23</f>
        <v>97</v>
      </c>
      <c r="E85" s="475">
        <f>D85-$K23</f>
        <v>94</v>
      </c>
      <c r="F85" s="475">
        <f>E85-$K23</f>
        <v>91</v>
      </c>
      <c r="G85" s="475">
        <f>F85-$K23</f>
        <v>88</v>
      </c>
      <c r="H85" s="475"/>
      <c r="I85" s="475"/>
      <c r="J85" s="475"/>
      <c r="K85" s="475"/>
      <c r="L85" s="475"/>
      <c r="M85" s="476"/>
      <c r="N85" s="880"/>
      <c r="O85" s="880"/>
      <c r="P85" s="1775"/>
      <c r="Q85" s="439"/>
    </row>
    <row r="86" spans="1:17" s="102" customFormat="1" ht="15.75" thickTop="1">
      <c r="A86" s="370"/>
      <c r="B86" s="469" t="s">
        <v>1730</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1731</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1690</v>
      </c>
      <c r="B100" s="460" t="s">
        <v>1732</v>
      </c>
      <c r="C100" s="462" t="s">
        <v>4824</v>
      </c>
      <c r="D100" s="462" t="s">
        <v>4826</v>
      </c>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5"/>
      <c r="Q101" s="439"/>
    </row>
    <row r="102" spans="1:17" ht="15.75" thickTop="1">
      <c r="A102" s="367"/>
      <c r="B102" s="469" t="s">
        <v>1733</v>
      </c>
      <c r="C102" s="509" t="str">
        <f>C103&amp;"(含)"&amp;"-"&amp;D103</f>
        <v>0(含)-100</v>
      </c>
      <c r="D102" s="509" t="str">
        <f t="shared" ref="D102:L102" si="26">D103&amp;"(含)"&amp;"-"&amp;E103</f>
        <v>100(含)-200</v>
      </c>
      <c r="E102" s="509" t="str">
        <f t="shared" si="26"/>
        <v>200(含)-300</v>
      </c>
      <c r="F102" s="509" t="str">
        <f t="shared" si="26"/>
        <v>300(含)-400</v>
      </c>
      <c r="G102" s="509" t="str">
        <f t="shared" si="26"/>
        <v>400(含)-500</v>
      </c>
      <c r="H102" s="509" t="str">
        <f t="shared" si="26"/>
        <v>500(含)-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100</v>
      </c>
      <c r="E103" s="6">
        <v>200</v>
      </c>
      <c r="F103" s="6">
        <v>300</v>
      </c>
      <c r="G103" s="6">
        <v>400</v>
      </c>
      <c r="H103" s="6">
        <v>500</v>
      </c>
      <c r="I103" s="6"/>
      <c r="J103" s="524"/>
      <c r="K103" s="524"/>
      <c r="L103" s="525"/>
      <c r="M103" s="526"/>
      <c r="N103" s="881"/>
      <c r="O103" s="881"/>
      <c r="P103" s="1776"/>
      <c r="Q103" s="490"/>
    </row>
    <row r="104" spans="1:17" s="408" customFormat="1" ht="15.75" thickBot="1">
      <c r="A104" s="484"/>
      <c r="B104" s="474"/>
      <c r="C104" s="491">
        <v>100</v>
      </c>
      <c r="D104" s="467">
        <v>99</v>
      </c>
      <c r="E104" s="467">
        <v>98</v>
      </c>
      <c r="F104" s="467">
        <v>97</v>
      </c>
      <c r="G104" s="467">
        <v>96</v>
      </c>
      <c r="H104" s="467">
        <v>95</v>
      </c>
      <c r="I104" s="467"/>
      <c r="J104" s="467"/>
      <c r="K104" s="467"/>
      <c r="L104" s="467"/>
      <c r="M104" s="467"/>
      <c r="N104" s="880"/>
      <c r="O104" s="880"/>
      <c r="P104" s="1776"/>
      <c r="Q104" s="490"/>
    </row>
    <row r="105" spans="1:17" ht="15" thickTop="1">
      <c r="A105" s="409"/>
      <c r="B105" s="469" t="s">
        <v>1734</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5"/>
      <c r="Q106" s="439"/>
    </row>
    <row r="107" spans="1:17" ht="15" thickTop="1">
      <c r="A107" s="409"/>
      <c r="B107" s="469" t="s">
        <v>1735</v>
      </c>
      <c r="C107" s="513" t="s">
        <v>4825</v>
      </c>
      <c r="D107" s="513" t="s">
        <v>4827</v>
      </c>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95</v>
      </c>
      <c r="E108" s="475">
        <f t="shared" si="28"/>
        <v>90</v>
      </c>
      <c r="F108" s="475">
        <f t="shared" si="28"/>
        <v>85</v>
      </c>
      <c r="G108" s="475">
        <f t="shared" si="28"/>
        <v>80</v>
      </c>
      <c r="H108" s="475">
        <f t="shared" si="28"/>
        <v>75</v>
      </c>
      <c r="I108" s="475">
        <f t="shared" si="28"/>
        <v>70</v>
      </c>
      <c r="J108" s="475">
        <f t="shared" si="28"/>
        <v>65</v>
      </c>
      <c r="K108" s="475">
        <f t="shared" si="28"/>
        <v>60</v>
      </c>
      <c r="L108" s="475">
        <f t="shared" si="28"/>
        <v>55</v>
      </c>
      <c r="M108" s="475">
        <f t="shared" si="28"/>
        <v>50</v>
      </c>
      <c r="N108" s="880"/>
      <c r="O108" s="880"/>
      <c r="P108" s="1775"/>
      <c r="Q108" s="439"/>
    </row>
    <row r="109" spans="1:17" ht="15" thickTop="1">
      <c r="A109" s="409"/>
      <c r="B109" s="469" t="s">
        <v>1736</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5"/>
      <c r="Q110" s="439"/>
    </row>
    <row r="111" spans="1:17" s="408" customFormat="1" ht="15" thickTop="1">
      <c r="A111" s="406"/>
      <c r="B111" s="469" t="s">
        <v>1186</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6"/>
      <c r="Q113" s="490"/>
    </row>
    <row r="114" spans="1:17" ht="15" thickTop="1">
      <c r="A114" s="409"/>
      <c r="B114" s="469" t="s">
        <v>1737</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5"/>
      <c r="Q115" s="439"/>
    </row>
    <row r="116" spans="1:17" ht="15" thickTop="1">
      <c r="A116" s="409"/>
      <c r="B116" s="469" t="s">
        <v>1738</v>
      </c>
      <c r="C116" s="485" t="s">
        <v>4798</v>
      </c>
      <c r="D116" s="485" t="s">
        <v>4800</v>
      </c>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98</v>
      </c>
      <c r="E117" s="475">
        <f>D117-$K39</f>
        <v>96</v>
      </c>
      <c r="F117" s="475">
        <f>E117-$K39</f>
        <v>94</v>
      </c>
      <c r="G117" s="475">
        <f>F117-$K39</f>
        <v>92</v>
      </c>
      <c r="H117" s="475"/>
      <c r="I117" s="475"/>
      <c r="J117" s="475"/>
      <c r="K117" s="475"/>
      <c r="L117" s="475"/>
      <c r="M117" s="476"/>
      <c r="N117" s="880"/>
      <c r="O117" s="880"/>
      <c r="P117" s="1775"/>
      <c r="Q117" s="439"/>
    </row>
    <row r="118" spans="1:17" ht="15" thickTop="1">
      <c r="A118" s="409"/>
      <c r="B118" s="469" t="s">
        <v>1739</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1701</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1740</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1741</v>
      </c>
      <c r="C124" s="509" t="s">
        <v>1717</v>
      </c>
      <c r="D124" s="509" t="s">
        <v>1718</v>
      </c>
      <c r="E124" s="509" t="s">
        <v>1719</v>
      </c>
      <c r="F124" s="509" t="s">
        <v>1720</v>
      </c>
      <c r="G124" s="509" t="s">
        <v>1721</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1742</v>
      </c>
    </row>
    <row r="137" spans="1:17" ht="15">
      <c r="B137" s="1782" t="s">
        <v>1743</v>
      </c>
      <c r="C137" s="1783"/>
      <c r="D137" s="1783"/>
      <c r="E137" s="1783"/>
      <c r="F137" s="1783"/>
      <c r="G137" s="1784"/>
      <c r="H137" s="1785"/>
      <c r="I137" s="1786" t="s">
        <v>1744</v>
      </c>
      <c r="J137" s="1783"/>
      <c r="K137" s="1787"/>
    </row>
    <row r="138" spans="1:17" ht="15">
      <c r="B138" s="1788"/>
      <c r="C138" s="129" t="s">
        <v>1745</v>
      </c>
      <c r="D138" s="129" t="s">
        <v>1746</v>
      </c>
      <c r="E138" s="1789" t="s">
        <v>1747</v>
      </c>
      <c r="F138" s="1790" t="s">
        <v>1748</v>
      </c>
      <c r="G138" s="129" t="s">
        <v>1746</v>
      </c>
      <c r="H138" s="130" t="s">
        <v>1747</v>
      </c>
      <c r="I138" s="1791"/>
      <c r="J138" s="129" t="s">
        <v>1749</v>
      </c>
      <c r="K138" s="130" t="s">
        <v>1750</v>
      </c>
    </row>
    <row r="139" spans="1:17" ht="15">
      <c r="B139" s="814">
        <v>6</v>
      </c>
      <c r="C139" s="815">
        <v>96</v>
      </c>
      <c r="D139" s="1792" t="s">
        <v>1751</v>
      </c>
      <c r="E139" s="816">
        <v>100</v>
      </c>
      <c r="F139" s="817">
        <v>102.5</v>
      </c>
      <c r="G139" s="1792" t="s">
        <v>1751</v>
      </c>
      <c r="H139" s="818">
        <v>105</v>
      </c>
      <c r="I139" s="1793" t="s">
        <v>1752</v>
      </c>
      <c r="J139" s="815">
        <v>20</v>
      </c>
      <c r="K139" s="819">
        <f>C145/(J139-2)</f>
        <v>4.0555555555555553E-3</v>
      </c>
    </row>
    <row r="140" spans="1:17" ht="15">
      <c r="B140" s="820">
        <v>5</v>
      </c>
      <c r="C140" s="821">
        <v>100</v>
      </c>
      <c r="D140" s="821"/>
      <c r="E140" s="822"/>
      <c r="F140" s="823">
        <v>102</v>
      </c>
      <c r="G140" s="821"/>
      <c r="H140" s="824"/>
      <c r="I140" s="1794" t="s">
        <v>1753</v>
      </c>
      <c r="J140" s="263">
        <f>ROUNDUP((J139-1)/2,0)</f>
        <v>10</v>
      </c>
      <c r="K140" s="825">
        <v>100</v>
      </c>
    </row>
    <row r="141" spans="1:17" ht="15">
      <c r="B141" s="820">
        <v>4</v>
      </c>
      <c r="C141" s="821">
        <v>102</v>
      </c>
      <c r="D141" s="821"/>
      <c r="E141" s="822"/>
      <c r="F141" s="823">
        <v>101.5</v>
      </c>
      <c r="G141" s="821"/>
      <c r="H141" s="824"/>
      <c r="I141" s="1794" t="s">
        <v>1754</v>
      </c>
      <c r="J141" s="263">
        <v>1</v>
      </c>
      <c r="K141" s="826">
        <f>ROUND(100+(J141-J140)*K139*100,1)</f>
        <v>96.4</v>
      </c>
    </row>
    <row r="142" spans="1:17" ht="15">
      <c r="B142" s="820">
        <v>3</v>
      </c>
      <c r="C142" s="821">
        <v>103</v>
      </c>
      <c r="D142" s="821"/>
      <c r="E142" s="822"/>
      <c r="F142" s="823">
        <v>101</v>
      </c>
      <c r="G142" s="821"/>
      <c r="H142" s="824"/>
      <c r="I142" s="1794" t="s">
        <v>1755</v>
      </c>
      <c r="J142" s="263">
        <f>J139</f>
        <v>20</v>
      </c>
      <c r="K142" s="827">
        <v>95</v>
      </c>
    </row>
    <row r="143" spans="1:17" ht="15">
      <c r="B143" s="820">
        <v>2</v>
      </c>
      <c r="C143" s="821">
        <v>100</v>
      </c>
      <c r="D143" s="821"/>
      <c r="E143" s="822"/>
      <c r="F143" s="823">
        <v>100.5</v>
      </c>
      <c r="G143" s="821"/>
      <c r="H143" s="824"/>
      <c r="I143" s="1794" t="s">
        <v>1756</v>
      </c>
      <c r="J143" s="821">
        <v>15</v>
      </c>
      <c r="K143" s="826">
        <f>ROUND(100+(J143-J140)*K139*100,1)</f>
        <v>102</v>
      </c>
    </row>
    <row r="144" spans="1:17" ht="15">
      <c r="B144" s="820">
        <v>1</v>
      </c>
      <c r="C144" s="821">
        <v>98</v>
      </c>
      <c r="D144" s="1795" t="s">
        <v>1757</v>
      </c>
      <c r="E144" s="822">
        <v>102</v>
      </c>
      <c r="F144" s="828">
        <v>100</v>
      </c>
      <c r="G144" s="1795" t="s">
        <v>1757</v>
      </c>
      <c r="H144" s="824">
        <v>105</v>
      </c>
      <c r="I144" s="1794" t="s">
        <v>1756</v>
      </c>
      <c r="J144" s="821">
        <v>18</v>
      </c>
      <c r="K144" s="826">
        <f>ROUND(100+(J144-J140)*K139*100,1)</f>
        <v>103.2</v>
      </c>
    </row>
    <row r="145" spans="2:11" ht="15.75" thickBot="1">
      <c r="B145" s="1796" t="s">
        <v>1758</v>
      </c>
      <c r="C145" s="829">
        <f>ROUND(MAX(C139:C144)/MIN(C139:C144)-1,3)</f>
        <v>7.2999999999999995E-2</v>
      </c>
      <c r="D145" s="830"/>
      <c r="E145" s="830"/>
      <c r="F145" s="1797" t="s">
        <v>1759</v>
      </c>
      <c r="G145" s="1798"/>
      <c r="H145" s="1799"/>
      <c r="I145" s="1800" t="s">
        <v>1756</v>
      </c>
      <c r="J145" s="831">
        <v>8</v>
      </c>
      <c r="K145" s="832">
        <f>ROUND(100+(J145-J140)*K139*100,1)</f>
        <v>99.2</v>
      </c>
    </row>
    <row r="147" spans="2:11">
      <c r="B147" s="1781" t="s">
        <v>1760</v>
      </c>
    </row>
    <row r="148" spans="2:11">
      <c r="B148" s="1781"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0BA79-A535-4870-8DB8-98C167530C70}">
  <dimension ref="A1"/>
  <sheetViews>
    <sheetView workbookViewId="0">
      <selection activeCell="T22" sqref="T22"/>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W36" sqref="W36"/>
    </sheetView>
  </sheetViews>
  <sheetFormatPr defaultColWidth="9" defaultRowHeight="12.75"/>
  <cols>
    <col min="1" max="1" width="36.25" style="122" customWidth="1"/>
    <col min="2" max="3" width="9.125" style="24" customWidth="1"/>
    <col min="4" max="15" width="9.125" style="24" hidden="1" customWidth="1"/>
    <col min="16" max="16" width="9.125" style="24" customWidth="1"/>
    <col min="17" max="17" width="5" style="24" customWidth="1"/>
    <col min="18" max="18" width="9" style="24"/>
    <col min="19" max="19" width="9" style="122"/>
    <col min="20" max="45" width="9" style="684"/>
    <col min="46" max="16384" width="9" style="122"/>
  </cols>
  <sheetData>
    <row r="1" spans="1:45" ht="14.25" customHeight="1" thickBot="1">
      <c r="A1" s="138"/>
      <c r="B1" s="929" t="s">
        <v>2078</v>
      </c>
      <c r="C1" s="3436" t="s">
        <v>2079</v>
      </c>
      <c r="D1" s="3437"/>
      <c r="E1" s="3437"/>
      <c r="F1" s="3437"/>
      <c r="G1" s="3437"/>
      <c r="H1" s="3437"/>
      <c r="I1" s="3437"/>
      <c r="J1" s="3437"/>
      <c r="K1" s="3437"/>
      <c r="L1" s="3437"/>
      <c r="M1" s="3437"/>
      <c r="N1" s="3437"/>
      <c r="O1" s="3437"/>
      <c r="P1" s="3437"/>
      <c r="Q1" s="3437"/>
      <c r="R1" s="3437"/>
      <c r="S1" s="3438"/>
      <c r="T1" s="929" t="s">
        <v>2080</v>
      </c>
    </row>
    <row r="2" spans="1:45" s="625" customFormat="1">
      <c r="A2" s="930"/>
      <c r="B2" s="622" t="s">
        <v>2081</v>
      </c>
      <c r="C2" s="14" t="str">
        <f t="shared" ref="C2:L2" si="0">C3&amp;"(含)"&amp;"-"&amp;D3</f>
        <v>0(含)-100</v>
      </c>
      <c r="D2" s="623" t="str">
        <f t="shared" si="0"/>
        <v>100(含)-200</v>
      </c>
      <c r="E2" s="623" t="str">
        <f t="shared" si="0"/>
        <v>200(含)-300</v>
      </c>
      <c r="F2" s="623" t="str">
        <f t="shared" si="0"/>
        <v>300(含)-400</v>
      </c>
      <c r="G2" s="623" t="str">
        <f t="shared" si="0"/>
        <v>400(含)-500</v>
      </c>
      <c r="H2" s="623" t="str">
        <f t="shared" si="0"/>
        <v>500(含)-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200</v>
      </c>
      <c r="F3" s="1220">
        <v>300</v>
      </c>
      <c r="G3" s="1220">
        <v>400</v>
      </c>
      <c r="H3" s="1220">
        <v>500</v>
      </c>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99</v>
      </c>
      <c r="E4" s="936">
        <v>98</v>
      </c>
      <c r="F4" s="1224">
        <v>97</v>
      </c>
      <c r="G4" s="1224">
        <v>96</v>
      </c>
      <c r="H4" s="1224">
        <v>95</v>
      </c>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2082</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2088</v>
      </c>
      <c r="B17" s="1987" t="s">
        <v>2089</v>
      </c>
      <c r="C17" s="953">
        <v>1</v>
      </c>
      <c r="D17" s="954">
        <v>2</v>
      </c>
      <c r="E17" s="954">
        <v>3</v>
      </c>
      <c r="F17" s="954">
        <v>4</v>
      </c>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v>100</v>
      </c>
      <c r="D18" s="965">
        <v>100</v>
      </c>
      <c r="E18" s="965">
        <v>102</v>
      </c>
      <c r="F18" s="965">
        <v>102</v>
      </c>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2090</v>
      </c>
      <c r="E19" s="1253"/>
      <c r="F19" s="1253"/>
      <c r="G19" s="1253"/>
      <c r="H19" s="996"/>
      <c r="I19" s="151"/>
      <c r="J19" s="151"/>
      <c r="K19" s="151"/>
      <c r="L19" s="151"/>
      <c r="M19" s="151"/>
      <c r="N19" s="151"/>
      <c r="O19" s="151"/>
      <c r="P19" s="151"/>
      <c r="Q19" s="151"/>
      <c r="R19" s="151"/>
      <c r="S19" s="121"/>
    </row>
    <row r="20" spans="1:45" ht="16.5" thickBot="1">
      <c r="A20" s="632" t="s">
        <v>2091</v>
      </c>
      <c r="B20" s="286">
        <f>IF(D20="——",S22,S22-F20)</f>
        <v>41322</v>
      </c>
      <c r="C20" s="151"/>
      <c r="D20" s="1989" t="s">
        <v>43</v>
      </c>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row>
    <row r="21" spans="1:45" ht="15.75">
      <c r="A21" s="632" t="s">
        <v>2093</v>
      </c>
      <c r="B21" s="286">
        <f>ROUND(B20*10000/B22,0)</f>
        <v>118145</v>
      </c>
      <c r="C21" s="151"/>
      <c r="D21" s="151"/>
      <c r="E21" s="151"/>
      <c r="F21" s="151"/>
      <c r="G21" s="151"/>
      <c r="H21" s="151"/>
      <c r="I21" s="151"/>
      <c r="J21" s="151"/>
      <c r="K21" s="151"/>
      <c r="L21" s="151"/>
      <c r="M21" s="151"/>
      <c r="N21" s="151"/>
      <c r="O21" s="151"/>
      <c r="P21" s="151"/>
      <c r="Q21" s="151"/>
      <c r="R21" s="151"/>
      <c r="S21" s="121"/>
    </row>
    <row r="22" spans="1:45">
      <c r="A22" s="308" t="s">
        <v>2094</v>
      </c>
      <c r="B22" s="21">
        <f>SUM(B24:B10000)</f>
        <v>3497.57</v>
      </c>
      <c r="C22" s="3433" t="s">
        <v>27</v>
      </c>
      <c r="D22" s="3434"/>
      <c r="E22" s="3434"/>
      <c r="F22" s="3434"/>
      <c r="G22" s="3434"/>
      <c r="H22" s="3434"/>
      <c r="I22" s="3434"/>
      <c r="J22" s="3434"/>
      <c r="K22" s="3434"/>
      <c r="L22" s="3434"/>
      <c r="M22" s="3434"/>
      <c r="N22" s="3434"/>
      <c r="O22" s="3434"/>
      <c r="P22" s="3434"/>
      <c r="Q22" s="3435"/>
      <c r="R22" s="21">
        <f>ROUND(S22*10000/B22,0)</f>
        <v>118145</v>
      </c>
      <c r="S22" s="21">
        <f>SUM(S24:S10000)</f>
        <v>41322</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'12.23面积'!D2</f>
        <v>12-1-101</v>
      </c>
      <c r="B24" s="633">
        <f>'12.23面积'!E2</f>
        <v>272.99</v>
      </c>
      <c r="C24" s="2571">
        <v>1</v>
      </c>
      <c r="D24" s="2572"/>
      <c r="E24" s="2571">
        <v>1</v>
      </c>
      <c r="F24" s="2572"/>
      <c r="G24" s="2571">
        <v>1</v>
      </c>
      <c r="H24" s="2572"/>
      <c r="I24" s="2571">
        <v>1</v>
      </c>
      <c r="J24" s="2572"/>
      <c r="K24" s="2571">
        <v>1</v>
      </c>
      <c r="L24" s="2572"/>
      <c r="M24" s="2571">
        <v>1</v>
      </c>
      <c r="N24" s="2572"/>
      <c r="O24" s="2571">
        <v>1</v>
      </c>
      <c r="P24" s="2572">
        <v>1</v>
      </c>
      <c r="Q24" s="2571">
        <v>1</v>
      </c>
      <c r="R24" s="633">
        <f>'比较法-住宅'!C48</f>
        <v>117258</v>
      </c>
      <c r="S24" s="634">
        <f t="shared" ref="S24:S54" si="11">ROUND(R24*B24/10000,0)</f>
        <v>3201</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'12.23面积'!D3</f>
        <v>12-1-102</v>
      </c>
      <c r="B25" s="633">
        <f>'12.23面积'!E3</f>
        <v>271.81</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v>1</v>
      </c>
      <c r="Q25" s="21">
        <f>(SUMIF($17:$17,P25,$18:$18)-SUMIF($17:$17,$P$24,$18:$18)+100)/100</f>
        <v>1</v>
      </c>
      <c r="R25" s="21">
        <f>IF(B25="",0,ROUND($R$24*C25*E25*G25*I25*K25*M25*O25*Q25,0))</f>
        <v>117258</v>
      </c>
      <c r="S25" s="308">
        <f t="shared" si="11"/>
        <v>3187</v>
      </c>
    </row>
    <row r="26" spans="1:45">
      <c r="A26" s="633" t="str">
        <f>'12.23面积'!D4</f>
        <v>12-1-201</v>
      </c>
      <c r="B26" s="633">
        <f>'12.23面积'!E4</f>
        <v>273.05</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v>2</v>
      </c>
      <c r="Q26" s="21">
        <f t="shared" ref="Q26:Q89" si="19">(SUMIF($17:$17,P26,$18:$18)-SUMIF($17:$17,$P$24,$18:$18)+100)/100</f>
        <v>1</v>
      </c>
      <c r="R26" s="21">
        <f t="shared" ref="R26:R89" si="20">IF(B26="",0,ROUND($R$24*C26*E26*G26*I26*K26*M26*O26*Q26,0))</f>
        <v>117258</v>
      </c>
      <c r="S26" s="308">
        <f t="shared" si="11"/>
        <v>3202</v>
      </c>
    </row>
    <row r="27" spans="1:45">
      <c r="A27" s="633" t="str">
        <f>'12.23面积'!D5</f>
        <v>12-1-202</v>
      </c>
      <c r="B27" s="633">
        <f>'12.23面积'!E5</f>
        <v>271.88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v>2</v>
      </c>
      <c r="Q27" s="21">
        <f t="shared" si="19"/>
        <v>1</v>
      </c>
      <c r="R27" s="21">
        <f t="shared" si="20"/>
        <v>117258</v>
      </c>
      <c r="S27" s="308">
        <f t="shared" si="11"/>
        <v>3188</v>
      </c>
    </row>
    <row r="28" spans="1:45">
      <c r="A28" s="633" t="str">
        <f>'12.23面积'!D6</f>
        <v>12-1-302</v>
      </c>
      <c r="B28" s="633">
        <f>'12.23面积'!E6</f>
        <v>271.88</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v>3</v>
      </c>
      <c r="Q28" s="21">
        <f t="shared" si="19"/>
        <v>1.02</v>
      </c>
      <c r="R28" s="21">
        <f t="shared" si="20"/>
        <v>119603</v>
      </c>
      <c r="S28" s="308">
        <f t="shared" si="11"/>
        <v>3252</v>
      </c>
    </row>
    <row r="29" spans="1:45">
      <c r="A29" s="633" t="str">
        <f>'12.23面积'!D7</f>
        <v>12-1-402</v>
      </c>
      <c r="B29" s="633">
        <f>'12.23面积'!E7</f>
        <v>271.88</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v>4</v>
      </c>
      <c r="Q29" s="21">
        <f t="shared" si="19"/>
        <v>1.02</v>
      </c>
      <c r="R29" s="21">
        <f t="shared" si="20"/>
        <v>119603</v>
      </c>
      <c r="S29" s="308">
        <f t="shared" si="11"/>
        <v>3252</v>
      </c>
    </row>
    <row r="30" spans="1:45">
      <c r="A30" s="633" t="str">
        <f>'12.23面积'!D8</f>
        <v>12-2-101</v>
      </c>
      <c r="B30" s="633">
        <f>'12.23面积'!E8</f>
        <v>271.81</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v>1</v>
      </c>
      <c r="Q30" s="21">
        <f t="shared" si="19"/>
        <v>1</v>
      </c>
      <c r="R30" s="21">
        <f t="shared" si="20"/>
        <v>117258</v>
      </c>
      <c r="S30" s="308">
        <f t="shared" si="11"/>
        <v>3187</v>
      </c>
    </row>
    <row r="31" spans="1:45">
      <c r="A31" s="633" t="str">
        <f>'12.23面积'!D9</f>
        <v>12-2-102</v>
      </c>
      <c r="B31" s="633">
        <f>'12.23面积'!E9</f>
        <v>272.99</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v>1</v>
      </c>
      <c r="Q31" s="21">
        <f t="shared" si="19"/>
        <v>1</v>
      </c>
      <c r="R31" s="21">
        <f t="shared" si="20"/>
        <v>117258</v>
      </c>
      <c r="S31" s="308">
        <f t="shared" si="11"/>
        <v>3201</v>
      </c>
    </row>
    <row r="32" spans="1:45">
      <c r="A32" s="633" t="str">
        <f>'12.23面积'!D10</f>
        <v>12-2-201</v>
      </c>
      <c r="B32" s="633">
        <f>'12.23面积'!E10</f>
        <v>271.88</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v>2</v>
      </c>
      <c r="Q32" s="21">
        <f t="shared" si="19"/>
        <v>1</v>
      </c>
      <c r="R32" s="21">
        <f t="shared" si="20"/>
        <v>117258</v>
      </c>
      <c r="S32" s="308">
        <f t="shared" si="11"/>
        <v>3188</v>
      </c>
    </row>
    <row r="33" spans="1:19">
      <c r="A33" s="633" t="str">
        <f>'12.23面积'!D11</f>
        <v>12-2-301</v>
      </c>
      <c r="B33" s="633">
        <f>'12.23面积'!E11</f>
        <v>271.88</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v>3</v>
      </c>
      <c r="Q33" s="21">
        <f t="shared" si="19"/>
        <v>1.02</v>
      </c>
      <c r="R33" s="21">
        <f t="shared" si="20"/>
        <v>119603</v>
      </c>
      <c r="S33" s="308">
        <f t="shared" si="11"/>
        <v>3252</v>
      </c>
    </row>
    <row r="34" spans="1:19">
      <c r="A34" s="633" t="str">
        <f>'12.23面积'!D12</f>
        <v>12-2-401</v>
      </c>
      <c r="B34" s="633">
        <f>'12.23面积'!E12</f>
        <v>271.88</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v>4</v>
      </c>
      <c r="Q34" s="21">
        <f t="shared" si="19"/>
        <v>1.02</v>
      </c>
      <c r="R34" s="21">
        <f t="shared" si="20"/>
        <v>119603</v>
      </c>
      <c r="S34" s="308">
        <f t="shared" si="11"/>
        <v>3252</v>
      </c>
    </row>
    <row r="35" spans="1:19">
      <c r="A35" s="633" t="str">
        <f>'12.23面积'!D13</f>
        <v>11-1-302</v>
      </c>
      <c r="B35" s="633">
        <f>'12.23面积'!E13</f>
        <v>230.81</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v>3</v>
      </c>
      <c r="Q35" s="21">
        <f t="shared" si="19"/>
        <v>1.02</v>
      </c>
      <c r="R35" s="21">
        <f t="shared" si="20"/>
        <v>119603</v>
      </c>
      <c r="S35" s="308">
        <f t="shared" si="11"/>
        <v>2761</v>
      </c>
    </row>
    <row r="36" spans="1:19">
      <c r="A36" s="633" t="str">
        <f>'12.23面积'!D14</f>
        <v>14-1-102</v>
      </c>
      <c r="B36" s="633">
        <f>'12.23面积'!E14</f>
        <v>272.83</v>
      </c>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v>1</v>
      </c>
      <c r="Q36" s="21">
        <f t="shared" si="19"/>
        <v>1</v>
      </c>
      <c r="R36" s="21">
        <f t="shared" si="20"/>
        <v>117258</v>
      </c>
      <c r="S36" s="308">
        <f t="shared" si="11"/>
        <v>3199</v>
      </c>
    </row>
    <row r="37" spans="1:19">
      <c r="A37" s="633"/>
      <c r="B37" s="633"/>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0</v>
      </c>
      <c r="R37" s="21">
        <f t="shared" si="20"/>
        <v>0</v>
      </c>
      <c r="S37" s="308">
        <f t="shared" si="11"/>
        <v>0</v>
      </c>
    </row>
    <row r="38" spans="1:19">
      <c r="A38" s="633"/>
      <c r="B38" s="633"/>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0</v>
      </c>
      <c r="R38" s="21">
        <f t="shared" si="20"/>
        <v>0</v>
      </c>
      <c r="S38" s="308">
        <f t="shared" si="11"/>
        <v>0</v>
      </c>
    </row>
    <row r="39" spans="1:19">
      <c r="A39" s="633"/>
      <c r="B39" s="633"/>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0</v>
      </c>
      <c r="R39" s="21">
        <f t="shared" si="20"/>
        <v>0</v>
      </c>
      <c r="S39" s="308">
        <f t="shared" si="11"/>
        <v>0</v>
      </c>
    </row>
    <row r="40" spans="1:19">
      <c r="A40" s="633"/>
      <c r="B40" s="633"/>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0</v>
      </c>
      <c r="R40" s="21">
        <f t="shared" si="20"/>
        <v>0</v>
      </c>
      <c r="S40" s="308">
        <f t="shared" si="11"/>
        <v>0</v>
      </c>
    </row>
    <row r="41" spans="1:19">
      <c r="A41" s="633"/>
      <c r="B41" s="633"/>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0</v>
      </c>
      <c r="R41" s="21">
        <f t="shared" si="20"/>
        <v>0</v>
      </c>
      <c r="S41" s="308">
        <f t="shared" si="11"/>
        <v>0</v>
      </c>
    </row>
    <row r="42" spans="1:19">
      <c r="A42" s="633"/>
      <c r="B42" s="633"/>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0</v>
      </c>
      <c r="R42" s="21">
        <f t="shared" si="20"/>
        <v>0</v>
      </c>
      <c r="S42" s="308">
        <f t="shared" si="11"/>
        <v>0</v>
      </c>
    </row>
    <row r="43" spans="1:19">
      <c r="A43" s="633"/>
      <c r="B43" s="633"/>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0</v>
      </c>
      <c r="R43" s="21">
        <f t="shared" si="20"/>
        <v>0</v>
      </c>
      <c r="S43" s="308">
        <f t="shared" si="11"/>
        <v>0</v>
      </c>
    </row>
    <row r="44" spans="1:19">
      <c r="A44" s="633"/>
      <c r="B44" s="633"/>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0</v>
      </c>
      <c r="R44" s="21">
        <f t="shared" si="20"/>
        <v>0</v>
      </c>
      <c r="S44" s="308">
        <f t="shared" si="11"/>
        <v>0</v>
      </c>
    </row>
    <row r="45" spans="1:19">
      <c r="A45" s="633"/>
      <c r="B45" s="633"/>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0</v>
      </c>
      <c r="R45" s="21">
        <f t="shared" si="20"/>
        <v>0</v>
      </c>
      <c r="S45" s="308">
        <f t="shared" si="11"/>
        <v>0</v>
      </c>
    </row>
    <row r="46" spans="1:19">
      <c r="A46" s="633"/>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0</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0</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0</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0</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0</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0</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0</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0</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0</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0</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0</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0</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0</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0</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0</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0</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0</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0</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0</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0</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0</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0</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0</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0</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0</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EE394-D000-4A0B-B2E3-224178033834}">
  <sheetPr>
    <tabColor rgb="FF92D050"/>
  </sheetPr>
  <dimension ref="A1:AS524"/>
  <sheetViews>
    <sheetView zoomScaleNormal="100" workbookViewId="0">
      <pane ySplit="24" topLeftCell="A147" activePane="bottomLeft" state="frozen"/>
      <selection activeCell="C50" sqref="C50"/>
      <selection pane="bottomLeft" activeCell="W150" sqref="W150"/>
    </sheetView>
  </sheetViews>
  <sheetFormatPr defaultColWidth="9" defaultRowHeight="12.75"/>
  <cols>
    <col min="1" max="1" width="36.375" style="122" bestFit="1" customWidth="1"/>
    <col min="2" max="2" width="9.25" style="24" customWidth="1"/>
    <col min="3" max="3" width="5" style="24" customWidth="1"/>
    <col min="4" max="4" width="10.25" style="24" hidden="1" customWidth="1"/>
    <col min="5" max="5" width="4.75" style="24" hidden="1" customWidth="1"/>
    <col min="6" max="6" width="7.25" style="24" hidden="1" customWidth="1"/>
    <col min="7" max="7" width="4.75" style="24" hidden="1" customWidth="1"/>
    <col min="8" max="8" width="7.25" style="24" hidden="1" customWidth="1"/>
    <col min="9" max="9" width="4.75" style="24" hidden="1" customWidth="1"/>
    <col min="10" max="10" width="7.25" style="24" hidden="1" customWidth="1"/>
    <col min="11" max="11" width="4.75" style="24" hidden="1" customWidth="1"/>
    <col min="12" max="12" width="7.25" style="24" hidden="1" customWidth="1"/>
    <col min="13" max="13" width="4.75" style="24" hidden="1" customWidth="1"/>
    <col min="14" max="14" width="7.25" style="24" hidden="1" customWidth="1"/>
    <col min="15" max="15" width="4.75" style="24" hidden="1" customWidth="1"/>
    <col min="16" max="16" width="4.75" style="24" bestFit="1" customWidth="1"/>
    <col min="17" max="17" width="5" style="24" customWidth="1"/>
    <col min="18" max="18" width="9" style="24"/>
    <col min="19" max="19" width="9" style="122"/>
    <col min="20" max="45" width="9" style="684"/>
    <col min="46" max="16384" width="9" style="122"/>
  </cols>
  <sheetData>
    <row r="1" spans="1:45" ht="14.25" customHeight="1" thickBot="1">
      <c r="A1" s="138"/>
      <c r="B1" s="929" t="s">
        <v>2078</v>
      </c>
      <c r="C1" s="3436" t="s">
        <v>2079</v>
      </c>
      <c r="D1" s="3437"/>
      <c r="E1" s="3437"/>
      <c r="F1" s="3437"/>
      <c r="G1" s="3437"/>
      <c r="H1" s="3437"/>
      <c r="I1" s="3437"/>
      <c r="J1" s="3437"/>
      <c r="K1" s="3437"/>
      <c r="L1" s="3437"/>
      <c r="M1" s="3437"/>
      <c r="N1" s="3437"/>
      <c r="O1" s="3437"/>
      <c r="P1" s="3437"/>
      <c r="Q1" s="3437"/>
      <c r="R1" s="3437"/>
      <c r="S1" s="3438"/>
      <c r="T1" s="929" t="s">
        <v>1984</v>
      </c>
    </row>
    <row r="2" spans="1:45" s="625" customFormat="1" ht="38.25">
      <c r="A2" s="930"/>
      <c r="B2" s="622" t="s">
        <v>1061</v>
      </c>
      <c r="C2" s="14" t="str">
        <f t="shared" ref="C2:R2" si="0">C3&amp;"(含)"&amp;"-"&amp;D3</f>
        <v>0(含)-100</v>
      </c>
      <c r="D2" s="623" t="str">
        <f t="shared" si="0"/>
        <v>100(含)-200</v>
      </c>
      <c r="E2" s="623" t="str">
        <f t="shared" si="0"/>
        <v>200(含)-300</v>
      </c>
      <c r="F2" s="623" t="str">
        <f t="shared" si="0"/>
        <v>300(含)-400</v>
      </c>
      <c r="G2" s="623" t="str">
        <f t="shared" si="0"/>
        <v>400(含)-500</v>
      </c>
      <c r="H2" s="623" t="str">
        <f t="shared" si="0"/>
        <v>500(含)-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'典型户型修正-住宅'!C3</f>
        <v>0</v>
      </c>
      <c r="D3" s="627">
        <f>'典型户型修正-住宅'!D3</f>
        <v>100</v>
      </c>
      <c r="E3" s="627">
        <f>'典型户型修正-住宅'!E3</f>
        <v>200</v>
      </c>
      <c r="F3" s="627">
        <f>'典型户型修正-住宅'!F3</f>
        <v>300</v>
      </c>
      <c r="G3" s="627">
        <f>'典型户型修正-住宅'!G3</f>
        <v>400</v>
      </c>
      <c r="H3" s="627">
        <f>'典型户型修正-住宅'!H3</f>
        <v>500</v>
      </c>
      <c r="I3" s="627"/>
      <c r="J3" s="627"/>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'典型户型修正-住宅'!C4</f>
        <v>100</v>
      </c>
      <c r="D4" s="627">
        <f>'典型户型修正-住宅'!D4</f>
        <v>99</v>
      </c>
      <c r="E4" s="627">
        <f>'典型户型修正-住宅'!E4</f>
        <v>98</v>
      </c>
      <c r="F4" s="627">
        <f>'典型户型修正-住宅'!F4</f>
        <v>97</v>
      </c>
      <c r="G4" s="627">
        <f>'典型户型修正-住宅'!G4</f>
        <v>96</v>
      </c>
      <c r="H4" s="627">
        <f>'典型户型修正-住宅'!H4</f>
        <v>95</v>
      </c>
      <c r="I4" s="627"/>
      <c r="J4" s="627"/>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2082</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1">D6-$T5</f>
        <v>100</v>
      </c>
      <c r="F6" s="1231">
        <f t="shared" si="1"/>
        <v>100</v>
      </c>
      <c r="G6" s="1231">
        <f t="shared" si="1"/>
        <v>100</v>
      </c>
      <c r="H6" s="1231">
        <f t="shared" si="1"/>
        <v>100</v>
      </c>
      <c r="I6" s="1231">
        <f t="shared" si="1"/>
        <v>100</v>
      </c>
      <c r="J6" s="1231">
        <f t="shared" si="1"/>
        <v>100</v>
      </c>
      <c r="K6" s="1231">
        <f t="shared" si="1"/>
        <v>100</v>
      </c>
      <c r="L6" s="1231">
        <f t="shared" si="1"/>
        <v>100</v>
      </c>
      <c r="M6" s="1231">
        <f t="shared" si="1"/>
        <v>100</v>
      </c>
      <c r="N6" s="1231">
        <f t="shared" si="1"/>
        <v>100</v>
      </c>
      <c r="O6" s="1231">
        <f t="shared" si="1"/>
        <v>100</v>
      </c>
      <c r="P6" s="1231">
        <f t="shared" si="1"/>
        <v>100</v>
      </c>
      <c r="Q6" s="1231">
        <f t="shared" si="1"/>
        <v>100</v>
      </c>
      <c r="R6" s="1231">
        <f t="shared" si="1"/>
        <v>100</v>
      </c>
      <c r="S6" s="1231">
        <f t="shared" si="1"/>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2">D8-$T7</f>
        <v>100</v>
      </c>
      <c r="F8" s="1231">
        <f t="shared" si="2"/>
        <v>100</v>
      </c>
      <c r="G8" s="1231">
        <f t="shared" si="2"/>
        <v>100</v>
      </c>
      <c r="H8" s="1231">
        <f t="shared" si="2"/>
        <v>100</v>
      </c>
      <c r="I8" s="1231">
        <f t="shared" si="2"/>
        <v>100</v>
      </c>
      <c r="J8" s="1231">
        <f t="shared" si="2"/>
        <v>100</v>
      </c>
      <c r="K8" s="1231">
        <f t="shared" si="2"/>
        <v>100</v>
      </c>
      <c r="L8" s="1231">
        <f t="shared" si="2"/>
        <v>100</v>
      </c>
      <c r="M8" s="1231">
        <f t="shared" si="2"/>
        <v>100</v>
      </c>
      <c r="N8" s="1231">
        <f t="shared" si="2"/>
        <v>100</v>
      </c>
      <c r="O8" s="1231">
        <f t="shared" si="2"/>
        <v>100</v>
      </c>
      <c r="P8" s="1231">
        <f t="shared" si="2"/>
        <v>100</v>
      </c>
      <c r="Q8" s="1231">
        <f t="shared" si="2"/>
        <v>100</v>
      </c>
      <c r="R8" s="1231">
        <f t="shared" si="2"/>
        <v>100</v>
      </c>
      <c r="S8" s="1231">
        <f t="shared" si="2"/>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3">D10-$T9</f>
        <v>100</v>
      </c>
      <c r="F10" s="1240">
        <f t="shared" si="3"/>
        <v>100</v>
      </c>
      <c r="G10" s="1240">
        <f t="shared" si="3"/>
        <v>100</v>
      </c>
      <c r="H10" s="1240">
        <f t="shared" si="3"/>
        <v>100</v>
      </c>
      <c r="I10" s="1240">
        <f t="shared" si="3"/>
        <v>100</v>
      </c>
      <c r="J10" s="1240">
        <f t="shared" si="3"/>
        <v>100</v>
      </c>
      <c r="K10" s="1240">
        <f t="shared" si="3"/>
        <v>100</v>
      </c>
      <c r="L10" s="1240">
        <f t="shared" si="3"/>
        <v>100</v>
      </c>
      <c r="M10" s="1240">
        <f t="shared" si="3"/>
        <v>100</v>
      </c>
      <c r="N10" s="1240">
        <f t="shared" si="3"/>
        <v>100</v>
      </c>
      <c r="O10" s="1240">
        <f t="shared" si="3"/>
        <v>100</v>
      </c>
      <c r="P10" s="1240">
        <f t="shared" si="3"/>
        <v>100</v>
      </c>
      <c r="Q10" s="1240">
        <f t="shared" si="3"/>
        <v>100</v>
      </c>
      <c r="R10" s="1240">
        <f t="shared" si="3"/>
        <v>100</v>
      </c>
      <c r="S10" s="1240">
        <f t="shared" si="3"/>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4">D12-$T11</f>
        <v>100</v>
      </c>
      <c r="F12" s="849">
        <f t="shared" si="4"/>
        <v>100</v>
      </c>
      <c r="G12" s="849">
        <f t="shared" si="4"/>
        <v>100</v>
      </c>
      <c r="H12" s="849">
        <f t="shared" si="4"/>
        <v>100</v>
      </c>
      <c r="I12" s="849">
        <f t="shared" si="4"/>
        <v>100</v>
      </c>
      <c r="J12" s="849">
        <f t="shared" si="4"/>
        <v>100</v>
      </c>
      <c r="K12" s="849">
        <f t="shared" si="4"/>
        <v>100</v>
      </c>
      <c r="L12" s="849">
        <f t="shared" si="4"/>
        <v>100</v>
      </c>
      <c r="M12" s="849">
        <f t="shared" si="4"/>
        <v>100</v>
      </c>
      <c r="N12" s="849">
        <f t="shared" si="4"/>
        <v>100</v>
      </c>
      <c r="O12" s="849">
        <f t="shared" si="4"/>
        <v>100</v>
      </c>
      <c r="P12" s="849">
        <f t="shared" si="4"/>
        <v>100</v>
      </c>
      <c r="Q12" s="849">
        <f t="shared" si="4"/>
        <v>100</v>
      </c>
      <c r="R12" s="849">
        <f>Q12-$T11</f>
        <v>100</v>
      </c>
      <c r="S12" s="849">
        <f t="shared" si="4"/>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5" thickBot="1">
      <c r="A17" s="1986" t="s">
        <v>2088</v>
      </c>
      <c r="B17" s="1987" t="s">
        <v>2089</v>
      </c>
      <c r="C17" s="953">
        <v>1</v>
      </c>
      <c r="D17" s="953">
        <v>2</v>
      </c>
      <c r="E17" s="953">
        <v>3</v>
      </c>
      <c r="F17" s="953">
        <v>4</v>
      </c>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53">
        <f>'典型户型修正-住宅'!C18</f>
        <v>100</v>
      </c>
      <c r="D18" s="953">
        <f>'典型户型修正-住宅'!D18</f>
        <v>100</v>
      </c>
      <c r="E18" s="953">
        <f>'典型户型修正-住宅'!E18</f>
        <v>102</v>
      </c>
      <c r="F18" s="953">
        <f>'典型户型修正-住宅'!F18</f>
        <v>102</v>
      </c>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2090</v>
      </c>
      <c r="E19" s="1253"/>
      <c r="F19" s="1253"/>
      <c r="G19" s="1253"/>
      <c r="H19" s="996"/>
      <c r="I19" s="151"/>
      <c r="J19" s="151"/>
      <c r="K19" s="151"/>
      <c r="L19" s="151"/>
      <c r="M19" s="151"/>
      <c r="N19" s="151"/>
      <c r="O19" s="151"/>
      <c r="P19" s="151"/>
      <c r="Q19" s="151"/>
      <c r="R19" s="151"/>
      <c r="S19" s="121"/>
      <c r="T19" s="1221" t="s">
        <v>4831</v>
      </c>
      <c r="U19" s="1221" t="s">
        <v>3372</v>
      </c>
      <c r="V19" s="3179" t="s">
        <v>3373</v>
      </c>
    </row>
    <row r="20" spans="1:45" ht="16.5" thickBot="1">
      <c r="A20" s="632" t="s">
        <v>2091</v>
      </c>
      <c r="B20" s="286">
        <f ca="1">IF(D20="——",S22,S22-F20)</f>
        <v>329969</v>
      </c>
      <c r="C20" s="151"/>
      <c r="D20" s="1989" t="s">
        <v>43</v>
      </c>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c r="T20" s="1221">
        <f ca="1">T22+'典型户型修正-住宅'!S22</f>
        <v>368095</v>
      </c>
      <c r="U20" s="1221">
        <f>U22+'典型户型修正-住宅'!B22</f>
        <v>31110.720000000016</v>
      </c>
      <c r="V20" s="1221">
        <f ca="1">ROUND(T20/U20*10000,0)</f>
        <v>118318</v>
      </c>
    </row>
    <row r="21" spans="1:45" ht="15.75">
      <c r="A21" s="632" t="s">
        <v>2093</v>
      </c>
      <c r="B21" s="286">
        <f ca="1">ROUND(B20*10000/B22,0)</f>
        <v>118327</v>
      </c>
      <c r="C21" s="151"/>
      <c r="D21" s="151"/>
      <c r="E21" s="151"/>
      <c r="F21" s="151"/>
      <c r="G21" s="151"/>
      <c r="H21" s="151"/>
      <c r="I21" s="151"/>
      <c r="J21" s="151"/>
      <c r="K21" s="151"/>
      <c r="L21" s="151"/>
      <c r="M21" s="151"/>
      <c r="N21" s="151"/>
      <c r="O21" s="151"/>
      <c r="P21" s="151"/>
      <c r="Q21" s="151"/>
      <c r="R21" s="151"/>
      <c r="S21" s="121"/>
      <c r="T21" s="1221" t="s">
        <v>4830</v>
      </c>
      <c r="U21" s="1221" t="s">
        <v>3372</v>
      </c>
      <c r="V21" s="3179" t="s">
        <v>3373</v>
      </c>
    </row>
    <row r="22" spans="1:45">
      <c r="A22" s="308" t="s">
        <v>2094</v>
      </c>
      <c r="B22" s="21">
        <f>SUM(B24:B10000)</f>
        <v>27886.140000000018</v>
      </c>
      <c r="C22" s="3433" t="s">
        <v>27</v>
      </c>
      <c r="D22" s="3434"/>
      <c r="E22" s="3434"/>
      <c r="F22" s="3434"/>
      <c r="G22" s="3434"/>
      <c r="H22" s="3434"/>
      <c r="I22" s="3434"/>
      <c r="J22" s="3434"/>
      <c r="K22" s="3434"/>
      <c r="L22" s="3434"/>
      <c r="M22" s="3434"/>
      <c r="N22" s="3434"/>
      <c r="O22" s="3434"/>
      <c r="P22" s="3434"/>
      <c r="Q22" s="3435"/>
      <c r="R22" s="21">
        <f ca="1">ROUND(S22*10000/B22,0)</f>
        <v>118327</v>
      </c>
      <c r="S22" s="21">
        <f ca="1">SUM(S24:S10000)</f>
        <v>329969</v>
      </c>
      <c r="T22" s="1221">
        <f ca="1">S22-S24</f>
        <v>326773</v>
      </c>
      <c r="U22" s="1221">
        <f>B22-B24</f>
        <v>27613.150000000016</v>
      </c>
      <c r="V22" s="1221">
        <f ca="1">ROUND(T22/U22*10000,0)</f>
        <v>118340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'12.23面积'!D2</f>
        <v>12-1-101</v>
      </c>
      <c r="B24" s="633">
        <f>'12.23面积'!E2</f>
        <v>272.99</v>
      </c>
      <c r="C24" s="2571">
        <v>1</v>
      </c>
      <c r="D24" s="2572"/>
      <c r="E24" s="2571">
        <v>1</v>
      </c>
      <c r="F24" s="2572"/>
      <c r="G24" s="2571">
        <v>1</v>
      </c>
      <c r="H24" s="2572"/>
      <c r="I24" s="2571">
        <v>1</v>
      </c>
      <c r="J24" s="2572"/>
      <c r="K24" s="2571">
        <v>1</v>
      </c>
      <c r="L24" s="2572"/>
      <c r="M24" s="2571">
        <v>1</v>
      </c>
      <c r="N24" s="2572"/>
      <c r="O24" s="2571">
        <v>1</v>
      </c>
      <c r="P24" s="2572">
        <v>1</v>
      </c>
      <c r="Q24" s="2571">
        <v>1</v>
      </c>
      <c r="R24" s="633">
        <f ca="1">'结果表-住宅'!G20</f>
        <v>117075</v>
      </c>
      <c r="S24" s="634">
        <f t="shared" ref="S24:S87" ca="1" si="5">ROUND(R24*B24/10000,0)</f>
        <v>3196</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'12.23面积'!D26</f>
        <v>22-1-401</v>
      </c>
      <c r="B25" s="633">
        <f>'12.23面积'!E26</f>
        <v>230.9</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v>1</v>
      </c>
      <c r="Q25" s="21">
        <f>(SUMIF($17:$17,P25,$18:$18)-SUMIF($17:$17,$P$24,$18:$18)+100)/100</f>
        <v>1</v>
      </c>
      <c r="R25" s="21">
        <f ca="1">IF(B25="",0,ROUND($R$24*C25*E25*G25*I25*K25*M25*O25*Q25,0))</f>
        <v>117075</v>
      </c>
      <c r="S25" s="308">
        <f t="shared" ca="1" si="5"/>
        <v>2703</v>
      </c>
    </row>
    <row r="26" spans="1:45">
      <c r="A26" s="633" t="str">
        <f>'12.23面积'!D27</f>
        <v>23-3-101</v>
      </c>
      <c r="B26" s="633">
        <f>'12.23面积'!E27</f>
        <v>209.67</v>
      </c>
      <c r="C26" s="21">
        <f t="shared" ref="C26:C89" si="6">IF(B26="",1,(LOOKUP(B26,$3:$3,$4:$4)-LOOKUP($B$24,$3:$3,$4:$4)+100)/100)</f>
        <v>1</v>
      </c>
      <c r="D26" s="635"/>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635">
        <v>3</v>
      </c>
      <c r="Q26" s="21">
        <f t="shared" ref="Q26:Q89" si="13">(SUMIF($17:$17,P26,$18:$18)-SUMIF($17:$17,$P$24,$18:$18)+100)/100</f>
        <v>1.02</v>
      </c>
      <c r="R26" s="21">
        <f t="shared" ref="R26:R89" ca="1" si="14">IF(B26="",0,ROUND($R$24*C26*E26*G26*I26*K26*M26*O26*Q26,0))</f>
        <v>119417</v>
      </c>
      <c r="S26" s="308">
        <f t="shared" ca="1" si="5"/>
        <v>2504</v>
      </c>
    </row>
    <row r="27" spans="1:45">
      <c r="A27" s="633" t="str">
        <f>'12.23面积'!D28</f>
        <v>17-1-101</v>
      </c>
      <c r="B27" s="633">
        <f>'12.23面积'!E28</f>
        <v>272.91000000000003</v>
      </c>
      <c r="C27" s="21">
        <f t="shared" si="6"/>
        <v>1</v>
      </c>
      <c r="D27" s="635"/>
      <c r="E27" s="21">
        <f t="shared" si="7"/>
        <v>1</v>
      </c>
      <c r="F27" s="635"/>
      <c r="G27" s="21">
        <f t="shared" si="8"/>
        <v>1</v>
      </c>
      <c r="H27" s="635"/>
      <c r="I27" s="21">
        <f t="shared" si="9"/>
        <v>1</v>
      </c>
      <c r="J27" s="635"/>
      <c r="K27" s="21">
        <f t="shared" si="10"/>
        <v>1</v>
      </c>
      <c r="L27" s="635"/>
      <c r="M27" s="21">
        <f t="shared" si="11"/>
        <v>1</v>
      </c>
      <c r="N27" s="635"/>
      <c r="O27" s="21">
        <f t="shared" si="12"/>
        <v>1</v>
      </c>
      <c r="P27" s="635">
        <v>4</v>
      </c>
      <c r="Q27" s="21">
        <f t="shared" si="13"/>
        <v>1.02</v>
      </c>
      <c r="R27" s="21">
        <f t="shared" ca="1" si="14"/>
        <v>119417</v>
      </c>
      <c r="S27" s="308">
        <f t="shared" ca="1" si="5"/>
        <v>3259</v>
      </c>
    </row>
    <row r="28" spans="1:45">
      <c r="A28" s="633" t="str">
        <f>'12.23面积'!D29</f>
        <v>3-1-302</v>
      </c>
      <c r="B28" s="633">
        <f>'12.23面积'!E29</f>
        <v>184.96</v>
      </c>
      <c r="C28" s="21">
        <f t="shared" si="6"/>
        <v>1.01</v>
      </c>
      <c r="D28" s="635"/>
      <c r="E28" s="21">
        <f t="shared" si="7"/>
        <v>1</v>
      </c>
      <c r="F28" s="635"/>
      <c r="G28" s="21">
        <f t="shared" si="8"/>
        <v>1</v>
      </c>
      <c r="H28" s="635"/>
      <c r="I28" s="21">
        <f t="shared" si="9"/>
        <v>1</v>
      </c>
      <c r="J28" s="635"/>
      <c r="K28" s="21">
        <f t="shared" si="10"/>
        <v>1</v>
      </c>
      <c r="L28" s="635"/>
      <c r="M28" s="21">
        <f t="shared" si="11"/>
        <v>1</v>
      </c>
      <c r="N28" s="635"/>
      <c r="O28" s="21">
        <f t="shared" si="12"/>
        <v>1</v>
      </c>
      <c r="P28" s="635">
        <v>1</v>
      </c>
      <c r="Q28" s="21">
        <f t="shared" si="13"/>
        <v>1</v>
      </c>
      <c r="R28" s="21">
        <f t="shared" ca="1" si="14"/>
        <v>118246</v>
      </c>
      <c r="S28" s="308">
        <f t="shared" ca="1" si="5"/>
        <v>2187</v>
      </c>
    </row>
    <row r="29" spans="1:45">
      <c r="A29" s="633" t="str">
        <f>'12.23面积'!D30</f>
        <v>10-2-402</v>
      </c>
      <c r="B29" s="633">
        <f>'12.23面积'!E30</f>
        <v>184.5</v>
      </c>
      <c r="C29" s="21">
        <f t="shared" si="6"/>
        <v>1.01</v>
      </c>
      <c r="D29" s="635"/>
      <c r="E29" s="21">
        <f t="shared" si="7"/>
        <v>1</v>
      </c>
      <c r="F29" s="635"/>
      <c r="G29" s="21">
        <f t="shared" si="8"/>
        <v>1</v>
      </c>
      <c r="H29" s="635"/>
      <c r="I29" s="21">
        <f t="shared" si="9"/>
        <v>1</v>
      </c>
      <c r="J29" s="635"/>
      <c r="K29" s="21">
        <f t="shared" si="10"/>
        <v>1</v>
      </c>
      <c r="L29" s="635"/>
      <c r="M29" s="21">
        <f t="shared" si="11"/>
        <v>1</v>
      </c>
      <c r="N29" s="635"/>
      <c r="O29" s="21">
        <f t="shared" si="12"/>
        <v>1</v>
      </c>
      <c r="P29" s="635">
        <v>3</v>
      </c>
      <c r="Q29" s="21">
        <f t="shared" si="13"/>
        <v>1.02</v>
      </c>
      <c r="R29" s="21">
        <f t="shared" ca="1" si="14"/>
        <v>120611</v>
      </c>
      <c r="S29" s="308">
        <f t="shared" ca="1" si="5"/>
        <v>2225</v>
      </c>
    </row>
    <row r="30" spans="1:45">
      <c r="A30" s="633" t="str">
        <f>'12.23面积'!D31</f>
        <v>19-2-101</v>
      </c>
      <c r="B30" s="633">
        <f>'12.23面积'!E31</f>
        <v>271.76</v>
      </c>
      <c r="C30" s="21">
        <f t="shared" si="6"/>
        <v>1</v>
      </c>
      <c r="D30" s="635"/>
      <c r="E30" s="21">
        <f t="shared" si="7"/>
        <v>1</v>
      </c>
      <c r="F30" s="635"/>
      <c r="G30" s="21">
        <f t="shared" si="8"/>
        <v>1</v>
      </c>
      <c r="H30" s="635"/>
      <c r="I30" s="21">
        <f t="shared" si="9"/>
        <v>1</v>
      </c>
      <c r="J30" s="635"/>
      <c r="K30" s="21">
        <f t="shared" si="10"/>
        <v>1</v>
      </c>
      <c r="L30" s="635"/>
      <c r="M30" s="21">
        <f t="shared" si="11"/>
        <v>1</v>
      </c>
      <c r="N30" s="635"/>
      <c r="O30" s="21">
        <f t="shared" si="12"/>
        <v>1</v>
      </c>
      <c r="P30" s="635">
        <v>3</v>
      </c>
      <c r="Q30" s="21">
        <f t="shared" si="13"/>
        <v>1.02</v>
      </c>
      <c r="R30" s="21">
        <f t="shared" ca="1" si="14"/>
        <v>119417</v>
      </c>
      <c r="S30" s="308">
        <f t="shared" ca="1" si="5"/>
        <v>3245</v>
      </c>
    </row>
    <row r="31" spans="1:45">
      <c r="A31" s="633" t="str">
        <f>'12.23面积'!D32</f>
        <v>13-1-301</v>
      </c>
      <c r="B31" s="633">
        <f>'12.23面积'!E32</f>
        <v>230.89</v>
      </c>
      <c r="C31" s="21">
        <f t="shared" si="6"/>
        <v>1</v>
      </c>
      <c r="D31" s="635"/>
      <c r="E31" s="21">
        <f t="shared" si="7"/>
        <v>1</v>
      </c>
      <c r="F31" s="635"/>
      <c r="G31" s="21">
        <f t="shared" si="8"/>
        <v>1</v>
      </c>
      <c r="H31" s="635"/>
      <c r="I31" s="21">
        <f t="shared" si="9"/>
        <v>1</v>
      </c>
      <c r="J31" s="635"/>
      <c r="K31" s="21">
        <f t="shared" si="10"/>
        <v>1</v>
      </c>
      <c r="L31" s="635"/>
      <c r="M31" s="21">
        <f t="shared" si="11"/>
        <v>1</v>
      </c>
      <c r="N31" s="635"/>
      <c r="O31" s="21">
        <f t="shared" si="12"/>
        <v>1</v>
      </c>
      <c r="P31" s="635">
        <v>4</v>
      </c>
      <c r="Q31" s="21">
        <f t="shared" si="13"/>
        <v>1.02</v>
      </c>
      <c r="R31" s="21">
        <f t="shared" ca="1" si="14"/>
        <v>119417</v>
      </c>
      <c r="S31" s="308">
        <f t="shared" ca="1" si="5"/>
        <v>2757</v>
      </c>
    </row>
    <row r="32" spans="1:45">
      <c r="A32" s="633" t="str">
        <f>'12.23面积'!D33</f>
        <v>10-2-302</v>
      </c>
      <c r="B32" s="633">
        <f>'12.23面积'!E33</f>
        <v>184.5</v>
      </c>
      <c r="C32" s="21">
        <f t="shared" si="6"/>
        <v>1.01</v>
      </c>
      <c r="D32" s="635"/>
      <c r="E32" s="21">
        <f t="shared" si="7"/>
        <v>1</v>
      </c>
      <c r="F32" s="635"/>
      <c r="G32" s="21">
        <f t="shared" si="8"/>
        <v>1</v>
      </c>
      <c r="H32" s="635"/>
      <c r="I32" s="21">
        <f t="shared" si="9"/>
        <v>1</v>
      </c>
      <c r="J32" s="635"/>
      <c r="K32" s="21">
        <f t="shared" si="10"/>
        <v>1</v>
      </c>
      <c r="L32" s="635"/>
      <c r="M32" s="21">
        <f t="shared" si="11"/>
        <v>1</v>
      </c>
      <c r="N32" s="635"/>
      <c r="O32" s="21">
        <f t="shared" si="12"/>
        <v>1</v>
      </c>
      <c r="P32" s="635">
        <v>3</v>
      </c>
      <c r="Q32" s="21">
        <f t="shared" si="13"/>
        <v>1.02</v>
      </c>
      <c r="R32" s="21">
        <f t="shared" ca="1" si="14"/>
        <v>120611</v>
      </c>
      <c r="S32" s="308">
        <f t="shared" ca="1" si="5"/>
        <v>2225</v>
      </c>
    </row>
    <row r="33" spans="1:19">
      <c r="A33" s="633" t="str">
        <f>'12.23面积'!D34</f>
        <v>15-1-401</v>
      </c>
      <c r="B33" s="633">
        <f>'12.23面积'!E34</f>
        <v>272.97000000000003</v>
      </c>
      <c r="C33" s="21">
        <f t="shared" si="6"/>
        <v>1</v>
      </c>
      <c r="D33" s="635"/>
      <c r="E33" s="21">
        <f t="shared" si="7"/>
        <v>1</v>
      </c>
      <c r="F33" s="635"/>
      <c r="G33" s="21">
        <f t="shared" si="8"/>
        <v>1</v>
      </c>
      <c r="H33" s="635"/>
      <c r="I33" s="21">
        <f t="shared" si="9"/>
        <v>1</v>
      </c>
      <c r="J33" s="635"/>
      <c r="K33" s="21">
        <f t="shared" si="10"/>
        <v>1</v>
      </c>
      <c r="L33" s="635"/>
      <c r="M33" s="21">
        <f t="shared" si="11"/>
        <v>1</v>
      </c>
      <c r="N33" s="635"/>
      <c r="O33" s="21">
        <f t="shared" si="12"/>
        <v>1</v>
      </c>
      <c r="P33" s="635">
        <v>2</v>
      </c>
      <c r="Q33" s="21">
        <f t="shared" si="13"/>
        <v>1</v>
      </c>
      <c r="R33" s="21">
        <f t="shared" ca="1" si="14"/>
        <v>117075</v>
      </c>
      <c r="S33" s="308">
        <f t="shared" ca="1" si="5"/>
        <v>3196</v>
      </c>
    </row>
    <row r="34" spans="1:19">
      <c r="A34" s="633" t="str">
        <f>'12.23面积'!D35</f>
        <v>22-2-302</v>
      </c>
      <c r="B34" s="633">
        <f>'12.23面积'!E35</f>
        <v>221.85</v>
      </c>
      <c r="C34" s="21">
        <f t="shared" si="6"/>
        <v>1</v>
      </c>
      <c r="D34" s="635"/>
      <c r="E34" s="21">
        <f t="shared" si="7"/>
        <v>1</v>
      </c>
      <c r="F34" s="635"/>
      <c r="G34" s="21">
        <f t="shared" si="8"/>
        <v>1</v>
      </c>
      <c r="H34" s="635"/>
      <c r="I34" s="21">
        <f t="shared" si="9"/>
        <v>1</v>
      </c>
      <c r="J34" s="635"/>
      <c r="K34" s="21">
        <f t="shared" si="10"/>
        <v>1</v>
      </c>
      <c r="L34" s="635"/>
      <c r="M34" s="21">
        <f t="shared" si="11"/>
        <v>1</v>
      </c>
      <c r="N34" s="635"/>
      <c r="O34" s="21">
        <f t="shared" si="12"/>
        <v>1</v>
      </c>
      <c r="P34" s="635">
        <v>1</v>
      </c>
      <c r="Q34" s="21">
        <f t="shared" si="13"/>
        <v>1</v>
      </c>
      <c r="R34" s="21">
        <f t="shared" ca="1" si="14"/>
        <v>117075</v>
      </c>
      <c r="S34" s="308">
        <f t="shared" ca="1" si="5"/>
        <v>2597</v>
      </c>
    </row>
    <row r="35" spans="1:19">
      <c r="A35" s="633" t="str">
        <f>'12.23面积'!D36</f>
        <v>21-2-202</v>
      </c>
      <c r="B35" s="633">
        <f>'12.23面积'!E36</f>
        <v>221.83</v>
      </c>
      <c r="C35" s="21">
        <f t="shared" si="6"/>
        <v>1</v>
      </c>
      <c r="D35" s="635"/>
      <c r="E35" s="21">
        <f t="shared" si="7"/>
        <v>1</v>
      </c>
      <c r="F35" s="635"/>
      <c r="G35" s="21">
        <f t="shared" si="8"/>
        <v>1</v>
      </c>
      <c r="H35" s="635"/>
      <c r="I35" s="21">
        <f t="shared" si="9"/>
        <v>1</v>
      </c>
      <c r="J35" s="635"/>
      <c r="K35" s="21">
        <f t="shared" si="10"/>
        <v>1</v>
      </c>
      <c r="L35" s="635"/>
      <c r="M35" s="21">
        <f t="shared" si="11"/>
        <v>1</v>
      </c>
      <c r="N35" s="635"/>
      <c r="O35" s="21">
        <f t="shared" si="12"/>
        <v>1</v>
      </c>
      <c r="P35" s="635">
        <v>1</v>
      </c>
      <c r="Q35" s="21">
        <f t="shared" si="13"/>
        <v>1</v>
      </c>
      <c r="R35" s="21">
        <f t="shared" ca="1" si="14"/>
        <v>117075</v>
      </c>
      <c r="S35" s="308">
        <f t="shared" ca="1" si="5"/>
        <v>2597</v>
      </c>
    </row>
    <row r="36" spans="1:19">
      <c r="A36" s="633" t="str">
        <f>'12.23面积'!D37</f>
        <v>20-1-102</v>
      </c>
      <c r="B36" s="633">
        <f>'12.23面积'!E37</f>
        <v>210.96</v>
      </c>
      <c r="C36" s="21">
        <f t="shared" si="6"/>
        <v>1</v>
      </c>
      <c r="D36" s="635"/>
      <c r="E36" s="21">
        <f t="shared" si="7"/>
        <v>1</v>
      </c>
      <c r="F36" s="635"/>
      <c r="G36" s="21">
        <f t="shared" si="8"/>
        <v>1</v>
      </c>
      <c r="H36" s="635"/>
      <c r="I36" s="21">
        <f t="shared" si="9"/>
        <v>1</v>
      </c>
      <c r="J36" s="635"/>
      <c r="K36" s="21">
        <f t="shared" si="10"/>
        <v>1</v>
      </c>
      <c r="L36" s="635"/>
      <c r="M36" s="21">
        <f t="shared" si="11"/>
        <v>1</v>
      </c>
      <c r="N36" s="635"/>
      <c r="O36" s="21">
        <f t="shared" si="12"/>
        <v>1</v>
      </c>
      <c r="P36" s="635">
        <v>1</v>
      </c>
      <c r="Q36" s="21">
        <f t="shared" si="13"/>
        <v>1</v>
      </c>
      <c r="R36" s="21">
        <f t="shared" ca="1" si="14"/>
        <v>117075</v>
      </c>
      <c r="S36" s="308">
        <f t="shared" ca="1" si="5"/>
        <v>2470</v>
      </c>
    </row>
    <row r="37" spans="1:19">
      <c r="A37" s="633" t="str">
        <f>'12.23面积'!D38</f>
        <v>4-1-102</v>
      </c>
      <c r="B37" s="633">
        <f>'12.23面积'!E38</f>
        <v>167.95</v>
      </c>
      <c r="C37" s="21">
        <f t="shared" si="6"/>
        <v>1.01</v>
      </c>
      <c r="D37" s="635"/>
      <c r="E37" s="21">
        <f t="shared" si="7"/>
        <v>1</v>
      </c>
      <c r="F37" s="635"/>
      <c r="G37" s="21">
        <f t="shared" si="8"/>
        <v>1</v>
      </c>
      <c r="H37" s="635"/>
      <c r="I37" s="21">
        <f t="shared" si="9"/>
        <v>1</v>
      </c>
      <c r="J37" s="635"/>
      <c r="K37" s="21">
        <f t="shared" si="10"/>
        <v>1</v>
      </c>
      <c r="L37" s="635"/>
      <c r="M37" s="21">
        <f t="shared" si="11"/>
        <v>1</v>
      </c>
      <c r="N37" s="635"/>
      <c r="O37" s="21">
        <f t="shared" si="12"/>
        <v>1</v>
      </c>
      <c r="P37" s="635">
        <v>4</v>
      </c>
      <c r="Q37" s="21">
        <f t="shared" si="13"/>
        <v>1.02</v>
      </c>
      <c r="R37" s="21">
        <f t="shared" ca="1" si="14"/>
        <v>120611</v>
      </c>
      <c r="S37" s="308">
        <f t="shared" ca="1" si="5"/>
        <v>2026</v>
      </c>
    </row>
    <row r="38" spans="1:19">
      <c r="A38" s="633" t="str">
        <f>'12.23面积'!D39</f>
        <v>21-2-102</v>
      </c>
      <c r="B38" s="633">
        <f>'12.23面积'!E39</f>
        <v>210.97</v>
      </c>
      <c r="C38" s="21">
        <f t="shared" si="6"/>
        <v>1</v>
      </c>
      <c r="D38" s="635"/>
      <c r="E38" s="21">
        <f t="shared" si="7"/>
        <v>1</v>
      </c>
      <c r="F38" s="635"/>
      <c r="G38" s="21">
        <f t="shared" si="8"/>
        <v>1</v>
      </c>
      <c r="H38" s="635"/>
      <c r="I38" s="21">
        <f t="shared" si="9"/>
        <v>1</v>
      </c>
      <c r="J38" s="635"/>
      <c r="K38" s="21">
        <f t="shared" si="10"/>
        <v>1</v>
      </c>
      <c r="L38" s="635"/>
      <c r="M38" s="21">
        <f t="shared" si="11"/>
        <v>1</v>
      </c>
      <c r="N38" s="635"/>
      <c r="O38" s="21">
        <f t="shared" si="12"/>
        <v>1</v>
      </c>
      <c r="P38" s="635">
        <v>1</v>
      </c>
      <c r="Q38" s="21">
        <f t="shared" si="13"/>
        <v>1</v>
      </c>
      <c r="R38" s="21">
        <f t="shared" ca="1" si="14"/>
        <v>117075</v>
      </c>
      <c r="S38" s="308">
        <f t="shared" ca="1" si="5"/>
        <v>2470</v>
      </c>
    </row>
    <row r="39" spans="1:19">
      <c r="A39" s="633" t="str">
        <f>'12.23面积'!D40</f>
        <v>19-1-401</v>
      </c>
      <c r="B39" s="633">
        <f>'12.23面积'!E40</f>
        <v>272.99</v>
      </c>
      <c r="C39" s="21">
        <f t="shared" si="6"/>
        <v>1</v>
      </c>
      <c r="D39" s="635"/>
      <c r="E39" s="21">
        <f t="shared" si="7"/>
        <v>1</v>
      </c>
      <c r="F39" s="635"/>
      <c r="G39" s="21">
        <f t="shared" si="8"/>
        <v>1</v>
      </c>
      <c r="H39" s="635"/>
      <c r="I39" s="21">
        <f t="shared" si="9"/>
        <v>1</v>
      </c>
      <c r="J39" s="635"/>
      <c r="K39" s="21">
        <f t="shared" si="10"/>
        <v>1</v>
      </c>
      <c r="L39" s="635"/>
      <c r="M39" s="21">
        <f t="shared" si="11"/>
        <v>1</v>
      </c>
      <c r="N39" s="635"/>
      <c r="O39" s="21">
        <f t="shared" si="12"/>
        <v>1</v>
      </c>
      <c r="P39" s="635">
        <v>1</v>
      </c>
      <c r="Q39" s="21">
        <f t="shared" si="13"/>
        <v>1</v>
      </c>
      <c r="R39" s="21">
        <f t="shared" ca="1" si="14"/>
        <v>117075</v>
      </c>
      <c r="S39" s="308">
        <f t="shared" ca="1" si="5"/>
        <v>3196</v>
      </c>
    </row>
    <row r="40" spans="1:19">
      <c r="A40" s="633" t="str">
        <f>'12.23面积'!D41</f>
        <v>18-1-102</v>
      </c>
      <c r="B40" s="633">
        <f>'12.23面积'!E41</f>
        <v>210.91</v>
      </c>
      <c r="C40" s="21">
        <f t="shared" si="6"/>
        <v>1</v>
      </c>
      <c r="D40" s="635"/>
      <c r="E40" s="21">
        <f t="shared" si="7"/>
        <v>1</v>
      </c>
      <c r="F40" s="635"/>
      <c r="G40" s="21">
        <f t="shared" si="8"/>
        <v>1</v>
      </c>
      <c r="H40" s="635"/>
      <c r="I40" s="21">
        <f t="shared" si="9"/>
        <v>1</v>
      </c>
      <c r="J40" s="635"/>
      <c r="K40" s="21">
        <f t="shared" si="10"/>
        <v>1</v>
      </c>
      <c r="L40" s="635"/>
      <c r="M40" s="21">
        <f t="shared" si="11"/>
        <v>1</v>
      </c>
      <c r="N40" s="635"/>
      <c r="O40" s="21">
        <f t="shared" si="12"/>
        <v>1</v>
      </c>
      <c r="P40" s="635">
        <v>4</v>
      </c>
      <c r="Q40" s="21">
        <f t="shared" si="13"/>
        <v>1.02</v>
      </c>
      <c r="R40" s="21">
        <f t="shared" ca="1" si="14"/>
        <v>119417</v>
      </c>
      <c r="S40" s="308">
        <f t="shared" ca="1" si="5"/>
        <v>2519</v>
      </c>
    </row>
    <row r="41" spans="1:19">
      <c r="A41" s="633" t="str">
        <f>'12.23面积'!D42</f>
        <v>10-3-101</v>
      </c>
      <c r="B41" s="633">
        <f>'12.23面积'!E42</f>
        <v>168.09</v>
      </c>
      <c r="C41" s="21">
        <f t="shared" si="6"/>
        <v>1.01</v>
      </c>
      <c r="D41" s="635"/>
      <c r="E41" s="21">
        <f t="shared" si="7"/>
        <v>1</v>
      </c>
      <c r="F41" s="635"/>
      <c r="G41" s="21">
        <f t="shared" si="8"/>
        <v>1</v>
      </c>
      <c r="H41" s="635"/>
      <c r="I41" s="21">
        <f t="shared" si="9"/>
        <v>1</v>
      </c>
      <c r="J41" s="635"/>
      <c r="K41" s="21">
        <f t="shared" si="10"/>
        <v>1</v>
      </c>
      <c r="L41" s="635"/>
      <c r="M41" s="21">
        <f t="shared" si="11"/>
        <v>1</v>
      </c>
      <c r="N41" s="635"/>
      <c r="O41" s="21">
        <f t="shared" si="12"/>
        <v>1</v>
      </c>
      <c r="P41" s="635">
        <v>4</v>
      </c>
      <c r="Q41" s="21">
        <f t="shared" si="13"/>
        <v>1.02</v>
      </c>
      <c r="R41" s="21">
        <f t="shared" ca="1" si="14"/>
        <v>120611</v>
      </c>
      <c r="S41" s="308">
        <f t="shared" ca="1" si="5"/>
        <v>2027</v>
      </c>
    </row>
    <row r="42" spans="1:19">
      <c r="A42" s="633" t="str">
        <f>'12.23面积'!D43</f>
        <v>1-2-402</v>
      </c>
      <c r="B42" s="633">
        <f>'12.23面积'!E43</f>
        <v>184.82</v>
      </c>
      <c r="C42" s="21">
        <f t="shared" si="6"/>
        <v>1.01</v>
      </c>
      <c r="D42" s="635"/>
      <c r="E42" s="21">
        <f t="shared" si="7"/>
        <v>1</v>
      </c>
      <c r="F42" s="635"/>
      <c r="G42" s="21">
        <f t="shared" si="8"/>
        <v>1</v>
      </c>
      <c r="H42" s="635"/>
      <c r="I42" s="21">
        <f t="shared" si="9"/>
        <v>1</v>
      </c>
      <c r="J42" s="635"/>
      <c r="K42" s="21">
        <f t="shared" si="10"/>
        <v>1</v>
      </c>
      <c r="L42" s="635"/>
      <c r="M42" s="21">
        <f t="shared" si="11"/>
        <v>1</v>
      </c>
      <c r="N42" s="635"/>
      <c r="O42" s="21">
        <f t="shared" si="12"/>
        <v>1</v>
      </c>
      <c r="P42" s="635">
        <v>2</v>
      </c>
      <c r="Q42" s="21">
        <f t="shared" si="13"/>
        <v>1</v>
      </c>
      <c r="R42" s="21">
        <f t="shared" ca="1" si="14"/>
        <v>118246</v>
      </c>
      <c r="S42" s="308">
        <f t="shared" ca="1" si="5"/>
        <v>2185</v>
      </c>
    </row>
    <row r="43" spans="1:19">
      <c r="A43" s="633" t="str">
        <f>'12.23面积'!D44</f>
        <v>4-1-401</v>
      </c>
      <c r="B43" s="633">
        <f>'12.23面积'!E44</f>
        <v>192.4</v>
      </c>
      <c r="C43" s="21">
        <f t="shared" si="6"/>
        <v>1.01</v>
      </c>
      <c r="D43" s="635"/>
      <c r="E43" s="21">
        <f t="shared" si="7"/>
        <v>1</v>
      </c>
      <c r="F43" s="635"/>
      <c r="G43" s="21">
        <f t="shared" si="8"/>
        <v>1</v>
      </c>
      <c r="H43" s="635"/>
      <c r="I43" s="21">
        <f t="shared" si="9"/>
        <v>1</v>
      </c>
      <c r="J43" s="635"/>
      <c r="K43" s="21">
        <f t="shared" si="10"/>
        <v>1</v>
      </c>
      <c r="L43" s="635"/>
      <c r="M43" s="21">
        <f t="shared" si="11"/>
        <v>1</v>
      </c>
      <c r="N43" s="635"/>
      <c r="O43" s="21">
        <f t="shared" si="12"/>
        <v>1</v>
      </c>
      <c r="P43" s="635">
        <v>4</v>
      </c>
      <c r="Q43" s="21">
        <f t="shared" si="13"/>
        <v>1.02</v>
      </c>
      <c r="R43" s="21">
        <f t="shared" ca="1" si="14"/>
        <v>120611</v>
      </c>
      <c r="S43" s="308">
        <f t="shared" ca="1" si="5"/>
        <v>2321</v>
      </c>
    </row>
    <row r="44" spans="1:19">
      <c r="A44" s="633" t="str">
        <f>'12.23面积'!D45</f>
        <v>22-1-201</v>
      </c>
      <c r="B44" s="633">
        <f>'12.23面积'!E45</f>
        <v>230.9</v>
      </c>
      <c r="C44" s="21">
        <f t="shared" si="6"/>
        <v>1</v>
      </c>
      <c r="D44" s="635"/>
      <c r="E44" s="21">
        <f t="shared" si="7"/>
        <v>1</v>
      </c>
      <c r="F44" s="635"/>
      <c r="G44" s="21">
        <f t="shared" si="8"/>
        <v>1</v>
      </c>
      <c r="H44" s="635"/>
      <c r="I44" s="21">
        <f t="shared" si="9"/>
        <v>1</v>
      </c>
      <c r="J44" s="635"/>
      <c r="K44" s="21">
        <f t="shared" si="10"/>
        <v>1</v>
      </c>
      <c r="L44" s="635"/>
      <c r="M44" s="21">
        <f t="shared" si="11"/>
        <v>1</v>
      </c>
      <c r="N44" s="635"/>
      <c r="O44" s="21">
        <f t="shared" si="12"/>
        <v>1</v>
      </c>
      <c r="P44" s="635">
        <v>3</v>
      </c>
      <c r="Q44" s="21">
        <f t="shared" si="13"/>
        <v>1.02</v>
      </c>
      <c r="R44" s="21">
        <f t="shared" ca="1" si="14"/>
        <v>119417</v>
      </c>
      <c r="S44" s="308">
        <f t="shared" ca="1" si="5"/>
        <v>2757</v>
      </c>
    </row>
    <row r="45" spans="1:19">
      <c r="A45" s="633" t="str">
        <f>'12.23面积'!D46</f>
        <v>2-2-401</v>
      </c>
      <c r="B45" s="633">
        <f>'12.23面积'!E46</f>
        <v>184.49</v>
      </c>
      <c r="C45" s="21">
        <f t="shared" si="6"/>
        <v>1.01</v>
      </c>
      <c r="D45" s="635"/>
      <c r="E45" s="21">
        <f t="shared" si="7"/>
        <v>1</v>
      </c>
      <c r="F45" s="635"/>
      <c r="G45" s="21">
        <f t="shared" si="8"/>
        <v>1</v>
      </c>
      <c r="H45" s="635"/>
      <c r="I45" s="21">
        <f t="shared" si="9"/>
        <v>1</v>
      </c>
      <c r="J45" s="635"/>
      <c r="K45" s="21">
        <f t="shared" si="10"/>
        <v>1</v>
      </c>
      <c r="L45" s="635"/>
      <c r="M45" s="21">
        <f t="shared" si="11"/>
        <v>1</v>
      </c>
      <c r="N45" s="635"/>
      <c r="O45" s="21">
        <f t="shared" si="12"/>
        <v>1</v>
      </c>
      <c r="P45" s="635">
        <v>2</v>
      </c>
      <c r="Q45" s="21">
        <f t="shared" si="13"/>
        <v>1</v>
      </c>
      <c r="R45" s="21">
        <f t="shared" ca="1" si="14"/>
        <v>118246</v>
      </c>
      <c r="S45" s="308">
        <f t="shared" ca="1" si="5"/>
        <v>2182</v>
      </c>
    </row>
    <row r="46" spans="1:19">
      <c r="A46" s="633" t="str">
        <f>'12.23面积'!D47</f>
        <v>10-3-302</v>
      </c>
      <c r="B46" s="633">
        <f>'12.23面积'!E47</f>
        <v>185</v>
      </c>
      <c r="C46" s="21">
        <f t="shared" si="6"/>
        <v>1.01</v>
      </c>
      <c r="D46" s="635"/>
      <c r="E46" s="21">
        <f t="shared" si="7"/>
        <v>1</v>
      </c>
      <c r="F46" s="635"/>
      <c r="G46" s="21">
        <f t="shared" si="8"/>
        <v>1</v>
      </c>
      <c r="H46" s="635"/>
      <c r="I46" s="21">
        <f t="shared" si="9"/>
        <v>1</v>
      </c>
      <c r="J46" s="635"/>
      <c r="K46" s="21">
        <f t="shared" si="10"/>
        <v>1</v>
      </c>
      <c r="L46" s="635"/>
      <c r="M46" s="21">
        <f t="shared" si="11"/>
        <v>1</v>
      </c>
      <c r="N46" s="635"/>
      <c r="O46" s="21">
        <f t="shared" si="12"/>
        <v>1</v>
      </c>
      <c r="P46" s="635">
        <v>4</v>
      </c>
      <c r="Q46" s="21">
        <f t="shared" si="13"/>
        <v>1.02</v>
      </c>
      <c r="R46" s="21">
        <f t="shared" ca="1" si="14"/>
        <v>120611</v>
      </c>
      <c r="S46" s="308">
        <f t="shared" ca="1" si="5"/>
        <v>2231</v>
      </c>
    </row>
    <row r="47" spans="1:19">
      <c r="A47" s="633" t="str">
        <f>'12.23面积'!D48</f>
        <v>1-2-201</v>
      </c>
      <c r="B47" s="633">
        <f>'12.23面积'!E48</f>
        <v>184.32</v>
      </c>
      <c r="C47" s="21">
        <f t="shared" si="6"/>
        <v>1.01</v>
      </c>
      <c r="D47" s="635"/>
      <c r="E47" s="21">
        <f t="shared" si="7"/>
        <v>1</v>
      </c>
      <c r="F47" s="635"/>
      <c r="G47" s="21">
        <f t="shared" si="8"/>
        <v>1</v>
      </c>
      <c r="H47" s="635"/>
      <c r="I47" s="21">
        <f t="shared" si="9"/>
        <v>1</v>
      </c>
      <c r="J47" s="635"/>
      <c r="K47" s="21">
        <f t="shared" si="10"/>
        <v>1</v>
      </c>
      <c r="L47" s="635"/>
      <c r="M47" s="21">
        <f t="shared" si="11"/>
        <v>1</v>
      </c>
      <c r="N47" s="635"/>
      <c r="O47" s="21">
        <f t="shared" si="12"/>
        <v>1</v>
      </c>
      <c r="P47" s="635">
        <v>3</v>
      </c>
      <c r="Q47" s="21">
        <f t="shared" si="13"/>
        <v>1.02</v>
      </c>
      <c r="R47" s="21">
        <f t="shared" ca="1" si="14"/>
        <v>120611</v>
      </c>
      <c r="S47" s="308">
        <f t="shared" ca="1" si="5"/>
        <v>2223</v>
      </c>
    </row>
    <row r="48" spans="1:19">
      <c r="A48" s="633" t="str">
        <f>'12.23面积'!D49</f>
        <v>19-1-402</v>
      </c>
      <c r="B48" s="633">
        <f>'12.23面积'!E49</f>
        <v>271.82</v>
      </c>
      <c r="C48" s="21">
        <f t="shared" si="6"/>
        <v>1</v>
      </c>
      <c r="D48" s="635"/>
      <c r="E48" s="21">
        <f t="shared" si="7"/>
        <v>1</v>
      </c>
      <c r="F48" s="635"/>
      <c r="G48" s="21">
        <f t="shared" si="8"/>
        <v>1</v>
      </c>
      <c r="H48" s="635"/>
      <c r="I48" s="21">
        <f t="shared" si="9"/>
        <v>1</v>
      </c>
      <c r="J48" s="635"/>
      <c r="K48" s="21">
        <f t="shared" si="10"/>
        <v>1</v>
      </c>
      <c r="L48" s="635"/>
      <c r="M48" s="21">
        <f t="shared" si="11"/>
        <v>1</v>
      </c>
      <c r="N48" s="635"/>
      <c r="O48" s="21">
        <f t="shared" si="12"/>
        <v>1</v>
      </c>
      <c r="P48" s="635">
        <v>1</v>
      </c>
      <c r="Q48" s="21">
        <f t="shared" si="13"/>
        <v>1</v>
      </c>
      <c r="R48" s="21">
        <f t="shared" ca="1" si="14"/>
        <v>117075</v>
      </c>
      <c r="S48" s="308">
        <f t="shared" ca="1" si="5"/>
        <v>3182</v>
      </c>
    </row>
    <row r="49" spans="1:19">
      <c r="A49" s="633" t="str">
        <f>'12.23面积'!D50</f>
        <v>13-3-302</v>
      </c>
      <c r="B49" s="633">
        <f>'12.23面积'!E50</f>
        <v>223.15</v>
      </c>
      <c r="C49" s="21">
        <f t="shared" si="6"/>
        <v>1</v>
      </c>
      <c r="D49" s="635"/>
      <c r="E49" s="21">
        <f t="shared" si="7"/>
        <v>1</v>
      </c>
      <c r="F49" s="635"/>
      <c r="G49" s="21">
        <f t="shared" si="8"/>
        <v>1</v>
      </c>
      <c r="H49" s="635"/>
      <c r="I49" s="21">
        <f t="shared" si="9"/>
        <v>1</v>
      </c>
      <c r="J49" s="635"/>
      <c r="K49" s="21">
        <f t="shared" si="10"/>
        <v>1</v>
      </c>
      <c r="L49" s="635"/>
      <c r="M49" s="21">
        <f t="shared" si="11"/>
        <v>1</v>
      </c>
      <c r="N49" s="635"/>
      <c r="O49" s="21">
        <f t="shared" si="12"/>
        <v>1</v>
      </c>
      <c r="P49" s="635">
        <v>1</v>
      </c>
      <c r="Q49" s="21">
        <f t="shared" si="13"/>
        <v>1</v>
      </c>
      <c r="R49" s="21">
        <f t="shared" ca="1" si="14"/>
        <v>117075</v>
      </c>
      <c r="S49" s="308">
        <f t="shared" ca="1" si="5"/>
        <v>2613</v>
      </c>
    </row>
    <row r="50" spans="1:19">
      <c r="A50" s="633" t="str">
        <f>'12.23面积'!D51</f>
        <v>1-1-101</v>
      </c>
      <c r="B50" s="633">
        <f>'12.23面积'!E51</f>
        <v>192.35</v>
      </c>
      <c r="C50" s="21">
        <f t="shared" si="6"/>
        <v>1.01</v>
      </c>
      <c r="D50" s="635"/>
      <c r="E50" s="21">
        <f t="shared" si="7"/>
        <v>1</v>
      </c>
      <c r="F50" s="635"/>
      <c r="G50" s="21">
        <f t="shared" si="8"/>
        <v>1</v>
      </c>
      <c r="H50" s="635"/>
      <c r="I50" s="21">
        <f t="shared" si="9"/>
        <v>1</v>
      </c>
      <c r="J50" s="635"/>
      <c r="K50" s="21">
        <f t="shared" si="10"/>
        <v>1</v>
      </c>
      <c r="L50" s="635"/>
      <c r="M50" s="21">
        <f t="shared" si="11"/>
        <v>1</v>
      </c>
      <c r="N50" s="635"/>
      <c r="O50" s="21">
        <f t="shared" si="12"/>
        <v>1</v>
      </c>
      <c r="P50" s="635">
        <v>3</v>
      </c>
      <c r="Q50" s="21">
        <f t="shared" si="13"/>
        <v>1.02</v>
      </c>
      <c r="R50" s="21">
        <f t="shared" ca="1" si="14"/>
        <v>120611</v>
      </c>
      <c r="S50" s="308">
        <f t="shared" ca="1" si="5"/>
        <v>2320</v>
      </c>
    </row>
    <row r="51" spans="1:19">
      <c r="A51" s="633" t="str">
        <f>'12.23面积'!D52</f>
        <v>1-1-102</v>
      </c>
      <c r="B51" s="633">
        <f>'12.23面积'!E52</f>
        <v>161.68</v>
      </c>
      <c r="C51" s="21">
        <f t="shared" si="6"/>
        <v>1.01</v>
      </c>
      <c r="D51" s="635"/>
      <c r="E51" s="21">
        <f t="shared" si="7"/>
        <v>1</v>
      </c>
      <c r="F51" s="635"/>
      <c r="G51" s="21">
        <f t="shared" si="8"/>
        <v>1</v>
      </c>
      <c r="H51" s="635"/>
      <c r="I51" s="21">
        <f t="shared" si="9"/>
        <v>1</v>
      </c>
      <c r="J51" s="635"/>
      <c r="K51" s="21">
        <f t="shared" si="10"/>
        <v>1</v>
      </c>
      <c r="L51" s="635"/>
      <c r="M51" s="21">
        <f t="shared" si="11"/>
        <v>1</v>
      </c>
      <c r="N51" s="635"/>
      <c r="O51" s="21">
        <f t="shared" si="12"/>
        <v>1</v>
      </c>
      <c r="P51" s="635">
        <v>3</v>
      </c>
      <c r="Q51" s="21">
        <f t="shared" si="13"/>
        <v>1.02</v>
      </c>
      <c r="R51" s="21">
        <f t="shared" ca="1" si="14"/>
        <v>120611</v>
      </c>
      <c r="S51" s="308">
        <f t="shared" ca="1" si="5"/>
        <v>1950</v>
      </c>
    </row>
    <row r="52" spans="1:19">
      <c r="A52" s="633" t="str">
        <f>'12.23面积'!D53</f>
        <v>1-1-301</v>
      </c>
      <c r="B52" s="633">
        <f>'12.23面积'!E53</f>
        <v>192.37</v>
      </c>
      <c r="C52" s="21">
        <f t="shared" si="6"/>
        <v>1.01</v>
      </c>
      <c r="D52" s="635"/>
      <c r="E52" s="21">
        <f t="shared" si="7"/>
        <v>1</v>
      </c>
      <c r="F52" s="635"/>
      <c r="G52" s="21">
        <f t="shared" si="8"/>
        <v>1</v>
      </c>
      <c r="H52" s="635"/>
      <c r="I52" s="21">
        <f t="shared" si="9"/>
        <v>1</v>
      </c>
      <c r="J52" s="635"/>
      <c r="K52" s="21">
        <f t="shared" si="10"/>
        <v>1</v>
      </c>
      <c r="L52" s="635"/>
      <c r="M52" s="21">
        <f t="shared" si="11"/>
        <v>1</v>
      </c>
      <c r="N52" s="635"/>
      <c r="O52" s="21">
        <f t="shared" si="12"/>
        <v>1</v>
      </c>
      <c r="P52" s="635">
        <v>1</v>
      </c>
      <c r="Q52" s="21">
        <f t="shared" si="13"/>
        <v>1</v>
      </c>
      <c r="R52" s="21">
        <f t="shared" ca="1" si="14"/>
        <v>118246</v>
      </c>
      <c r="S52" s="308">
        <f t="shared" ca="1" si="5"/>
        <v>2275</v>
      </c>
    </row>
    <row r="53" spans="1:19">
      <c r="A53" s="633" t="str">
        <f>'12.23面积'!D54</f>
        <v>1-1-302</v>
      </c>
      <c r="B53" s="633">
        <f>'12.23面积'!E54</f>
        <v>184.32</v>
      </c>
      <c r="C53" s="21">
        <f t="shared" si="6"/>
        <v>1.01</v>
      </c>
      <c r="D53" s="635"/>
      <c r="E53" s="21">
        <f t="shared" si="7"/>
        <v>1</v>
      </c>
      <c r="F53" s="635"/>
      <c r="G53" s="21">
        <f t="shared" si="8"/>
        <v>1</v>
      </c>
      <c r="H53" s="635"/>
      <c r="I53" s="21">
        <f t="shared" si="9"/>
        <v>1</v>
      </c>
      <c r="J53" s="635"/>
      <c r="K53" s="21">
        <f t="shared" si="10"/>
        <v>1</v>
      </c>
      <c r="L53" s="635"/>
      <c r="M53" s="21">
        <f t="shared" si="11"/>
        <v>1</v>
      </c>
      <c r="N53" s="635"/>
      <c r="O53" s="21">
        <f t="shared" si="12"/>
        <v>1</v>
      </c>
      <c r="P53" s="635">
        <v>1</v>
      </c>
      <c r="Q53" s="21">
        <f t="shared" si="13"/>
        <v>1</v>
      </c>
      <c r="R53" s="21">
        <f t="shared" ca="1" si="14"/>
        <v>118246</v>
      </c>
      <c r="S53" s="308">
        <f t="shared" ca="1" si="5"/>
        <v>2180</v>
      </c>
    </row>
    <row r="54" spans="1:19">
      <c r="A54" s="633" t="str">
        <f>'12.23面积'!D55</f>
        <v>1-2-101</v>
      </c>
      <c r="B54" s="633">
        <f>'12.23面积'!E55</f>
        <v>161.68</v>
      </c>
      <c r="C54" s="21">
        <f t="shared" si="6"/>
        <v>1.01</v>
      </c>
      <c r="D54" s="635"/>
      <c r="E54" s="21">
        <f t="shared" si="7"/>
        <v>1</v>
      </c>
      <c r="F54" s="635"/>
      <c r="G54" s="21">
        <f t="shared" si="8"/>
        <v>1</v>
      </c>
      <c r="H54" s="635"/>
      <c r="I54" s="21">
        <f t="shared" si="9"/>
        <v>1</v>
      </c>
      <c r="J54" s="635"/>
      <c r="K54" s="21">
        <f t="shared" si="10"/>
        <v>1</v>
      </c>
      <c r="L54" s="635"/>
      <c r="M54" s="21">
        <f t="shared" si="11"/>
        <v>1</v>
      </c>
      <c r="N54" s="635"/>
      <c r="O54" s="21">
        <f t="shared" si="12"/>
        <v>1</v>
      </c>
      <c r="P54" s="635">
        <v>3</v>
      </c>
      <c r="Q54" s="21">
        <f t="shared" si="13"/>
        <v>1.02</v>
      </c>
      <c r="R54" s="21">
        <f t="shared" ca="1" si="14"/>
        <v>120611</v>
      </c>
      <c r="S54" s="308">
        <f t="shared" ca="1" si="5"/>
        <v>1950</v>
      </c>
    </row>
    <row r="55" spans="1:19">
      <c r="A55" s="633" t="str">
        <f>'12.23面积'!D56</f>
        <v>1-2-102</v>
      </c>
      <c r="B55" s="633">
        <f>'12.23面积'!E56</f>
        <v>184.78</v>
      </c>
      <c r="C55" s="21">
        <f t="shared" si="6"/>
        <v>1.01</v>
      </c>
      <c r="D55" s="635"/>
      <c r="E55" s="21">
        <f t="shared" si="7"/>
        <v>1</v>
      </c>
      <c r="F55" s="635"/>
      <c r="G55" s="21">
        <f t="shared" si="8"/>
        <v>1</v>
      </c>
      <c r="H55" s="635"/>
      <c r="I55" s="21">
        <f t="shared" si="9"/>
        <v>1</v>
      </c>
      <c r="J55" s="635"/>
      <c r="K55" s="21">
        <f t="shared" si="10"/>
        <v>1</v>
      </c>
      <c r="L55" s="635"/>
      <c r="M55" s="21">
        <f t="shared" si="11"/>
        <v>1</v>
      </c>
      <c r="N55" s="635"/>
      <c r="O55" s="21">
        <f t="shared" si="12"/>
        <v>1</v>
      </c>
      <c r="P55" s="635">
        <v>3</v>
      </c>
      <c r="Q55" s="21">
        <f t="shared" si="13"/>
        <v>1.02</v>
      </c>
      <c r="R55" s="21">
        <f t="shared" ca="1" si="14"/>
        <v>120611</v>
      </c>
      <c r="S55" s="308">
        <f t="shared" ca="1" si="5"/>
        <v>2229</v>
      </c>
    </row>
    <row r="56" spans="1:19">
      <c r="A56" s="633" t="str">
        <f>'12.23面积'!D57</f>
        <v>1-2-301</v>
      </c>
      <c r="B56" s="633">
        <f>'12.23面积'!E57</f>
        <v>184.32</v>
      </c>
      <c r="C56" s="21">
        <f t="shared" si="6"/>
        <v>1.01</v>
      </c>
      <c r="D56" s="635"/>
      <c r="E56" s="21">
        <f t="shared" si="7"/>
        <v>1</v>
      </c>
      <c r="F56" s="635"/>
      <c r="G56" s="21">
        <f t="shared" si="8"/>
        <v>1</v>
      </c>
      <c r="H56" s="635"/>
      <c r="I56" s="21">
        <f t="shared" si="9"/>
        <v>1</v>
      </c>
      <c r="J56" s="635"/>
      <c r="K56" s="21">
        <f t="shared" si="10"/>
        <v>1</v>
      </c>
      <c r="L56" s="635"/>
      <c r="M56" s="21">
        <f t="shared" si="11"/>
        <v>1</v>
      </c>
      <c r="N56" s="635"/>
      <c r="O56" s="21">
        <f t="shared" si="12"/>
        <v>1</v>
      </c>
      <c r="P56" s="635">
        <v>1</v>
      </c>
      <c r="Q56" s="21">
        <f t="shared" si="13"/>
        <v>1</v>
      </c>
      <c r="R56" s="21">
        <f t="shared" ca="1" si="14"/>
        <v>118246</v>
      </c>
      <c r="S56" s="308">
        <f t="shared" ca="1" si="5"/>
        <v>2180</v>
      </c>
    </row>
    <row r="57" spans="1:19">
      <c r="A57" s="633" t="str">
        <f>'12.23面积'!D58</f>
        <v>1-2-302</v>
      </c>
      <c r="B57" s="633">
        <f>'12.23面积'!E58</f>
        <v>184.82</v>
      </c>
      <c r="C57" s="21">
        <f t="shared" si="6"/>
        <v>1.01</v>
      </c>
      <c r="D57" s="635"/>
      <c r="E57" s="21">
        <f t="shared" si="7"/>
        <v>1</v>
      </c>
      <c r="F57" s="635"/>
      <c r="G57" s="21">
        <f t="shared" si="8"/>
        <v>1</v>
      </c>
      <c r="H57" s="635"/>
      <c r="I57" s="21">
        <f t="shared" si="9"/>
        <v>1</v>
      </c>
      <c r="J57" s="635"/>
      <c r="K57" s="21">
        <f t="shared" si="10"/>
        <v>1</v>
      </c>
      <c r="L57" s="635"/>
      <c r="M57" s="21">
        <f t="shared" si="11"/>
        <v>1</v>
      </c>
      <c r="N57" s="635"/>
      <c r="O57" s="21">
        <f t="shared" si="12"/>
        <v>1</v>
      </c>
      <c r="P57" s="635">
        <v>3</v>
      </c>
      <c r="Q57" s="21">
        <f t="shared" si="13"/>
        <v>1.02</v>
      </c>
      <c r="R57" s="21">
        <f t="shared" ca="1" si="14"/>
        <v>120611</v>
      </c>
      <c r="S57" s="308">
        <f t="shared" ca="1" si="5"/>
        <v>2229</v>
      </c>
    </row>
    <row r="58" spans="1:19">
      <c r="A58" s="633" t="str">
        <f>'12.23面积'!D59</f>
        <v>2-1-102</v>
      </c>
      <c r="B58" s="633">
        <f>'12.23面积'!E59</f>
        <v>161.83000000000001</v>
      </c>
      <c r="C58" s="21">
        <f t="shared" si="6"/>
        <v>1.01</v>
      </c>
      <c r="D58" s="635"/>
      <c r="E58" s="21">
        <f t="shared" si="7"/>
        <v>1</v>
      </c>
      <c r="F58" s="635"/>
      <c r="G58" s="21">
        <f t="shared" si="8"/>
        <v>1</v>
      </c>
      <c r="H58" s="635"/>
      <c r="I58" s="21">
        <f t="shared" si="9"/>
        <v>1</v>
      </c>
      <c r="J58" s="635"/>
      <c r="K58" s="21">
        <f t="shared" si="10"/>
        <v>1</v>
      </c>
      <c r="L58" s="635"/>
      <c r="M58" s="21">
        <f t="shared" si="11"/>
        <v>1</v>
      </c>
      <c r="N58" s="635"/>
      <c r="O58" s="21">
        <f t="shared" si="12"/>
        <v>1</v>
      </c>
      <c r="P58" s="635">
        <v>1</v>
      </c>
      <c r="Q58" s="21">
        <f t="shared" si="13"/>
        <v>1</v>
      </c>
      <c r="R58" s="21">
        <f t="shared" ca="1" si="14"/>
        <v>118246</v>
      </c>
      <c r="S58" s="308">
        <f t="shared" ca="1" si="5"/>
        <v>1914</v>
      </c>
    </row>
    <row r="59" spans="1:19">
      <c r="A59" s="633" t="str">
        <f>'12.23面积'!D60</f>
        <v>2-1-301</v>
      </c>
      <c r="B59" s="633">
        <f>'12.23面积'!E60</f>
        <v>192.55</v>
      </c>
      <c r="C59" s="21">
        <f t="shared" si="6"/>
        <v>1.01</v>
      </c>
      <c r="D59" s="635"/>
      <c r="E59" s="21">
        <f t="shared" si="7"/>
        <v>1</v>
      </c>
      <c r="F59" s="635"/>
      <c r="G59" s="21">
        <f t="shared" si="8"/>
        <v>1</v>
      </c>
      <c r="H59" s="635"/>
      <c r="I59" s="21">
        <f t="shared" si="9"/>
        <v>1</v>
      </c>
      <c r="J59" s="635"/>
      <c r="K59" s="21">
        <f t="shared" si="10"/>
        <v>1</v>
      </c>
      <c r="L59" s="635"/>
      <c r="M59" s="21">
        <f t="shared" si="11"/>
        <v>1</v>
      </c>
      <c r="N59" s="635"/>
      <c r="O59" s="21">
        <f t="shared" si="12"/>
        <v>1</v>
      </c>
      <c r="P59" s="635">
        <v>1</v>
      </c>
      <c r="Q59" s="21">
        <f t="shared" si="13"/>
        <v>1</v>
      </c>
      <c r="R59" s="21">
        <f t="shared" ca="1" si="14"/>
        <v>118246</v>
      </c>
      <c r="S59" s="308">
        <f t="shared" ca="1" si="5"/>
        <v>2277</v>
      </c>
    </row>
    <row r="60" spans="1:19">
      <c r="A60" s="633" t="str">
        <f>'12.23面积'!D61</f>
        <v>2-2-101</v>
      </c>
      <c r="B60" s="633">
        <f>'12.23面积'!E61</f>
        <v>161.83000000000001</v>
      </c>
      <c r="C60" s="21">
        <f t="shared" si="6"/>
        <v>1.01</v>
      </c>
      <c r="D60" s="635"/>
      <c r="E60" s="21">
        <f t="shared" si="7"/>
        <v>1</v>
      </c>
      <c r="F60" s="635"/>
      <c r="G60" s="21">
        <f t="shared" si="8"/>
        <v>1</v>
      </c>
      <c r="H60" s="635"/>
      <c r="I60" s="21">
        <f t="shared" si="9"/>
        <v>1</v>
      </c>
      <c r="J60" s="635"/>
      <c r="K60" s="21">
        <f t="shared" si="10"/>
        <v>1</v>
      </c>
      <c r="L60" s="635"/>
      <c r="M60" s="21">
        <f t="shared" si="11"/>
        <v>1</v>
      </c>
      <c r="N60" s="635"/>
      <c r="O60" s="21">
        <f t="shared" si="12"/>
        <v>1</v>
      </c>
      <c r="P60" s="635">
        <v>3</v>
      </c>
      <c r="Q60" s="21">
        <f t="shared" si="13"/>
        <v>1.02</v>
      </c>
      <c r="R60" s="21">
        <f t="shared" ca="1" si="14"/>
        <v>120611</v>
      </c>
      <c r="S60" s="308">
        <f t="shared" ca="1" si="5"/>
        <v>1952</v>
      </c>
    </row>
    <row r="61" spans="1:19">
      <c r="A61" s="633" t="str">
        <f>'12.23面积'!D62</f>
        <v>2-2-102</v>
      </c>
      <c r="B61" s="633">
        <f>'12.23面积'!E62</f>
        <v>184.45</v>
      </c>
      <c r="C61" s="21">
        <f t="shared" si="6"/>
        <v>1.01</v>
      </c>
      <c r="D61" s="635"/>
      <c r="E61" s="21">
        <f t="shared" si="7"/>
        <v>1</v>
      </c>
      <c r="F61" s="635"/>
      <c r="G61" s="21">
        <f t="shared" si="8"/>
        <v>1</v>
      </c>
      <c r="H61" s="635"/>
      <c r="I61" s="21">
        <f t="shared" si="9"/>
        <v>1</v>
      </c>
      <c r="J61" s="635"/>
      <c r="K61" s="21">
        <f t="shared" si="10"/>
        <v>1</v>
      </c>
      <c r="L61" s="635"/>
      <c r="M61" s="21">
        <f t="shared" si="11"/>
        <v>1</v>
      </c>
      <c r="N61" s="635"/>
      <c r="O61" s="21">
        <f t="shared" si="12"/>
        <v>1</v>
      </c>
      <c r="P61" s="635">
        <v>1</v>
      </c>
      <c r="Q61" s="21">
        <f t="shared" si="13"/>
        <v>1</v>
      </c>
      <c r="R61" s="21">
        <f t="shared" ca="1" si="14"/>
        <v>118246</v>
      </c>
      <c r="S61" s="308">
        <f t="shared" ca="1" si="5"/>
        <v>2181</v>
      </c>
    </row>
    <row r="62" spans="1:19">
      <c r="A62" s="633" t="str">
        <f>'12.23面积'!D63</f>
        <v>2-2-302</v>
      </c>
      <c r="B62" s="633">
        <f>'12.23面积'!E63</f>
        <v>184.49</v>
      </c>
      <c r="C62" s="21">
        <f t="shared" si="6"/>
        <v>1.01</v>
      </c>
      <c r="D62" s="635"/>
      <c r="E62" s="21">
        <f t="shared" si="7"/>
        <v>1</v>
      </c>
      <c r="F62" s="635"/>
      <c r="G62" s="21">
        <f t="shared" si="8"/>
        <v>1</v>
      </c>
      <c r="H62" s="635"/>
      <c r="I62" s="21">
        <f t="shared" si="9"/>
        <v>1</v>
      </c>
      <c r="J62" s="635"/>
      <c r="K62" s="21">
        <f t="shared" si="10"/>
        <v>1</v>
      </c>
      <c r="L62" s="635"/>
      <c r="M62" s="21">
        <f t="shared" si="11"/>
        <v>1</v>
      </c>
      <c r="N62" s="635"/>
      <c r="O62" s="21">
        <f t="shared" si="12"/>
        <v>1</v>
      </c>
      <c r="P62" s="635">
        <v>1</v>
      </c>
      <c r="Q62" s="21">
        <f t="shared" si="13"/>
        <v>1</v>
      </c>
      <c r="R62" s="21">
        <f t="shared" ca="1" si="14"/>
        <v>118246</v>
      </c>
      <c r="S62" s="308">
        <f t="shared" ca="1" si="5"/>
        <v>2182</v>
      </c>
    </row>
    <row r="63" spans="1:19">
      <c r="A63" s="633" t="str">
        <f>'12.23面积'!D64</f>
        <v>2-3-101</v>
      </c>
      <c r="B63" s="633">
        <f>'12.23面积'!E64</f>
        <v>161.83000000000001</v>
      </c>
      <c r="C63" s="21">
        <f t="shared" si="6"/>
        <v>1.01</v>
      </c>
      <c r="D63" s="635"/>
      <c r="E63" s="21">
        <f t="shared" si="7"/>
        <v>1</v>
      </c>
      <c r="F63" s="635"/>
      <c r="G63" s="21">
        <f t="shared" si="8"/>
        <v>1</v>
      </c>
      <c r="H63" s="635"/>
      <c r="I63" s="21">
        <f t="shared" si="9"/>
        <v>1</v>
      </c>
      <c r="J63" s="635"/>
      <c r="K63" s="21">
        <f t="shared" si="10"/>
        <v>1</v>
      </c>
      <c r="L63" s="635"/>
      <c r="M63" s="21">
        <f t="shared" si="11"/>
        <v>1</v>
      </c>
      <c r="N63" s="635"/>
      <c r="O63" s="21">
        <f t="shared" si="12"/>
        <v>1</v>
      </c>
      <c r="P63" s="635">
        <v>2</v>
      </c>
      <c r="Q63" s="21">
        <f t="shared" si="13"/>
        <v>1</v>
      </c>
      <c r="R63" s="21">
        <f t="shared" ca="1" si="14"/>
        <v>118246</v>
      </c>
      <c r="S63" s="308">
        <f t="shared" ca="1" si="5"/>
        <v>1914</v>
      </c>
    </row>
    <row r="64" spans="1:19">
      <c r="A64" s="633" t="str">
        <f>'12.23面积'!D65</f>
        <v>2-3-102</v>
      </c>
      <c r="B64" s="633">
        <f>'12.23面积'!E65</f>
        <v>184.95</v>
      </c>
      <c r="C64" s="21">
        <f t="shared" si="6"/>
        <v>1.01</v>
      </c>
      <c r="D64" s="635"/>
      <c r="E64" s="21">
        <f t="shared" si="7"/>
        <v>1</v>
      </c>
      <c r="F64" s="635"/>
      <c r="G64" s="21">
        <f t="shared" si="8"/>
        <v>1</v>
      </c>
      <c r="H64" s="635"/>
      <c r="I64" s="21">
        <f t="shared" si="9"/>
        <v>1</v>
      </c>
      <c r="J64" s="635"/>
      <c r="K64" s="21">
        <f t="shared" si="10"/>
        <v>1</v>
      </c>
      <c r="L64" s="635"/>
      <c r="M64" s="21">
        <f t="shared" si="11"/>
        <v>1</v>
      </c>
      <c r="N64" s="635"/>
      <c r="O64" s="21">
        <f t="shared" si="12"/>
        <v>1</v>
      </c>
      <c r="P64" s="635">
        <v>2</v>
      </c>
      <c r="Q64" s="21">
        <f t="shared" si="13"/>
        <v>1</v>
      </c>
      <c r="R64" s="21">
        <f t="shared" ca="1" si="14"/>
        <v>118246</v>
      </c>
      <c r="S64" s="308">
        <f t="shared" ca="1" si="5"/>
        <v>2187</v>
      </c>
    </row>
    <row r="65" spans="1:19">
      <c r="A65" s="633" t="str">
        <f>'12.23面积'!D66</f>
        <v>2-3-201</v>
      </c>
      <c r="B65" s="633">
        <f>'12.23面积'!E66</f>
        <v>184.49</v>
      </c>
      <c r="C65" s="21">
        <f t="shared" si="6"/>
        <v>1.01</v>
      </c>
      <c r="D65" s="635"/>
      <c r="E65" s="21">
        <f t="shared" si="7"/>
        <v>1</v>
      </c>
      <c r="F65" s="635"/>
      <c r="G65" s="21">
        <f t="shared" si="8"/>
        <v>1</v>
      </c>
      <c r="H65" s="635"/>
      <c r="I65" s="21">
        <f t="shared" si="9"/>
        <v>1</v>
      </c>
      <c r="J65" s="635"/>
      <c r="K65" s="21">
        <f t="shared" si="10"/>
        <v>1</v>
      </c>
      <c r="L65" s="635"/>
      <c r="M65" s="21">
        <f t="shared" si="11"/>
        <v>1</v>
      </c>
      <c r="N65" s="635"/>
      <c r="O65" s="21">
        <f t="shared" si="12"/>
        <v>1</v>
      </c>
      <c r="P65" s="635">
        <v>3</v>
      </c>
      <c r="Q65" s="21">
        <f t="shared" si="13"/>
        <v>1.02</v>
      </c>
      <c r="R65" s="21">
        <f t="shared" ca="1" si="14"/>
        <v>120611</v>
      </c>
      <c r="S65" s="308">
        <f t="shared" ca="1" si="5"/>
        <v>2225</v>
      </c>
    </row>
    <row r="66" spans="1:19">
      <c r="A66" s="633" t="str">
        <f>'12.23面积'!D67</f>
        <v>2-3-202</v>
      </c>
      <c r="B66" s="633">
        <f>'12.23面积'!E67</f>
        <v>184.99</v>
      </c>
      <c r="C66" s="21">
        <f t="shared" si="6"/>
        <v>1.01</v>
      </c>
      <c r="D66" s="635"/>
      <c r="E66" s="21">
        <f t="shared" si="7"/>
        <v>1</v>
      </c>
      <c r="F66" s="635"/>
      <c r="G66" s="21">
        <f t="shared" si="8"/>
        <v>1</v>
      </c>
      <c r="H66" s="635"/>
      <c r="I66" s="21">
        <f t="shared" si="9"/>
        <v>1</v>
      </c>
      <c r="J66" s="635"/>
      <c r="K66" s="21">
        <f t="shared" si="10"/>
        <v>1</v>
      </c>
      <c r="L66" s="635"/>
      <c r="M66" s="21">
        <f t="shared" si="11"/>
        <v>1</v>
      </c>
      <c r="N66" s="635"/>
      <c r="O66" s="21">
        <f t="shared" si="12"/>
        <v>1</v>
      </c>
      <c r="P66" s="635">
        <v>4</v>
      </c>
      <c r="Q66" s="21">
        <f t="shared" si="13"/>
        <v>1.02</v>
      </c>
      <c r="R66" s="21">
        <f t="shared" ca="1" si="14"/>
        <v>120611</v>
      </c>
      <c r="S66" s="308">
        <f t="shared" ca="1" si="5"/>
        <v>2231</v>
      </c>
    </row>
    <row r="67" spans="1:19">
      <c r="A67" s="633" t="str">
        <f>'12.23面积'!D68</f>
        <v>2-3-301</v>
      </c>
      <c r="B67" s="633">
        <f>'12.23面积'!E68</f>
        <v>184.49</v>
      </c>
      <c r="C67" s="21">
        <f t="shared" si="6"/>
        <v>1.01</v>
      </c>
      <c r="D67" s="635"/>
      <c r="E67" s="21">
        <f t="shared" si="7"/>
        <v>1</v>
      </c>
      <c r="F67" s="635"/>
      <c r="G67" s="21">
        <f t="shared" si="8"/>
        <v>1</v>
      </c>
      <c r="H67" s="635"/>
      <c r="I67" s="21">
        <f t="shared" si="9"/>
        <v>1</v>
      </c>
      <c r="J67" s="635"/>
      <c r="K67" s="21">
        <f t="shared" si="10"/>
        <v>1</v>
      </c>
      <c r="L67" s="635"/>
      <c r="M67" s="21">
        <f t="shared" si="11"/>
        <v>1</v>
      </c>
      <c r="N67" s="635"/>
      <c r="O67" s="21">
        <f t="shared" si="12"/>
        <v>1</v>
      </c>
      <c r="P67" s="635">
        <v>1</v>
      </c>
      <c r="Q67" s="21">
        <f t="shared" si="13"/>
        <v>1</v>
      </c>
      <c r="R67" s="21">
        <f t="shared" ca="1" si="14"/>
        <v>118246</v>
      </c>
      <c r="S67" s="308">
        <f t="shared" ca="1" si="5"/>
        <v>2182</v>
      </c>
    </row>
    <row r="68" spans="1:19">
      <c r="A68" s="633" t="str">
        <f>'12.23面积'!D69</f>
        <v>2-3-401</v>
      </c>
      <c r="B68" s="633">
        <f>'12.23面积'!E69</f>
        <v>184.49</v>
      </c>
      <c r="C68" s="21">
        <f t="shared" si="6"/>
        <v>1.01</v>
      </c>
      <c r="D68" s="635"/>
      <c r="E68" s="21">
        <f t="shared" si="7"/>
        <v>1</v>
      </c>
      <c r="F68" s="635"/>
      <c r="G68" s="21">
        <f t="shared" si="8"/>
        <v>1</v>
      </c>
      <c r="H68" s="635"/>
      <c r="I68" s="21">
        <f t="shared" si="9"/>
        <v>1</v>
      </c>
      <c r="J68" s="635"/>
      <c r="K68" s="21">
        <f t="shared" si="10"/>
        <v>1</v>
      </c>
      <c r="L68" s="635"/>
      <c r="M68" s="21">
        <f t="shared" si="11"/>
        <v>1</v>
      </c>
      <c r="N68" s="635"/>
      <c r="O68" s="21">
        <f t="shared" si="12"/>
        <v>1</v>
      </c>
      <c r="P68" s="635">
        <v>1</v>
      </c>
      <c r="Q68" s="21">
        <f t="shared" si="13"/>
        <v>1</v>
      </c>
      <c r="R68" s="21">
        <f t="shared" ca="1" si="14"/>
        <v>118246</v>
      </c>
      <c r="S68" s="308">
        <f t="shared" ca="1" si="5"/>
        <v>2182</v>
      </c>
    </row>
    <row r="69" spans="1:19">
      <c r="A69" s="633" t="str">
        <f>'12.23面积'!D70</f>
        <v>5-2-101</v>
      </c>
      <c r="B69" s="633">
        <f>'12.23面积'!E70</f>
        <v>168.11</v>
      </c>
      <c r="C69" s="21">
        <f t="shared" si="6"/>
        <v>1.01</v>
      </c>
      <c r="D69" s="635"/>
      <c r="E69" s="21">
        <f t="shared" si="7"/>
        <v>1</v>
      </c>
      <c r="F69" s="635"/>
      <c r="G69" s="21">
        <f t="shared" si="8"/>
        <v>1</v>
      </c>
      <c r="H69" s="635"/>
      <c r="I69" s="21">
        <f t="shared" si="9"/>
        <v>1</v>
      </c>
      <c r="J69" s="635"/>
      <c r="K69" s="21">
        <f t="shared" si="10"/>
        <v>1</v>
      </c>
      <c r="L69" s="635"/>
      <c r="M69" s="21">
        <f t="shared" si="11"/>
        <v>1</v>
      </c>
      <c r="N69" s="635"/>
      <c r="O69" s="21">
        <f t="shared" si="12"/>
        <v>1</v>
      </c>
      <c r="P69" s="635">
        <v>2</v>
      </c>
      <c r="Q69" s="21">
        <f t="shared" si="13"/>
        <v>1</v>
      </c>
      <c r="R69" s="21">
        <f t="shared" ca="1" si="14"/>
        <v>118246</v>
      </c>
      <c r="S69" s="308">
        <f t="shared" ca="1" si="5"/>
        <v>1988</v>
      </c>
    </row>
    <row r="70" spans="1:19">
      <c r="A70" s="633" t="str">
        <f>'12.23面积'!D71</f>
        <v>4-1-101</v>
      </c>
      <c r="B70" s="633">
        <f>'12.23面积'!E71</f>
        <v>192.38</v>
      </c>
      <c r="C70" s="21">
        <f t="shared" si="6"/>
        <v>1.01</v>
      </c>
      <c r="D70" s="635"/>
      <c r="E70" s="21">
        <f t="shared" si="7"/>
        <v>1</v>
      </c>
      <c r="F70" s="635"/>
      <c r="G70" s="21">
        <f t="shared" si="8"/>
        <v>1</v>
      </c>
      <c r="H70" s="635"/>
      <c r="I70" s="21">
        <f t="shared" si="9"/>
        <v>1</v>
      </c>
      <c r="J70" s="635"/>
      <c r="K70" s="21">
        <f t="shared" si="10"/>
        <v>1</v>
      </c>
      <c r="L70" s="635"/>
      <c r="M70" s="21">
        <f t="shared" si="11"/>
        <v>1</v>
      </c>
      <c r="N70" s="635"/>
      <c r="O70" s="21">
        <f t="shared" si="12"/>
        <v>1</v>
      </c>
      <c r="P70" s="635">
        <v>3</v>
      </c>
      <c r="Q70" s="21">
        <f t="shared" si="13"/>
        <v>1.02</v>
      </c>
      <c r="R70" s="21">
        <f t="shared" ca="1" si="14"/>
        <v>120611</v>
      </c>
      <c r="S70" s="308">
        <f t="shared" ca="1" si="5"/>
        <v>2320</v>
      </c>
    </row>
    <row r="71" spans="1:19">
      <c r="A71" s="633" t="str">
        <f>'12.23面积'!D72</f>
        <v>4-1-201</v>
      </c>
      <c r="B71" s="633">
        <f>'12.23面积'!E72</f>
        <v>192.4</v>
      </c>
      <c r="C71" s="21">
        <f t="shared" si="6"/>
        <v>1.01</v>
      </c>
      <c r="D71" s="635"/>
      <c r="E71" s="21">
        <f t="shared" si="7"/>
        <v>1</v>
      </c>
      <c r="F71" s="635"/>
      <c r="G71" s="21">
        <f t="shared" si="8"/>
        <v>1</v>
      </c>
      <c r="H71" s="635"/>
      <c r="I71" s="21">
        <f t="shared" si="9"/>
        <v>1</v>
      </c>
      <c r="J71" s="635"/>
      <c r="K71" s="21">
        <f t="shared" si="10"/>
        <v>1</v>
      </c>
      <c r="L71" s="635"/>
      <c r="M71" s="21">
        <f t="shared" si="11"/>
        <v>1</v>
      </c>
      <c r="N71" s="635"/>
      <c r="O71" s="21">
        <f t="shared" si="12"/>
        <v>1</v>
      </c>
      <c r="P71" s="635">
        <v>3</v>
      </c>
      <c r="Q71" s="21">
        <f t="shared" si="13"/>
        <v>1.02</v>
      </c>
      <c r="R71" s="21">
        <f t="shared" ca="1" si="14"/>
        <v>120611</v>
      </c>
      <c r="S71" s="308">
        <f t="shared" ca="1" si="5"/>
        <v>2321</v>
      </c>
    </row>
    <row r="72" spans="1:19">
      <c r="A72" s="633" t="str">
        <f>'12.23面积'!D73</f>
        <v>4-1-301</v>
      </c>
      <c r="B72" s="633">
        <f>'12.23面积'!E73</f>
        <v>192.4</v>
      </c>
      <c r="C72" s="21">
        <f t="shared" si="6"/>
        <v>1.01</v>
      </c>
      <c r="D72" s="635"/>
      <c r="E72" s="21">
        <f t="shared" si="7"/>
        <v>1</v>
      </c>
      <c r="F72" s="635"/>
      <c r="G72" s="21">
        <f t="shared" si="8"/>
        <v>1</v>
      </c>
      <c r="H72" s="635"/>
      <c r="I72" s="21">
        <f t="shared" si="9"/>
        <v>1</v>
      </c>
      <c r="J72" s="635"/>
      <c r="K72" s="21">
        <f t="shared" si="10"/>
        <v>1</v>
      </c>
      <c r="L72" s="635"/>
      <c r="M72" s="21">
        <f t="shared" si="11"/>
        <v>1</v>
      </c>
      <c r="N72" s="635"/>
      <c r="O72" s="21">
        <f t="shared" si="12"/>
        <v>1</v>
      </c>
      <c r="P72" s="635">
        <v>1</v>
      </c>
      <c r="Q72" s="21">
        <f t="shared" si="13"/>
        <v>1</v>
      </c>
      <c r="R72" s="21">
        <f t="shared" ca="1" si="14"/>
        <v>118246</v>
      </c>
      <c r="S72" s="308">
        <f t="shared" ca="1" si="5"/>
        <v>2275</v>
      </c>
    </row>
    <row r="73" spans="1:19">
      <c r="A73" s="633" t="str">
        <f>'12.23面积'!D74</f>
        <v>4-1-302</v>
      </c>
      <c r="B73" s="633">
        <f>'12.23面积'!E74</f>
        <v>184.35</v>
      </c>
      <c r="C73" s="21">
        <f t="shared" si="6"/>
        <v>1.01</v>
      </c>
      <c r="D73" s="635"/>
      <c r="E73" s="21">
        <f t="shared" si="7"/>
        <v>1</v>
      </c>
      <c r="F73" s="635"/>
      <c r="G73" s="21">
        <f t="shared" si="8"/>
        <v>1</v>
      </c>
      <c r="H73" s="635"/>
      <c r="I73" s="21">
        <f t="shared" si="9"/>
        <v>1</v>
      </c>
      <c r="J73" s="635"/>
      <c r="K73" s="21">
        <f t="shared" si="10"/>
        <v>1</v>
      </c>
      <c r="L73" s="635"/>
      <c r="M73" s="21">
        <f t="shared" si="11"/>
        <v>1</v>
      </c>
      <c r="N73" s="635"/>
      <c r="O73" s="21">
        <f t="shared" si="12"/>
        <v>1</v>
      </c>
      <c r="P73" s="635">
        <v>1</v>
      </c>
      <c r="Q73" s="21">
        <f t="shared" si="13"/>
        <v>1</v>
      </c>
      <c r="R73" s="21">
        <f t="shared" ca="1" si="14"/>
        <v>118246</v>
      </c>
      <c r="S73" s="308">
        <f t="shared" ca="1" si="5"/>
        <v>2180</v>
      </c>
    </row>
    <row r="74" spans="1:19">
      <c r="A74" s="633" t="str">
        <f>'12.23面积'!D75</f>
        <v>4-2-101</v>
      </c>
      <c r="B74" s="633">
        <f>'12.23面积'!E75</f>
        <v>167.95</v>
      </c>
      <c r="C74" s="21">
        <f t="shared" si="6"/>
        <v>1.01</v>
      </c>
      <c r="D74" s="635"/>
      <c r="E74" s="21">
        <f t="shared" si="7"/>
        <v>1</v>
      </c>
      <c r="F74" s="635"/>
      <c r="G74" s="21">
        <f t="shared" si="8"/>
        <v>1</v>
      </c>
      <c r="H74" s="635"/>
      <c r="I74" s="21">
        <f t="shared" si="9"/>
        <v>1</v>
      </c>
      <c r="J74" s="635"/>
      <c r="K74" s="21">
        <f t="shared" si="10"/>
        <v>1</v>
      </c>
      <c r="L74" s="635"/>
      <c r="M74" s="21">
        <f t="shared" si="11"/>
        <v>1</v>
      </c>
      <c r="N74" s="635"/>
      <c r="O74" s="21">
        <f t="shared" si="12"/>
        <v>1</v>
      </c>
      <c r="P74" s="635">
        <v>1</v>
      </c>
      <c r="Q74" s="21">
        <f t="shared" si="13"/>
        <v>1</v>
      </c>
      <c r="R74" s="21">
        <f t="shared" ca="1" si="14"/>
        <v>118246</v>
      </c>
      <c r="S74" s="308">
        <f t="shared" ca="1" si="5"/>
        <v>1986</v>
      </c>
    </row>
    <row r="75" spans="1:19">
      <c r="A75" s="633" t="str">
        <f>'12.23面积'!D76</f>
        <v>3-1-101</v>
      </c>
      <c r="B75" s="633">
        <f>'12.23面积'!E76</f>
        <v>184.92</v>
      </c>
      <c r="C75" s="21">
        <f t="shared" si="6"/>
        <v>1.01</v>
      </c>
      <c r="D75" s="635"/>
      <c r="E75" s="21">
        <f t="shared" si="7"/>
        <v>1</v>
      </c>
      <c r="F75" s="635"/>
      <c r="G75" s="21">
        <f t="shared" si="8"/>
        <v>1</v>
      </c>
      <c r="H75" s="635"/>
      <c r="I75" s="21">
        <f t="shared" si="9"/>
        <v>1</v>
      </c>
      <c r="J75" s="635"/>
      <c r="K75" s="21">
        <f t="shared" si="10"/>
        <v>1</v>
      </c>
      <c r="L75" s="635"/>
      <c r="M75" s="21">
        <f t="shared" si="11"/>
        <v>1</v>
      </c>
      <c r="N75" s="635"/>
      <c r="O75" s="21">
        <f t="shared" si="12"/>
        <v>1</v>
      </c>
      <c r="P75" s="635">
        <v>2</v>
      </c>
      <c r="Q75" s="21">
        <f t="shared" si="13"/>
        <v>1</v>
      </c>
      <c r="R75" s="21">
        <f t="shared" ca="1" si="14"/>
        <v>118246</v>
      </c>
      <c r="S75" s="308">
        <f t="shared" ca="1" si="5"/>
        <v>2187</v>
      </c>
    </row>
    <row r="76" spans="1:19">
      <c r="A76" s="633" t="str">
        <f>'12.23面积'!D77</f>
        <v>3-1-102</v>
      </c>
      <c r="B76" s="633">
        <f>'12.23面积'!E77</f>
        <v>168.05</v>
      </c>
      <c r="C76" s="21">
        <f t="shared" si="6"/>
        <v>1.01</v>
      </c>
      <c r="D76" s="635"/>
      <c r="E76" s="21">
        <f t="shared" si="7"/>
        <v>1</v>
      </c>
      <c r="F76" s="635"/>
      <c r="G76" s="21">
        <f t="shared" si="8"/>
        <v>1</v>
      </c>
      <c r="H76" s="635"/>
      <c r="I76" s="21">
        <f t="shared" si="9"/>
        <v>1</v>
      </c>
      <c r="J76" s="635"/>
      <c r="K76" s="21">
        <f t="shared" si="10"/>
        <v>1</v>
      </c>
      <c r="L76" s="635"/>
      <c r="M76" s="21">
        <f t="shared" si="11"/>
        <v>1</v>
      </c>
      <c r="N76" s="635"/>
      <c r="O76" s="21">
        <f t="shared" si="12"/>
        <v>1</v>
      </c>
      <c r="P76" s="635">
        <v>1</v>
      </c>
      <c r="Q76" s="21">
        <f t="shared" si="13"/>
        <v>1</v>
      </c>
      <c r="R76" s="21">
        <f t="shared" ca="1" si="14"/>
        <v>118246</v>
      </c>
      <c r="S76" s="308">
        <f t="shared" ca="1" si="5"/>
        <v>1987</v>
      </c>
    </row>
    <row r="77" spans="1:19">
      <c r="A77" s="633" t="str">
        <f>'12.23面积'!D78</f>
        <v>3-1-201</v>
      </c>
      <c r="B77" s="633">
        <f>'12.23面积'!E78</f>
        <v>184.96</v>
      </c>
      <c r="C77" s="21">
        <f t="shared" si="6"/>
        <v>1.01</v>
      </c>
      <c r="D77" s="635"/>
      <c r="E77" s="21">
        <f t="shared" si="7"/>
        <v>1</v>
      </c>
      <c r="F77" s="635"/>
      <c r="G77" s="21">
        <f t="shared" si="8"/>
        <v>1</v>
      </c>
      <c r="H77" s="635"/>
      <c r="I77" s="21">
        <f t="shared" si="9"/>
        <v>1</v>
      </c>
      <c r="J77" s="635"/>
      <c r="K77" s="21">
        <f t="shared" si="10"/>
        <v>1</v>
      </c>
      <c r="L77" s="635"/>
      <c r="M77" s="21">
        <f t="shared" si="11"/>
        <v>1</v>
      </c>
      <c r="N77" s="635"/>
      <c r="O77" s="21">
        <f t="shared" si="12"/>
        <v>1</v>
      </c>
      <c r="P77" s="635">
        <v>1</v>
      </c>
      <c r="Q77" s="21">
        <f t="shared" si="13"/>
        <v>1</v>
      </c>
      <c r="R77" s="21">
        <f t="shared" ca="1" si="14"/>
        <v>118246</v>
      </c>
      <c r="S77" s="308">
        <f t="shared" ca="1" si="5"/>
        <v>2187</v>
      </c>
    </row>
    <row r="78" spans="1:19">
      <c r="A78" s="633" t="str">
        <f>'12.23面积'!D79</f>
        <v>7-1-102</v>
      </c>
      <c r="B78" s="633">
        <f>'12.23面积'!E79</f>
        <v>168.04</v>
      </c>
      <c r="C78" s="21">
        <f t="shared" si="6"/>
        <v>1.01</v>
      </c>
      <c r="D78" s="635"/>
      <c r="E78" s="21">
        <f t="shared" si="7"/>
        <v>1</v>
      </c>
      <c r="F78" s="635"/>
      <c r="G78" s="21">
        <f t="shared" si="8"/>
        <v>1</v>
      </c>
      <c r="H78" s="635"/>
      <c r="I78" s="21">
        <f t="shared" si="9"/>
        <v>1</v>
      </c>
      <c r="J78" s="635"/>
      <c r="K78" s="21">
        <f t="shared" si="10"/>
        <v>1</v>
      </c>
      <c r="L78" s="635"/>
      <c r="M78" s="21">
        <f t="shared" si="11"/>
        <v>1</v>
      </c>
      <c r="N78" s="635"/>
      <c r="O78" s="21">
        <f t="shared" si="12"/>
        <v>1</v>
      </c>
      <c r="P78" s="635">
        <v>1</v>
      </c>
      <c r="Q78" s="21">
        <f t="shared" si="13"/>
        <v>1</v>
      </c>
      <c r="R78" s="21">
        <f t="shared" ca="1" si="14"/>
        <v>118246</v>
      </c>
      <c r="S78" s="308">
        <f t="shared" ca="1" si="5"/>
        <v>1987</v>
      </c>
    </row>
    <row r="79" spans="1:19">
      <c r="A79" s="633" t="str">
        <f>'12.23面积'!D80</f>
        <v>7-2-101</v>
      </c>
      <c r="B79" s="633">
        <f>'12.23面积'!E80</f>
        <v>168.04</v>
      </c>
      <c r="C79" s="21">
        <f t="shared" si="6"/>
        <v>1.01</v>
      </c>
      <c r="D79" s="635"/>
      <c r="E79" s="21">
        <f t="shared" si="7"/>
        <v>1</v>
      </c>
      <c r="F79" s="635"/>
      <c r="G79" s="21">
        <f t="shared" si="8"/>
        <v>1</v>
      </c>
      <c r="H79" s="635"/>
      <c r="I79" s="21">
        <f t="shared" si="9"/>
        <v>1</v>
      </c>
      <c r="J79" s="635"/>
      <c r="K79" s="21">
        <f t="shared" si="10"/>
        <v>1</v>
      </c>
      <c r="L79" s="635"/>
      <c r="M79" s="21">
        <f t="shared" si="11"/>
        <v>1</v>
      </c>
      <c r="N79" s="635"/>
      <c r="O79" s="21">
        <f t="shared" si="12"/>
        <v>1</v>
      </c>
      <c r="P79" s="635">
        <v>1</v>
      </c>
      <c r="Q79" s="21">
        <f t="shared" si="13"/>
        <v>1</v>
      </c>
      <c r="R79" s="21">
        <f t="shared" ca="1" si="14"/>
        <v>118246</v>
      </c>
      <c r="S79" s="308">
        <f t="shared" ca="1" si="5"/>
        <v>1987</v>
      </c>
    </row>
    <row r="80" spans="1:19">
      <c r="A80" s="633" t="str">
        <f>'12.23面积'!D81</f>
        <v>7-3-101</v>
      </c>
      <c r="B80" s="633">
        <f>'12.23面积'!E81</f>
        <v>168.04</v>
      </c>
      <c r="C80" s="21">
        <f t="shared" si="6"/>
        <v>1.01</v>
      </c>
      <c r="D80" s="635"/>
      <c r="E80" s="21">
        <f t="shared" si="7"/>
        <v>1</v>
      </c>
      <c r="F80" s="635"/>
      <c r="G80" s="21">
        <f t="shared" si="8"/>
        <v>1</v>
      </c>
      <c r="H80" s="635"/>
      <c r="I80" s="21">
        <f t="shared" si="9"/>
        <v>1</v>
      </c>
      <c r="J80" s="635"/>
      <c r="K80" s="21">
        <f t="shared" si="10"/>
        <v>1</v>
      </c>
      <c r="L80" s="635"/>
      <c r="M80" s="21">
        <f t="shared" si="11"/>
        <v>1</v>
      </c>
      <c r="N80" s="635"/>
      <c r="O80" s="21">
        <f t="shared" si="12"/>
        <v>1</v>
      </c>
      <c r="P80" s="635">
        <v>1</v>
      </c>
      <c r="Q80" s="21">
        <f t="shared" si="13"/>
        <v>1</v>
      </c>
      <c r="R80" s="21">
        <f t="shared" ca="1" si="14"/>
        <v>118246</v>
      </c>
      <c r="S80" s="308">
        <f t="shared" ca="1" si="5"/>
        <v>1987</v>
      </c>
    </row>
    <row r="81" spans="1:19">
      <c r="A81" s="633" t="str">
        <f>'12.23面积'!D82</f>
        <v>8-1-101</v>
      </c>
      <c r="B81" s="633">
        <f>'12.23面积'!E82</f>
        <v>192.5</v>
      </c>
      <c r="C81" s="21">
        <f t="shared" si="6"/>
        <v>1.01</v>
      </c>
      <c r="D81" s="635"/>
      <c r="E81" s="21">
        <f t="shared" si="7"/>
        <v>1</v>
      </c>
      <c r="F81" s="635"/>
      <c r="G81" s="21">
        <f t="shared" si="8"/>
        <v>1</v>
      </c>
      <c r="H81" s="635"/>
      <c r="I81" s="21">
        <f t="shared" si="9"/>
        <v>1</v>
      </c>
      <c r="J81" s="635"/>
      <c r="K81" s="21">
        <f t="shared" si="10"/>
        <v>1</v>
      </c>
      <c r="L81" s="635"/>
      <c r="M81" s="21">
        <f t="shared" si="11"/>
        <v>1</v>
      </c>
      <c r="N81" s="635"/>
      <c r="O81" s="21">
        <f t="shared" si="12"/>
        <v>1</v>
      </c>
      <c r="P81" s="635">
        <v>2</v>
      </c>
      <c r="Q81" s="21">
        <f t="shared" si="13"/>
        <v>1</v>
      </c>
      <c r="R81" s="21">
        <f t="shared" ca="1" si="14"/>
        <v>118246</v>
      </c>
      <c r="S81" s="308">
        <f t="shared" ca="1" si="5"/>
        <v>2276</v>
      </c>
    </row>
    <row r="82" spans="1:19">
      <c r="A82" s="633" t="str">
        <f>'12.23面积'!D83</f>
        <v>8-1-102</v>
      </c>
      <c r="B82" s="633">
        <f>'12.23面积'!E83</f>
        <v>161.81</v>
      </c>
      <c r="C82" s="21">
        <f t="shared" si="6"/>
        <v>1.01</v>
      </c>
      <c r="D82" s="635"/>
      <c r="E82" s="21">
        <f t="shared" si="7"/>
        <v>1</v>
      </c>
      <c r="F82" s="635"/>
      <c r="G82" s="21">
        <f t="shared" si="8"/>
        <v>1</v>
      </c>
      <c r="H82" s="635"/>
      <c r="I82" s="21">
        <f t="shared" si="9"/>
        <v>1</v>
      </c>
      <c r="J82" s="635"/>
      <c r="K82" s="21">
        <f t="shared" si="10"/>
        <v>1</v>
      </c>
      <c r="L82" s="635"/>
      <c r="M82" s="21">
        <f t="shared" si="11"/>
        <v>1</v>
      </c>
      <c r="N82" s="635"/>
      <c r="O82" s="21">
        <f t="shared" si="12"/>
        <v>1</v>
      </c>
      <c r="P82" s="635">
        <v>2</v>
      </c>
      <c r="Q82" s="21">
        <f t="shared" si="13"/>
        <v>1</v>
      </c>
      <c r="R82" s="21">
        <f t="shared" ca="1" si="14"/>
        <v>118246</v>
      </c>
      <c r="S82" s="308">
        <f t="shared" ca="1" si="5"/>
        <v>1913</v>
      </c>
    </row>
    <row r="83" spans="1:19">
      <c r="A83" s="633" t="str">
        <f>'12.23面积'!D84</f>
        <v>8-1-201</v>
      </c>
      <c r="B83" s="633">
        <f>'12.23面积'!E84</f>
        <v>192.52</v>
      </c>
      <c r="C83" s="21">
        <f t="shared" si="6"/>
        <v>1.01</v>
      </c>
      <c r="D83" s="635"/>
      <c r="E83" s="21">
        <f t="shared" si="7"/>
        <v>1</v>
      </c>
      <c r="F83" s="635"/>
      <c r="G83" s="21">
        <f t="shared" si="8"/>
        <v>1</v>
      </c>
      <c r="H83" s="635"/>
      <c r="I83" s="21">
        <f t="shared" si="9"/>
        <v>1</v>
      </c>
      <c r="J83" s="635"/>
      <c r="K83" s="21">
        <f t="shared" si="10"/>
        <v>1</v>
      </c>
      <c r="L83" s="635"/>
      <c r="M83" s="21">
        <f t="shared" si="11"/>
        <v>1</v>
      </c>
      <c r="N83" s="635"/>
      <c r="O83" s="21">
        <f t="shared" si="12"/>
        <v>1</v>
      </c>
      <c r="P83" s="635">
        <v>3</v>
      </c>
      <c r="Q83" s="21">
        <f t="shared" si="13"/>
        <v>1.02</v>
      </c>
      <c r="R83" s="21">
        <f t="shared" ca="1" si="14"/>
        <v>120611</v>
      </c>
      <c r="S83" s="308">
        <f t="shared" ca="1" si="5"/>
        <v>2322</v>
      </c>
    </row>
    <row r="84" spans="1:19">
      <c r="A84" s="633" t="str">
        <f>'12.23面积'!D85</f>
        <v>8-1-202</v>
      </c>
      <c r="B84" s="633">
        <f>'12.23面积'!E85</f>
        <v>184.46</v>
      </c>
      <c r="C84" s="21">
        <f t="shared" si="6"/>
        <v>1.01</v>
      </c>
      <c r="D84" s="635"/>
      <c r="E84" s="21">
        <f t="shared" si="7"/>
        <v>1</v>
      </c>
      <c r="F84" s="635"/>
      <c r="G84" s="21">
        <f t="shared" si="8"/>
        <v>1</v>
      </c>
      <c r="H84" s="635"/>
      <c r="I84" s="21">
        <f t="shared" si="9"/>
        <v>1</v>
      </c>
      <c r="J84" s="635"/>
      <c r="K84" s="21">
        <f t="shared" si="10"/>
        <v>1</v>
      </c>
      <c r="L84" s="635"/>
      <c r="M84" s="21">
        <f t="shared" si="11"/>
        <v>1</v>
      </c>
      <c r="N84" s="635"/>
      <c r="O84" s="21">
        <f t="shared" si="12"/>
        <v>1</v>
      </c>
      <c r="P84" s="635">
        <v>4</v>
      </c>
      <c r="Q84" s="21">
        <f t="shared" si="13"/>
        <v>1.02</v>
      </c>
      <c r="R84" s="21">
        <f t="shared" ca="1" si="14"/>
        <v>120611</v>
      </c>
      <c r="S84" s="308">
        <f t="shared" ca="1" si="5"/>
        <v>2225</v>
      </c>
    </row>
    <row r="85" spans="1:19">
      <c r="A85" s="633" t="str">
        <f>'12.23面积'!D86</f>
        <v>8-1-301</v>
      </c>
      <c r="B85" s="633">
        <f>'12.23面积'!E86</f>
        <v>192.52</v>
      </c>
      <c r="C85" s="21">
        <f t="shared" si="6"/>
        <v>1.01</v>
      </c>
      <c r="D85" s="635"/>
      <c r="E85" s="21">
        <f t="shared" si="7"/>
        <v>1</v>
      </c>
      <c r="F85" s="635"/>
      <c r="G85" s="21">
        <f t="shared" si="8"/>
        <v>1</v>
      </c>
      <c r="H85" s="635"/>
      <c r="I85" s="21">
        <f t="shared" si="9"/>
        <v>1</v>
      </c>
      <c r="J85" s="635"/>
      <c r="K85" s="21">
        <f t="shared" si="10"/>
        <v>1</v>
      </c>
      <c r="L85" s="635"/>
      <c r="M85" s="21">
        <f t="shared" si="11"/>
        <v>1</v>
      </c>
      <c r="N85" s="635"/>
      <c r="O85" s="21">
        <f t="shared" si="12"/>
        <v>1</v>
      </c>
      <c r="P85" s="635">
        <v>4</v>
      </c>
      <c r="Q85" s="21">
        <f t="shared" si="13"/>
        <v>1.02</v>
      </c>
      <c r="R85" s="21">
        <f t="shared" ca="1" si="14"/>
        <v>120611</v>
      </c>
      <c r="S85" s="308">
        <f t="shared" ca="1" si="5"/>
        <v>2322</v>
      </c>
    </row>
    <row r="86" spans="1:19">
      <c r="A86" s="633" t="str">
        <f>'12.23面积'!D87</f>
        <v>8-1-401</v>
      </c>
      <c r="B86" s="633">
        <f>'12.23面积'!E87</f>
        <v>192.52</v>
      </c>
      <c r="C86" s="21">
        <f t="shared" si="6"/>
        <v>1.01</v>
      </c>
      <c r="D86" s="635"/>
      <c r="E86" s="21">
        <f t="shared" si="7"/>
        <v>1</v>
      </c>
      <c r="F86" s="635"/>
      <c r="G86" s="21">
        <f t="shared" si="8"/>
        <v>1</v>
      </c>
      <c r="H86" s="635"/>
      <c r="I86" s="21">
        <f t="shared" si="9"/>
        <v>1</v>
      </c>
      <c r="J86" s="635"/>
      <c r="K86" s="21">
        <f t="shared" si="10"/>
        <v>1</v>
      </c>
      <c r="L86" s="635"/>
      <c r="M86" s="21">
        <f t="shared" si="11"/>
        <v>1</v>
      </c>
      <c r="N86" s="635"/>
      <c r="O86" s="21">
        <f t="shared" si="12"/>
        <v>1</v>
      </c>
      <c r="P86" s="635">
        <v>1</v>
      </c>
      <c r="Q86" s="21">
        <f t="shared" si="13"/>
        <v>1</v>
      </c>
      <c r="R86" s="21">
        <f t="shared" ca="1" si="14"/>
        <v>118246</v>
      </c>
      <c r="S86" s="308">
        <f t="shared" ca="1" si="5"/>
        <v>2276</v>
      </c>
    </row>
    <row r="87" spans="1:19">
      <c r="A87" s="633" t="str">
        <f>'12.23面积'!D88</f>
        <v>8-1-402</v>
      </c>
      <c r="B87" s="633">
        <f>'12.23面积'!E88</f>
        <v>184.46</v>
      </c>
      <c r="C87" s="21">
        <f t="shared" si="6"/>
        <v>1.01</v>
      </c>
      <c r="D87" s="635"/>
      <c r="E87" s="21">
        <f t="shared" si="7"/>
        <v>1</v>
      </c>
      <c r="F87" s="635"/>
      <c r="G87" s="21">
        <f t="shared" si="8"/>
        <v>1</v>
      </c>
      <c r="H87" s="635"/>
      <c r="I87" s="21">
        <f t="shared" si="9"/>
        <v>1</v>
      </c>
      <c r="J87" s="635"/>
      <c r="K87" s="21">
        <f t="shared" si="10"/>
        <v>1</v>
      </c>
      <c r="L87" s="635"/>
      <c r="M87" s="21">
        <f t="shared" si="11"/>
        <v>1</v>
      </c>
      <c r="N87" s="635"/>
      <c r="O87" s="21">
        <f t="shared" si="12"/>
        <v>1</v>
      </c>
      <c r="P87" s="635">
        <v>1</v>
      </c>
      <c r="Q87" s="21">
        <f t="shared" si="13"/>
        <v>1</v>
      </c>
      <c r="R87" s="21">
        <f t="shared" ca="1" si="14"/>
        <v>118246</v>
      </c>
      <c r="S87" s="308">
        <f t="shared" ca="1" si="5"/>
        <v>2181</v>
      </c>
    </row>
    <row r="88" spans="1:19">
      <c r="A88" s="633" t="str">
        <f>'12.23面积'!D89</f>
        <v>8-2-101</v>
      </c>
      <c r="B88" s="633">
        <f>'12.23面积'!E89</f>
        <v>161.81</v>
      </c>
      <c r="C88" s="21">
        <f t="shared" si="6"/>
        <v>1.01</v>
      </c>
      <c r="D88" s="635"/>
      <c r="E88" s="21">
        <f t="shared" si="7"/>
        <v>1</v>
      </c>
      <c r="F88" s="635"/>
      <c r="G88" s="21">
        <f t="shared" si="8"/>
        <v>1</v>
      </c>
      <c r="H88" s="635"/>
      <c r="I88" s="21">
        <f t="shared" si="9"/>
        <v>1</v>
      </c>
      <c r="J88" s="635"/>
      <c r="K88" s="21">
        <f t="shared" si="10"/>
        <v>1</v>
      </c>
      <c r="L88" s="635"/>
      <c r="M88" s="21">
        <f t="shared" si="11"/>
        <v>1</v>
      </c>
      <c r="N88" s="635"/>
      <c r="O88" s="21">
        <f t="shared" si="12"/>
        <v>1</v>
      </c>
      <c r="P88" s="635">
        <v>3</v>
      </c>
      <c r="Q88" s="21">
        <f t="shared" si="13"/>
        <v>1.02</v>
      </c>
      <c r="R88" s="21">
        <f t="shared" ca="1" si="14"/>
        <v>120611</v>
      </c>
      <c r="S88" s="308">
        <f t="shared" ref="S88:S151" ca="1" si="15">ROUND(R88*B88/10000,0)</f>
        <v>1952</v>
      </c>
    </row>
    <row r="89" spans="1:19">
      <c r="A89" s="633" t="str">
        <f>'12.23面积'!D90</f>
        <v>8-2-102</v>
      </c>
      <c r="B89" s="633">
        <f>'12.23面积'!E90</f>
        <v>184.92</v>
      </c>
      <c r="C89" s="21">
        <f t="shared" si="6"/>
        <v>1.01</v>
      </c>
      <c r="D89" s="635"/>
      <c r="E89" s="21">
        <f t="shared" si="7"/>
        <v>1</v>
      </c>
      <c r="F89" s="635"/>
      <c r="G89" s="21">
        <f t="shared" si="8"/>
        <v>1</v>
      </c>
      <c r="H89" s="635"/>
      <c r="I89" s="21">
        <f t="shared" si="9"/>
        <v>1</v>
      </c>
      <c r="J89" s="635"/>
      <c r="K89" s="21">
        <f t="shared" si="10"/>
        <v>1</v>
      </c>
      <c r="L89" s="635"/>
      <c r="M89" s="21">
        <f t="shared" si="11"/>
        <v>1</v>
      </c>
      <c r="N89" s="635"/>
      <c r="O89" s="21">
        <f t="shared" si="12"/>
        <v>1</v>
      </c>
      <c r="P89" s="635">
        <v>1</v>
      </c>
      <c r="Q89" s="21">
        <f t="shared" si="13"/>
        <v>1</v>
      </c>
      <c r="R89" s="21">
        <f t="shared" ca="1" si="14"/>
        <v>118246</v>
      </c>
      <c r="S89" s="308">
        <f t="shared" ca="1" si="15"/>
        <v>2187</v>
      </c>
    </row>
    <row r="90" spans="1:19">
      <c r="A90" s="633" t="str">
        <f>'12.23面积'!D91</f>
        <v>8-2-301</v>
      </c>
      <c r="B90" s="633">
        <f>'12.23面积'!E91</f>
        <v>184.46</v>
      </c>
      <c r="C90" s="21">
        <f t="shared" ref="C90:C153" si="16">IF(B90="",1,(LOOKUP(B90,$3:$3,$4:$4)-LOOKUP($B$24,$3:$3,$4:$4)+100)/100)</f>
        <v>1.01</v>
      </c>
      <c r="D90" s="635"/>
      <c r="E90" s="21">
        <f t="shared" ref="E90:E153" si="17">(SUMIF($5:$5,D90,$6:$6)-SUMIF($5:$5,$D$24,$6:$6)+100)/100</f>
        <v>1</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v>3</v>
      </c>
      <c r="Q90" s="21">
        <f t="shared" ref="Q90:Q153" si="23">(SUMIF($17:$17,P90,$18:$18)-SUMIF($17:$17,$P$24,$18:$18)+100)/100</f>
        <v>1.02</v>
      </c>
      <c r="R90" s="21">
        <f t="shared" ref="R90:R153" ca="1" si="24">IF(B90="",0,ROUND($R$24*C90*E90*G90*I90*K90*M90*O90*Q90,0))</f>
        <v>120611</v>
      </c>
      <c r="S90" s="308">
        <f t="shared" ca="1" si="15"/>
        <v>2225</v>
      </c>
    </row>
    <row r="91" spans="1:19">
      <c r="A91" s="633" t="str">
        <f>'12.23面积'!D92</f>
        <v>9-1-101</v>
      </c>
      <c r="B91" s="633">
        <f>'12.23面积'!E92</f>
        <v>184.9</v>
      </c>
      <c r="C91" s="21">
        <f t="shared" si="16"/>
        <v>1.01</v>
      </c>
      <c r="D91" s="635"/>
      <c r="E91" s="21">
        <f t="shared" si="17"/>
        <v>1</v>
      </c>
      <c r="F91" s="635"/>
      <c r="G91" s="21">
        <f t="shared" si="18"/>
        <v>1</v>
      </c>
      <c r="H91" s="635"/>
      <c r="I91" s="21">
        <f t="shared" si="19"/>
        <v>1</v>
      </c>
      <c r="J91" s="635"/>
      <c r="K91" s="21">
        <f t="shared" si="20"/>
        <v>1</v>
      </c>
      <c r="L91" s="635"/>
      <c r="M91" s="21">
        <f t="shared" si="21"/>
        <v>1</v>
      </c>
      <c r="N91" s="635"/>
      <c r="O91" s="21">
        <f t="shared" si="22"/>
        <v>1</v>
      </c>
      <c r="P91" s="635">
        <v>1</v>
      </c>
      <c r="Q91" s="21">
        <f t="shared" si="23"/>
        <v>1</v>
      </c>
      <c r="R91" s="21">
        <f t="shared" ca="1" si="24"/>
        <v>118246</v>
      </c>
      <c r="S91" s="308">
        <f t="shared" ca="1" si="15"/>
        <v>2186</v>
      </c>
    </row>
    <row r="92" spans="1:19">
      <c r="A92" s="633" t="str">
        <f>'12.23面积'!D93</f>
        <v>9-1-301</v>
      </c>
      <c r="B92" s="633">
        <f>'12.23面积'!E93</f>
        <v>184.94</v>
      </c>
      <c r="C92" s="21">
        <f t="shared" si="16"/>
        <v>1.01</v>
      </c>
      <c r="D92" s="635"/>
      <c r="E92" s="21">
        <f t="shared" si="17"/>
        <v>1</v>
      </c>
      <c r="F92" s="635"/>
      <c r="G92" s="21">
        <f t="shared" si="18"/>
        <v>1</v>
      </c>
      <c r="H92" s="635"/>
      <c r="I92" s="21">
        <f t="shared" si="19"/>
        <v>1</v>
      </c>
      <c r="J92" s="635"/>
      <c r="K92" s="21">
        <f t="shared" si="20"/>
        <v>1</v>
      </c>
      <c r="L92" s="635"/>
      <c r="M92" s="21">
        <f t="shared" si="21"/>
        <v>1</v>
      </c>
      <c r="N92" s="635"/>
      <c r="O92" s="21">
        <f t="shared" si="22"/>
        <v>1</v>
      </c>
      <c r="P92" s="635">
        <v>1</v>
      </c>
      <c r="Q92" s="21">
        <f t="shared" si="23"/>
        <v>1</v>
      </c>
      <c r="R92" s="21">
        <f t="shared" ca="1" si="24"/>
        <v>118246</v>
      </c>
      <c r="S92" s="308">
        <f t="shared" ca="1" si="15"/>
        <v>2187</v>
      </c>
    </row>
    <row r="93" spans="1:19">
      <c r="A93" s="633" t="str">
        <f>'12.23面积'!D94</f>
        <v>9-2-101</v>
      </c>
      <c r="B93" s="633">
        <f>'12.23面积'!E94</f>
        <v>161.79</v>
      </c>
      <c r="C93" s="21">
        <f t="shared" si="16"/>
        <v>1.01</v>
      </c>
      <c r="D93" s="635"/>
      <c r="E93" s="21">
        <f t="shared" si="17"/>
        <v>1</v>
      </c>
      <c r="F93" s="635"/>
      <c r="G93" s="21">
        <f t="shared" si="18"/>
        <v>1</v>
      </c>
      <c r="H93" s="635"/>
      <c r="I93" s="21">
        <f t="shared" si="19"/>
        <v>1</v>
      </c>
      <c r="J93" s="635"/>
      <c r="K93" s="21">
        <f t="shared" si="20"/>
        <v>1</v>
      </c>
      <c r="L93" s="635"/>
      <c r="M93" s="21">
        <f t="shared" si="21"/>
        <v>1</v>
      </c>
      <c r="N93" s="635"/>
      <c r="O93" s="21">
        <f t="shared" si="22"/>
        <v>1</v>
      </c>
      <c r="P93" s="635">
        <v>1</v>
      </c>
      <c r="Q93" s="21">
        <f t="shared" si="23"/>
        <v>1</v>
      </c>
      <c r="R93" s="21">
        <f t="shared" ca="1" si="24"/>
        <v>118246</v>
      </c>
      <c r="S93" s="308">
        <f t="shared" ca="1" si="15"/>
        <v>1913</v>
      </c>
    </row>
    <row r="94" spans="1:19">
      <c r="A94" s="633" t="str">
        <f>'12.23面积'!D95</f>
        <v>10-2-101</v>
      </c>
      <c r="B94" s="633">
        <f>'12.23面积'!E95</f>
        <v>168.09</v>
      </c>
      <c r="C94" s="21">
        <f t="shared" si="16"/>
        <v>1.01</v>
      </c>
      <c r="D94" s="635"/>
      <c r="E94" s="21">
        <f t="shared" si="17"/>
        <v>1</v>
      </c>
      <c r="F94" s="635"/>
      <c r="G94" s="21">
        <f t="shared" si="18"/>
        <v>1</v>
      </c>
      <c r="H94" s="635"/>
      <c r="I94" s="21">
        <f t="shared" si="19"/>
        <v>1</v>
      </c>
      <c r="J94" s="635"/>
      <c r="K94" s="21">
        <f t="shared" si="20"/>
        <v>1</v>
      </c>
      <c r="L94" s="635"/>
      <c r="M94" s="21">
        <f t="shared" si="21"/>
        <v>1</v>
      </c>
      <c r="N94" s="635"/>
      <c r="O94" s="21">
        <f t="shared" si="22"/>
        <v>1</v>
      </c>
      <c r="P94" s="635">
        <v>2</v>
      </c>
      <c r="Q94" s="21">
        <f t="shared" si="23"/>
        <v>1</v>
      </c>
      <c r="R94" s="21">
        <f t="shared" ca="1" si="24"/>
        <v>118246</v>
      </c>
      <c r="S94" s="308">
        <f t="shared" ca="1" si="15"/>
        <v>1988</v>
      </c>
    </row>
    <row r="95" spans="1:19">
      <c r="A95" s="633" t="str">
        <f>'12.23面积'!D96</f>
        <v>13-1-102</v>
      </c>
      <c r="B95" s="633">
        <f>'12.23面积'!E96</f>
        <v>210.98</v>
      </c>
      <c r="C95" s="21">
        <f t="shared" si="16"/>
        <v>1</v>
      </c>
      <c r="D95" s="635"/>
      <c r="E95" s="21">
        <f t="shared" si="17"/>
        <v>1</v>
      </c>
      <c r="F95" s="635"/>
      <c r="G95" s="21">
        <f t="shared" si="18"/>
        <v>1</v>
      </c>
      <c r="H95" s="635"/>
      <c r="I95" s="21">
        <f t="shared" si="19"/>
        <v>1</v>
      </c>
      <c r="J95" s="635"/>
      <c r="K95" s="21">
        <f t="shared" si="20"/>
        <v>1</v>
      </c>
      <c r="L95" s="635"/>
      <c r="M95" s="21">
        <f t="shared" si="21"/>
        <v>1</v>
      </c>
      <c r="N95" s="635"/>
      <c r="O95" s="21">
        <f t="shared" si="22"/>
        <v>1</v>
      </c>
      <c r="P95" s="635">
        <v>3</v>
      </c>
      <c r="Q95" s="21">
        <f t="shared" si="23"/>
        <v>1.02</v>
      </c>
      <c r="R95" s="21">
        <f t="shared" ca="1" si="24"/>
        <v>119417</v>
      </c>
      <c r="S95" s="308">
        <f t="shared" ca="1" si="15"/>
        <v>2519</v>
      </c>
    </row>
    <row r="96" spans="1:19">
      <c r="A96" s="633" t="str">
        <f>'12.23面积'!D97</f>
        <v>13-1-202</v>
      </c>
      <c r="B96" s="633">
        <f>'12.23面积'!E97</f>
        <v>221.84</v>
      </c>
      <c r="C96" s="21">
        <f t="shared" si="16"/>
        <v>1</v>
      </c>
      <c r="D96" s="635"/>
      <c r="E96" s="21">
        <f t="shared" si="17"/>
        <v>1</v>
      </c>
      <c r="F96" s="635"/>
      <c r="G96" s="21">
        <f t="shared" si="18"/>
        <v>1</v>
      </c>
      <c r="H96" s="635"/>
      <c r="I96" s="21">
        <f t="shared" si="19"/>
        <v>1</v>
      </c>
      <c r="J96" s="635"/>
      <c r="K96" s="21">
        <f t="shared" si="20"/>
        <v>1</v>
      </c>
      <c r="L96" s="635"/>
      <c r="M96" s="21">
        <f t="shared" si="21"/>
        <v>1</v>
      </c>
      <c r="N96" s="635"/>
      <c r="O96" s="21">
        <f t="shared" si="22"/>
        <v>1</v>
      </c>
      <c r="P96" s="635">
        <v>1</v>
      </c>
      <c r="Q96" s="21">
        <f t="shared" si="23"/>
        <v>1</v>
      </c>
      <c r="R96" s="21">
        <f t="shared" ca="1" si="24"/>
        <v>117075</v>
      </c>
      <c r="S96" s="308">
        <f t="shared" ca="1" si="15"/>
        <v>2597</v>
      </c>
    </row>
    <row r="97" spans="1:19">
      <c r="A97" s="633" t="str">
        <f>'12.23面积'!D98</f>
        <v>13-1-302</v>
      </c>
      <c r="B97" s="633">
        <f>'12.23面积'!E98</f>
        <v>221.84</v>
      </c>
      <c r="C97" s="21">
        <f t="shared" si="16"/>
        <v>1</v>
      </c>
      <c r="D97" s="635"/>
      <c r="E97" s="21">
        <f t="shared" si="17"/>
        <v>1</v>
      </c>
      <c r="F97" s="635"/>
      <c r="G97" s="21">
        <f t="shared" si="18"/>
        <v>1</v>
      </c>
      <c r="H97" s="635"/>
      <c r="I97" s="21">
        <f t="shared" si="19"/>
        <v>1</v>
      </c>
      <c r="J97" s="635"/>
      <c r="K97" s="21">
        <f t="shared" si="20"/>
        <v>1</v>
      </c>
      <c r="L97" s="635"/>
      <c r="M97" s="21">
        <f t="shared" si="21"/>
        <v>1</v>
      </c>
      <c r="N97" s="635"/>
      <c r="O97" s="21">
        <f t="shared" si="22"/>
        <v>1</v>
      </c>
      <c r="P97" s="635">
        <v>1</v>
      </c>
      <c r="Q97" s="21">
        <f t="shared" si="23"/>
        <v>1</v>
      </c>
      <c r="R97" s="21">
        <f t="shared" ca="1" si="24"/>
        <v>117075</v>
      </c>
      <c r="S97" s="308">
        <f t="shared" ca="1" si="15"/>
        <v>2597</v>
      </c>
    </row>
    <row r="98" spans="1:19">
      <c r="A98" s="633" t="str">
        <f>'12.23面积'!D99</f>
        <v>13-2-101</v>
      </c>
      <c r="B98" s="633">
        <f>'12.23面积'!E99</f>
        <v>210.98</v>
      </c>
      <c r="C98" s="21">
        <f t="shared" si="16"/>
        <v>1</v>
      </c>
      <c r="D98" s="635"/>
      <c r="E98" s="21">
        <f t="shared" si="17"/>
        <v>1</v>
      </c>
      <c r="F98" s="635"/>
      <c r="G98" s="21">
        <f t="shared" si="18"/>
        <v>1</v>
      </c>
      <c r="H98" s="635"/>
      <c r="I98" s="21">
        <f t="shared" si="19"/>
        <v>1</v>
      </c>
      <c r="J98" s="635"/>
      <c r="K98" s="21">
        <f t="shared" si="20"/>
        <v>1</v>
      </c>
      <c r="L98" s="635"/>
      <c r="M98" s="21">
        <f t="shared" si="21"/>
        <v>1</v>
      </c>
      <c r="N98" s="635"/>
      <c r="O98" s="21">
        <f t="shared" si="22"/>
        <v>1</v>
      </c>
      <c r="P98" s="635">
        <v>2</v>
      </c>
      <c r="Q98" s="21">
        <f t="shared" si="23"/>
        <v>1</v>
      </c>
      <c r="R98" s="21">
        <f t="shared" ca="1" si="24"/>
        <v>117075</v>
      </c>
      <c r="S98" s="308">
        <f t="shared" ca="1" si="15"/>
        <v>2470</v>
      </c>
    </row>
    <row r="99" spans="1:19">
      <c r="A99" s="633" t="str">
        <f>'12.23面积'!D100</f>
        <v>13-2-102</v>
      </c>
      <c r="B99" s="633">
        <f>'12.23面积'!E100</f>
        <v>210.98</v>
      </c>
      <c r="C99" s="21">
        <f t="shared" si="16"/>
        <v>1</v>
      </c>
      <c r="D99" s="635"/>
      <c r="E99" s="21">
        <f t="shared" si="17"/>
        <v>1</v>
      </c>
      <c r="F99" s="635"/>
      <c r="G99" s="21">
        <f t="shared" si="18"/>
        <v>1</v>
      </c>
      <c r="H99" s="635"/>
      <c r="I99" s="21">
        <f t="shared" si="19"/>
        <v>1</v>
      </c>
      <c r="J99" s="635"/>
      <c r="K99" s="21">
        <f t="shared" si="20"/>
        <v>1</v>
      </c>
      <c r="L99" s="635"/>
      <c r="M99" s="21">
        <f t="shared" si="21"/>
        <v>1</v>
      </c>
      <c r="N99" s="635"/>
      <c r="O99" s="21">
        <f t="shared" si="22"/>
        <v>1</v>
      </c>
      <c r="P99" s="635">
        <v>2</v>
      </c>
      <c r="Q99" s="21">
        <f t="shared" si="23"/>
        <v>1</v>
      </c>
      <c r="R99" s="21">
        <f t="shared" ca="1" si="24"/>
        <v>117075</v>
      </c>
      <c r="S99" s="308">
        <f t="shared" ca="1" si="15"/>
        <v>2470</v>
      </c>
    </row>
    <row r="100" spans="1:19">
      <c r="A100" s="633" t="str">
        <f>'12.23面积'!D101</f>
        <v>13-2-201</v>
      </c>
      <c r="B100" s="633">
        <f>'12.23面积'!E101</f>
        <v>221.84</v>
      </c>
      <c r="C100" s="21">
        <f t="shared" si="16"/>
        <v>1</v>
      </c>
      <c r="D100" s="635"/>
      <c r="E100" s="21">
        <f t="shared" si="17"/>
        <v>1</v>
      </c>
      <c r="F100" s="635"/>
      <c r="G100" s="21">
        <f t="shared" si="18"/>
        <v>1</v>
      </c>
      <c r="H100" s="635"/>
      <c r="I100" s="21">
        <f t="shared" si="19"/>
        <v>1</v>
      </c>
      <c r="J100" s="635"/>
      <c r="K100" s="21">
        <f t="shared" si="20"/>
        <v>1</v>
      </c>
      <c r="L100" s="635"/>
      <c r="M100" s="21">
        <f t="shared" si="21"/>
        <v>1</v>
      </c>
      <c r="N100" s="635"/>
      <c r="O100" s="21">
        <f t="shared" si="22"/>
        <v>1</v>
      </c>
      <c r="P100" s="635">
        <v>3</v>
      </c>
      <c r="Q100" s="21">
        <f t="shared" si="23"/>
        <v>1.02</v>
      </c>
      <c r="R100" s="21">
        <f t="shared" ca="1" si="24"/>
        <v>119417</v>
      </c>
      <c r="S100" s="308">
        <f t="shared" ca="1" si="15"/>
        <v>2649</v>
      </c>
    </row>
    <row r="101" spans="1:19">
      <c r="A101" s="633" t="str">
        <f>'12.23面积'!D102</f>
        <v>13-2-202</v>
      </c>
      <c r="B101" s="633">
        <f>'12.23面积'!E102</f>
        <v>221.84</v>
      </c>
      <c r="C101" s="21">
        <f t="shared" si="16"/>
        <v>1</v>
      </c>
      <c r="D101" s="635"/>
      <c r="E101" s="21">
        <f t="shared" si="17"/>
        <v>1</v>
      </c>
      <c r="F101" s="635"/>
      <c r="G101" s="21">
        <f t="shared" si="18"/>
        <v>1</v>
      </c>
      <c r="H101" s="635"/>
      <c r="I101" s="21">
        <f t="shared" si="19"/>
        <v>1</v>
      </c>
      <c r="J101" s="635"/>
      <c r="K101" s="21">
        <f t="shared" si="20"/>
        <v>1</v>
      </c>
      <c r="L101" s="635"/>
      <c r="M101" s="21">
        <f t="shared" si="21"/>
        <v>1</v>
      </c>
      <c r="N101" s="635"/>
      <c r="O101" s="21">
        <f t="shared" si="22"/>
        <v>1</v>
      </c>
      <c r="P101" s="635">
        <v>3</v>
      </c>
      <c r="Q101" s="21">
        <f t="shared" si="23"/>
        <v>1.02</v>
      </c>
      <c r="R101" s="21">
        <f t="shared" ca="1" si="24"/>
        <v>119417</v>
      </c>
      <c r="S101" s="308">
        <f t="shared" ca="1" si="15"/>
        <v>2649</v>
      </c>
    </row>
    <row r="102" spans="1:19">
      <c r="A102" s="633" t="str">
        <f>'12.23面积'!D103</f>
        <v>13-2-301</v>
      </c>
      <c r="B102" s="633">
        <f>'12.23面积'!E103</f>
        <v>221.84</v>
      </c>
      <c r="C102" s="21">
        <f t="shared" si="16"/>
        <v>1</v>
      </c>
      <c r="D102" s="635"/>
      <c r="E102" s="21">
        <f t="shared" si="17"/>
        <v>1</v>
      </c>
      <c r="F102" s="635"/>
      <c r="G102" s="21">
        <f t="shared" si="18"/>
        <v>1</v>
      </c>
      <c r="H102" s="635"/>
      <c r="I102" s="21">
        <f t="shared" si="19"/>
        <v>1</v>
      </c>
      <c r="J102" s="635"/>
      <c r="K102" s="21">
        <f t="shared" si="20"/>
        <v>1</v>
      </c>
      <c r="L102" s="635"/>
      <c r="M102" s="21">
        <f t="shared" si="21"/>
        <v>1</v>
      </c>
      <c r="N102" s="635"/>
      <c r="O102" s="21">
        <f t="shared" si="22"/>
        <v>1</v>
      </c>
      <c r="P102" s="635">
        <v>4</v>
      </c>
      <c r="Q102" s="21">
        <f t="shared" si="23"/>
        <v>1.02</v>
      </c>
      <c r="R102" s="21">
        <f t="shared" ca="1" si="24"/>
        <v>119417</v>
      </c>
      <c r="S102" s="308">
        <f t="shared" ca="1" si="15"/>
        <v>2649</v>
      </c>
    </row>
    <row r="103" spans="1:19">
      <c r="A103" s="633" t="str">
        <f>'12.23面积'!D104</f>
        <v>13-2-302</v>
      </c>
      <c r="B103" s="633">
        <f>'12.23面积'!E104</f>
        <v>221.84</v>
      </c>
      <c r="C103" s="21">
        <f t="shared" si="16"/>
        <v>1</v>
      </c>
      <c r="D103" s="635"/>
      <c r="E103" s="21">
        <f t="shared" si="17"/>
        <v>1</v>
      </c>
      <c r="F103" s="635"/>
      <c r="G103" s="21">
        <f t="shared" si="18"/>
        <v>1</v>
      </c>
      <c r="H103" s="635"/>
      <c r="I103" s="21">
        <f t="shared" si="19"/>
        <v>1</v>
      </c>
      <c r="J103" s="635"/>
      <c r="K103" s="21">
        <f t="shared" si="20"/>
        <v>1</v>
      </c>
      <c r="L103" s="635"/>
      <c r="M103" s="21">
        <f t="shared" si="21"/>
        <v>1</v>
      </c>
      <c r="N103" s="635"/>
      <c r="O103" s="21">
        <f t="shared" si="22"/>
        <v>1</v>
      </c>
      <c r="P103" s="635">
        <v>4</v>
      </c>
      <c r="Q103" s="21">
        <f t="shared" si="23"/>
        <v>1.02</v>
      </c>
      <c r="R103" s="21">
        <f t="shared" ca="1" si="24"/>
        <v>119417</v>
      </c>
      <c r="S103" s="308">
        <f t="shared" ca="1" si="15"/>
        <v>2649</v>
      </c>
    </row>
    <row r="104" spans="1:19">
      <c r="A104" s="633" t="str">
        <f>'12.23面积'!D105</f>
        <v>13-2-401</v>
      </c>
      <c r="B104" s="633">
        <f>'12.23面积'!E105</f>
        <v>221.84</v>
      </c>
      <c r="C104" s="21">
        <f t="shared" si="16"/>
        <v>1</v>
      </c>
      <c r="D104" s="635"/>
      <c r="E104" s="21">
        <f t="shared" si="17"/>
        <v>1</v>
      </c>
      <c r="F104" s="635"/>
      <c r="G104" s="21">
        <f t="shared" si="18"/>
        <v>1</v>
      </c>
      <c r="H104" s="635"/>
      <c r="I104" s="21">
        <f t="shared" si="19"/>
        <v>1</v>
      </c>
      <c r="J104" s="635"/>
      <c r="K104" s="21">
        <f t="shared" si="20"/>
        <v>1</v>
      </c>
      <c r="L104" s="635"/>
      <c r="M104" s="21">
        <f t="shared" si="21"/>
        <v>1</v>
      </c>
      <c r="N104" s="635"/>
      <c r="O104" s="21">
        <f t="shared" si="22"/>
        <v>1</v>
      </c>
      <c r="P104" s="635">
        <v>1</v>
      </c>
      <c r="Q104" s="21">
        <f t="shared" si="23"/>
        <v>1</v>
      </c>
      <c r="R104" s="21">
        <f t="shared" ca="1" si="24"/>
        <v>117075</v>
      </c>
      <c r="S104" s="308">
        <f t="shared" ca="1" si="15"/>
        <v>2597</v>
      </c>
    </row>
    <row r="105" spans="1:19">
      <c r="A105" s="633" t="str">
        <f>'12.23面积'!D106</f>
        <v>13-2-402</v>
      </c>
      <c r="B105" s="633">
        <f>'12.23面积'!E106</f>
        <v>221.84</v>
      </c>
      <c r="C105" s="21">
        <f t="shared" si="16"/>
        <v>1</v>
      </c>
      <c r="D105" s="635"/>
      <c r="E105" s="21">
        <f t="shared" si="17"/>
        <v>1</v>
      </c>
      <c r="F105" s="635"/>
      <c r="G105" s="21">
        <f t="shared" si="18"/>
        <v>1</v>
      </c>
      <c r="H105" s="635"/>
      <c r="I105" s="21">
        <f t="shared" si="19"/>
        <v>1</v>
      </c>
      <c r="J105" s="635"/>
      <c r="K105" s="21">
        <f t="shared" si="20"/>
        <v>1</v>
      </c>
      <c r="L105" s="635"/>
      <c r="M105" s="21">
        <f t="shared" si="21"/>
        <v>1</v>
      </c>
      <c r="N105" s="635"/>
      <c r="O105" s="21">
        <f t="shared" si="22"/>
        <v>1</v>
      </c>
      <c r="P105" s="635">
        <v>1</v>
      </c>
      <c r="Q105" s="21">
        <f t="shared" si="23"/>
        <v>1</v>
      </c>
      <c r="R105" s="21">
        <f t="shared" ca="1" si="24"/>
        <v>117075</v>
      </c>
      <c r="S105" s="308">
        <f t="shared" ca="1" si="15"/>
        <v>2597</v>
      </c>
    </row>
    <row r="106" spans="1:19">
      <c r="A106" s="633" t="str">
        <f>'12.23面积'!D107</f>
        <v>13-3-101</v>
      </c>
      <c r="B106" s="633">
        <f>'12.23面积'!E107</f>
        <v>210.98</v>
      </c>
      <c r="C106" s="21">
        <f t="shared" si="16"/>
        <v>1</v>
      </c>
      <c r="D106" s="635"/>
      <c r="E106" s="21">
        <f t="shared" si="17"/>
        <v>1</v>
      </c>
      <c r="F106" s="635"/>
      <c r="G106" s="21">
        <f t="shared" si="18"/>
        <v>1</v>
      </c>
      <c r="H106" s="635"/>
      <c r="I106" s="21">
        <f t="shared" si="19"/>
        <v>1</v>
      </c>
      <c r="J106" s="635"/>
      <c r="K106" s="21">
        <f t="shared" si="20"/>
        <v>1</v>
      </c>
      <c r="L106" s="635"/>
      <c r="M106" s="21">
        <f t="shared" si="21"/>
        <v>1</v>
      </c>
      <c r="N106" s="635"/>
      <c r="O106" s="21">
        <f t="shared" si="22"/>
        <v>1</v>
      </c>
      <c r="P106" s="635">
        <v>2</v>
      </c>
      <c r="Q106" s="21">
        <f t="shared" si="23"/>
        <v>1</v>
      </c>
      <c r="R106" s="21">
        <f t="shared" ca="1" si="24"/>
        <v>117075</v>
      </c>
      <c r="S106" s="308">
        <f t="shared" ca="1" si="15"/>
        <v>2470</v>
      </c>
    </row>
    <row r="107" spans="1:19">
      <c r="A107" s="633" t="str">
        <f>'12.23面积'!D108</f>
        <v>13-3-102</v>
      </c>
      <c r="B107" s="633">
        <f>'12.23面积'!E108</f>
        <v>212.29</v>
      </c>
      <c r="C107" s="21">
        <f t="shared" si="16"/>
        <v>1</v>
      </c>
      <c r="D107" s="635"/>
      <c r="E107" s="21">
        <f t="shared" si="17"/>
        <v>1</v>
      </c>
      <c r="F107" s="635"/>
      <c r="G107" s="21">
        <f t="shared" si="18"/>
        <v>1</v>
      </c>
      <c r="H107" s="635"/>
      <c r="I107" s="21">
        <f t="shared" si="19"/>
        <v>1</v>
      </c>
      <c r="J107" s="635"/>
      <c r="K107" s="21">
        <f t="shared" si="20"/>
        <v>1</v>
      </c>
      <c r="L107" s="635"/>
      <c r="M107" s="21">
        <f t="shared" si="21"/>
        <v>1</v>
      </c>
      <c r="N107" s="635"/>
      <c r="O107" s="21">
        <f t="shared" si="22"/>
        <v>1</v>
      </c>
      <c r="P107" s="635">
        <v>2</v>
      </c>
      <c r="Q107" s="21">
        <f t="shared" si="23"/>
        <v>1</v>
      </c>
      <c r="R107" s="21">
        <f t="shared" ca="1" si="24"/>
        <v>117075</v>
      </c>
      <c r="S107" s="308">
        <f t="shared" ca="1" si="15"/>
        <v>2485</v>
      </c>
    </row>
    <row r="108" spans="1:19">
      <c r="A108" s="633" t="str">
        <f>'12.23面积'!D109</f>
        <v>13-3-201</v>
      </c>
      <c r="B108" s="633">
        <f>'12.23面积'!E109</f>
        <v>221.84</v>
      </c>
      <c r="C108" s="21">
        <f t="shared" si="16"/>
        <v>1</v>
      </c>
      <c r="D108" s="635"/>
      <c r="E108" s="21">
        <f t="shared" si="17"/>
        <v>1</v>
      </c>
      <c r="F108" s="635"/>
      <c r="G108" s="21">
        <f t="shared" si="18"/>
        <v>1</v>
      </c>
      <c r="H108" s="635"/>
      <c r="I108" s="21">
        <f t="shared" si="19"/>
        <v>1</v>
      </c>
      <c r="J108" s="635"/>
      <c r="K108" s="21">
        <f t="shared" si="20"/>
        <v>1</v>
      </c>
      <c r="L108" s="635"/>
      <c r="M108" s="21">
        <f t="shared" si="21"/>
        <v>1</v>
      </c>
      <c r="N108" s="635"/>
      <c r="O108" s="21">
        <f t="shared" si="22"/>
        <v>1</v>
      </c>
      <c r="P108" s="635">
        <v>3</v>
      </c>
      <c r="Q108" s="21">
        <f t="shared" si="23"/>
        <v>1.02</v>
      </c>
      <c r="R108" s="21">
        <f t="shared" ca="1" si="24"/>
        <v>119417</v>
      </c>
      <c r="S108" s="308">
        <f t="shared" ca="1" si="15"/>
        <v>2649</v>
      </c>
    </row>
    <row r="109" spans="1:19">
      <c r="A109" s="633" t="str">
        <f>'12.23面积'!D110</f>
        <v>13-3-202</v>
      </c>
      <c r="B109" s="633">
        <f>'12.23面积'!E110</f>
        <v>223.15</v>
      </c>
      <c r="C109" s="21">
        <f t="shared" si="16"/>
        <v>1</v>
      </c>
      <c r="D109" s="635"/>
      <c r="E109" s="21">
        <f t="shared" si="17"/>
        <v>1</v>
      </c>
      <c r="F109" s="635"/>
      <c r="G109" s="21">
        <f t="shared" si="18"/>
        <v>1</v>
      </c>
      <c r="H109" s="635"/>
      <c r="I109" s="21">
        <f t="shared" si="19"/>
        <v>1</v>
      </c>
      <c r="J109" s="635"/>
      <c r="K109" s="21">
        <f t="shared" si="20"/>
        <v>1</v>
      </c>
      <c r="L109" s="635"/>
      <c r="M109" s="21">
        <f t="shared" si="21"/>
        <v>1</v>
      </c>
      <c r="N109" s="635"/>
      <c r="O109" s="21">
        <f t="shared" si="22"/>
        <v>1</v>
      </c>
      <c r="P109" s="635">
        <v>4</v>
      </c>
      <c r="Q109" s="21">
        <f t="shared" si="23"/>
        <v>1.02</v>
      </c>
      <c r="R109" s="21">
        <f t="shared" ca="1" si="24"/>
        <v>119417</v>
      </c>
      <c r="S109" s="308">
        <f t="shared" ca="1" si="15"/>
        <v>2665</v>
      </c>
    </row>
    <row r="110" spans="1:19">
      <c r="A110" s="633" t="str">
        <f>'12.23面积'!D111</f>
        <v>13-3-301</v>
      </c>
      <c r="B110" s="633">
        <f>'12.23面积'!E111</f>
        <v>221.84</v>
      </c>
      <c r="C110" s="21">
        <f t="shared" si="16"/>
        <v>1</v>
      </c>
      <c r="D110" s="635"/>
      <c r="E110" s="21">
        <f t="shared" si="17"/>
        <v>1</v>
      </c>
      <c r="F110" s="635"/>
      <c r="G110" s="21">
        <f t="shared" si="18"/>
        <v>1</v>
      </c>
      <c r="H110" s="635"/>
      <c r="I110" s="21">
        <f t="shared" si="19"/>
        <v>1</v>
      </c>
      <c r="J110" s="635"/>
      <c r="K110" s="21">
        <f t="shared" si="20"/>
        <v>1</v>
      </c>
      <c r="L110" s="635"/>
      <c r="M110" s="21">
        <f t="shared" si="21"/>
        <v>1</v>
      </c>
      <c r="N110" s="635"/>
      <c r="O110" s="21">
        <f t="shared" si="22"/>
        <v>1</v>
      </c>
      <c r="P110" s="635">
        <v>4</v>
      </c>
      <c r="Q110" s="21">
        <f t="shared" si="23"/>
        <v>1.02</v>
      </c>
      <c r="R110" s="21">
        <f t="shared" ca="1" si="24"/>
        <v>119417</v>
      </c>
      <c r="S110" s="308">
        <f t="shared" ca="1" si="15"/>
        <v>2649</v>
      </c>
    </row>
    <row r="111" spans="1:19">
      <c r="A111" s="633" t="str">
        <f>'12.23面积'!D112</f>
        <v>13-3-402</v>
      </c>
      <c r="B111" s="633">
        <f>'12.23面积'!E112</f>
        <v>223.15</v>
      </c>
      <c r="C111" s="21">
        <f t="shared" si="16"/>
        <v>1</v>
      </c>
      <c r="D111" s="635"/>
      <c r="E111" s="21">
        <f t="shared" si="17"/>
        <v>1</v>
      </c>
      <c r="F111" s="635"/>
      <c r="G111" s="21">
        <f t="shared" si="18"/>
        <v>1</v>
      </c>
      <c r="H111" s="635"/>
      <c r="I111" s="21">
        <f t="shared" si="19"/>
        <v>1</v>
      </c>
      <c r="J111" s="635"/>
      <c r="K111" s="21">
        <f t="shared" si="20"/>
        <v>1</v>
      </c>
      <c r="L111" s="635"/>
      <c r="M111" s="21">
        <f t="shared" si="21"/>
        <v>1</v>
      </c>
      <c r="N111" s="635"/>
      <c r="O111" s="21">
        <f t="shared" si="22"/>
        <v>1</v>
      </c>
      <c r="P111" s="635">
        <v>1</v>
      </c>
      <c r="Q111" s="21">
        <f t="shared" si="23"/>
        <v>1</v>
      </c>
      <c r="R111" s="21">
        <f t="shared" ca="1" si="24"/>
        <v>117075</v>
      </c>
      <c r="S111" s="308">
        <f t="shared" ca="1" si="15"/>
        <v>2613</v>
      </c>
    </row>
    <row r="112" spans="1:19">
      <c r="A112" s="633" t="str">
        <f>'12.23面积'!D113</f>
        <v>13-3-401</v>
      </c>
      <c r="B112" s="633">
        <f>'12.23面积'!E113</f>
        <v>221.84</v>
      </c>
      <c r="C112" s="21">
        <f t="shared" si="16"/>
        <v>1</v>
      </c>
      <c r="D112" s="635"/>
      <c r="E112" s="21">
        <f t="shared" si="17"/>
        <v>1</v>
      </c>
      <c r="F112" s="635"/>
      <c r="G112" s="21">
        <f t="shared" si="18"/>
        <v>1</v>
      </c>
      <c r="H112" s="635"/>
      <c r="I112" s="21">
        <f t="shared" si="19"/>
        <v>1</v>
      </c>
      <c r="J112" s="635"/>
      <c r="K112" s="21">
        <f t="shared" si="20"/>
        <v>1</v>
      </c>
      <c r="L112" s="635"/>
      <c r="M112" s="21">
        <f t="shared" si="21"/>
        <v>1</v>
      </c>
      <c r="N112" s="635"/>
      <c r="O112" s="21">
        <f t="shared" si="22"/>
        <v>1</v>
      </c>
      <c r="P112" s="635">
        <v>1</v>
      </c>
      <c r="Q112" s="21">
        <f t="shared" si="23"/>
        <v>1</v>
      </c>
      <c r="R112" s="21">
        <f t="shared" ca="1" si="24"/>
        <v>117075</v>
      </c>
      <c r="S112" s="308">
        <f t="shared" ca="1" si="15"/>
        <v>2597</v>
      </c>
    </row>
    <row r="113" spans="1:19">
      <c r="A113" s="633" t="str">
        <f>'12.23面积'!D114</f>
        <v>15-1-101</v>
      </c>
      <c r="B113" s="633">
        <f>'12.23面积'!E114</f>
        <v>272.91000000000003</v>
      </c>
      <c r="C113" s="21">
        <f t="shared" si="16"/>
        <v>1</v>
      </c>
      <c r="D113" s="635"/>
      <c r="E113" s="21">
        <f t="shared" si="17"/>
        <v>1</v>
      </c>
      <c r="F113" s="635"/>
      <c r="G113" s="21">
        <f t="shared" si="18"/>
        <v>1</v>
      </c>
      <c r="H113" s="635"/>
      <c r="I113" s="21">
        <f t="shared" si="19"/>
        <v>1</v>
      </c>
      <c r="J113" s="635"/>
      <c r="K113" s="21">
        <f t="shared" si="20"/>
        <v>1</v>
      </c>
      <c r="L113" s="635"/>
      <c r="M113" s="21">
        <f t="shared" si="21"/>
        <v>1</v>
      </c>
      <c r="N113" s="635"/>
      <c r="O113" s="21">
        <f t="shared" si="22"/>
        <v>1</v>
      </c>
      <c r="P113" s="635">
        <v>2</v>
      </c>
      <c r="Q113" s="21">
        <f t="shared" si="23"/>
        <v>1</v>
      </c>
      <c r="R113" s="21">
        <f t="shared" ca="1" si="24"/>
        <v>117075</v>
      </c>
      <c r="S113" s="308">
        <f t="shared" ca="1" si="15"/>
        <v>3195</v>
      </c>
    </row>
    <row r="114" spans="1:19">
      <c r="A114" s="633" t="str">
        <f>'12.23面积'!D115</f>
        <v>15-1-102</v>
      </c>
      <c r="B114" s="633">
        <f>'12.23面积'!E115</f>
        <v>271.69</v>
      </c>
      <c r="C114" s="21">
        <f t="shared" si="16"/>
        <v>1</v>
      </c>
      <c r="D114" s="635"/>
      <c r="E114" s="21">
        <f t="shared" si="17"/>
        <v>1</v>
      </c>
      <c r="F114" s="635"/>
      <c r="G114" s="21">
        <f t="shared" si="18"/>
        <v>1</v>
      </c>
      <c r="H114" s="635"/>
      <c r="I114" s="21">
        <f t="shared" si="19"/>
        <v>1</v>
      </c>
      <c r="J114" s="635"/>
      <c r="K114" s="21">
        <f t="shared" si="20"/>
        <v>1</v>
      </c>
      <c r="L114" s="635"/>
      <c r="M114" s="21">
        <f t="shared" si="21"/>
        <v>1</v>
      </c>
      <c r="N114" s="635"/>
      <c r="O114" s="21">
        <f t="shared" si="22"/>
        <v>1</v>
      </c>
      <c r="P114" s="635">
        <v>2</v>
      </c>
      <c r="Q114" s="21">
        <f t="shared" si="23"/>
        <v>1</v>
      </c>
      <c r="R114" s="21">
        <f t="shared" ca="1" si="24"/>
        <v>117075</v>
      </c>
      <c r="S114" s="308">
        <f t="shared" ca="1" si="15"/>
        <v>3181</v>
      </c>
    </row>
    <row r="115" spans="1:19">
      <c r="A115" s="633" t="str">
        <f>'12.23面积'!D116</f>
        <v>15-1-201</v>
      </c>
      <c r="B115" s="633">
        <f>'12.23面积'!E116</f>
        <v>272.97000000000003</v>
      </c>
      <c r="C115" s="21">
        <f t="shared" si="16"/>
        <v>1</v>
      </c>
      <c r="D115" s="635"/>
      <c r="E115" s="21">
        <f t="shared" si="17"/>
        <v>1</v>
      </c>
      <c r="F115" s="635"/>
      <c r="G115" s="21">
        <f t="shared" si="18"/>
        <v>1</v>
      </c>
      <c r="H115" s="635"/>
      <c r="I115" s="21">
        <f t="shared" si="19"/>
        <v>1</v>
      </c>
      <c r="J115" s="635"/>
      <c r="K115" s="21">
        <f t="shared" si="20"/>
        <v>1</v>
      </c>
      <c r="L115" s="635"/>
      <c r="M115" s="21">
        <f t="shared" si="21"/>
        <v>1</v>
      </c>
      <c r="N115" s="635"/>
      <c r="O115" s="21">
        <f t="shared" si="22"/>
        <v>1</v>
      </c>
      <c r="P115" s="635">
        <v>3</v>
      </c>
      <c r="Q115" s="21">
        <f t="shared" si="23"/>
        <v>1.02</v>
      </c>
      <c r="R115" s="21">
        <f t="shared" ca="1" si="24"/>
        <v>119417</v>
      </c>
      <c r="S115" s="308">
        <f t="shared" ca="1" si="15"/>
        <v>3260</v>
      </c>
    </row>
    <row r="116" spans="1:19">
      <c r="A116" s="633" t="str">
        <f>'12.23面积'!D117</f>
        <v>15-1-202</v>
      </c>
      <c r="B116" s="633">
        <f>'12.23面积'!E117</f>
        <v>271.75</v>
      </c>
      <c r="C116" s="21">
        <f t="shared" si="16"/>
        <v>1</v>
      </c>
      <c r="D116" s="635"/>
      <c r="E116" s="21">
        <f t="shared" si="17"/>
        <v>1</v>
      </c>
      <c r="F116" s="635"/>
      <c r="G116" s="21">
        <f t="shared" si="18"/>
        <v>1</v>
      </c>
      <c r="H116" s="635"/>
      <c r="I116" s="21">
        <f t="shared" si="19"/>
        <v>1</v>
      </c>
      <c r="J116" s="635"/>
      <c r="K116" s="21">
        <f t="shared" si="20"/>
        <v>1</v>
      </c>
      <c r="L116" s="635"/>
      <c r="M116" s="21">
        <f t="shared" si="21"/>
        <v>1</v>
      </c>
      <c r="N116" s="635"/>
      <c r="O116" s="21">
        <f t="shared" si="22"/>
        <v>1</v>
      </c>
      <c r="P116" s="635">
        <v>1</v>
      </c>
      <c r="Q116" s="21">
        <f t="shared" si="23"/>
        <v>1</v>
      </c>
      <c r="R116" s="21">
        <f t="shared" ca="1" si="24"/>
        <v>117075</v>
      </c>
      <c r="S116" s="308">
        <f t="shared" ca="1" si="15"/>
        <v>3182</v>
      </c>
    </row>
    <row r="117" spans="1:19">
      <c r="A117" s="633" t="str">
        <f>'12.23面积'!D118</f>
        <v>15-1-301</v>
      </c>
      <c r="B117" s="633">
        <f>'12.23面积'!E118</f>
        <v>272.97000000000003</v>
      </c>
      <c r="C117" s="21">
        <f t="shared" si="16"/>
        <v>1</v>
      </c>
      <c r="D117" s="635"/>
      <c r="E117" s="21">
        <f t="shared" si="17"/>
        <v>1</v>
      </c>
      <c r="F117" s="635"/>
      <c r="G117" s="21">
        <f t="shared" si="18"/>
        <v>1</v>
      </c>
      <c r="H117" s="635"/>
      <c r="I117" s="21">
        <f t="shared" si="19"/>
        <v>1</v>
      </c>
      <c r="J117" s="635"/>
      <c r="K117" s="21">
        <f t="shared" si="20"/>
        <v>1</v>
      </c>
      <c r="L117" s="635"/>
      <c r="M117" s="21">
        <f t="shared" si="21"/>
        <v>1</v>
      </c>
      <c r="N117" s="635"/>
      <c r="O117" s="21">
        <f t="shared" si="22"/>
        <v>1</v>
      </c>
      <c r="P117" s="635">
        <v>1</v>
      </c>
      <c r="Q117" s="21">
        <f t="shared" si="23"/>
        <v>1</v>
      </c>
      <c r="R117" s="21">
        <f t="shared" ca="1" si="24"/>
        <v>117075</v>
      </c>
      <c r="S117" s="308">
        <f t="shared" ca="1" si="15"/>
        <v>3196</v>
      </c>
    </row>
    <row r="118" spans="1:19">
      <c r="A118" s="633" t="str">
        <f>'12.23面积'!D119</f>
        <v>15-2-101</v>
      </c>
      <c r="B118" s="633">
        <f>'12.23面积'!E119</f>
        <v>271.69</v>
      </c>
      <c r="C118" s="21">
        <f t="shared" si="16"/>
        <v>1</v>
      </c>
      <c r="D118" s="635"/>
      <c r="E118" s="21">
        <f t="shared" si="17"/>
        <v>1</v>
      </c>
      <c r="F118" s="635"/>
      <c r="G118" s="21">
        <f t="shared" si="18"/>
        <v>1</v>
      </c>
      <c r="H118" s="635"/>
      <c r="I118" s="21">
        <f t="shared" si="19"/>
        <v>1</v>
      </c>
      <c r="J118" s="635"/>
      <c r="K118" s="21">
        <f t="shared" si="20"/>
        <v>1</v>
      </c>
      <c r="L118" s="635"/>
      <c r="M118" s="21">
        <f t="shared" si="21"/>
        <v>1</v>
      </c>
      <c r="N118" s="635"/>
      <c r="O118" s="21">
        <f t="shared" si="22"/>
        <v>1</v>
      </c>
      <c r="P118" s="635">
        <v>1</v>
      </c>
      <c r="Q118" s="21">
        <f t="shared" si="23"/>
        <v>1</v>
      </c>
      <c r="R118" s="21">
        <f t="shared" ca="1" si="24"/>
        <v>117075</v>
      </c>
      <c r="S118" s="308">
        <f t="shared" ca="1" si="15"/>
        <v>3181</v>
      </c>
    </row>
    <row r="119" spans="1:19">
      <c r="A119" s="633" t="str">
        <f>'12.23面积'!D120</f>
        <v>15-2-102</v>
      </c>
      <c r="B119" s="633">
        <f>'12.23面积'!E120</f>
        <v>272.86</v>
      </c>
      <c r="C119" s="21">
        <f t="shared" si="16"/>
        <v>1</v>
      </c>
      <c r="D119" s="635"/>
      <c r="E119" s="21">
        <f t="shared" si="17"/>
        <v>1</v>
      </c>
      <c r="F119" s="635"/>
      <c r="G119" s="21">
        <f t="shared" si="18"/>
        <v>1</v>
      </c>
      <c r="H119" s="635"/>
      <c r="I119" s="21">
        <f t="shared" si="19"/>
        <v>1</v>
      </c>
      <c r="J119" s="635"/>
      <c r="K119" s="21">
        <f t="shared" si="20"/>
        <v>1</v>
      </c>
      <c r="L119" s="635"/>
      <c r="M119" s="21">
        <f t="shared" si="21"/>
        <v>1</v>
      </c>
      <c r="N119" s="635"/>
      <c r="O119" s="21">
        <f t="shared" si="22"/>
        <v>1</v>
      </c>
      <c r="P119" s="635">
        <v>1</v>
      </c>
      <c r="Q119" s="21">
        <f t="shared" si="23"/>
        <v>1</v>
      </c>
      <c r="R119" s="21">
        <f t="shared" ca="1" si="24"/>
        <v>117075</v>
      </c>
      <c r="S119" s="308">
        <f t="shared" ca="1" si="15"/>
        <v>3195</v>
      </c>
    </row>
    <row r="120" spans="1:19">
      <c r="A120" s="633" t="str">
        <f>'12.23面积'!D121</f>
        <v>16-2-101</v>
      </c>
      <c r="B120" s="633">
        <f>'12.23面积'!E121</f>
        <v>168.06</v>
      </c>
      <c r="C120" s="21">
        <f t="shared" si="16"/>
        <v>1.01</v>
      </c>
      <c r="D120" s="635"/>
      <c r="E120" s="21">
        <f t="shared" si="17"/>
        <v>1</v>
      </c>
      <c r="F120" s="635"/>
      <c r="G120" s="21">
        <f t="shared" si="18"/>
        <v>1</v>
      </c>
      <c r="H120" s="635"/>
      <c r="I120" s="21">
        <f t="shared" si="19"/>
        <v>1</v>
      </c>
      <c r="J120" s="635"/>
      <c r="K120" s="21">
        <f t="shared" si="20"/>
        <v>1</v>
      </c>
      <c r="L120" s="635"/>
      <c r="M120" s="21">
        <f t="shared" si="21"/>
        <v>1</v>
      </c>
      <c r="N120" s="635"/>
      <c r="O120" s="21">
        <f t="shared" si="22"/>
        <v>1</v>
      </c>
      <c r="P120" s="635">
        <v>1</v>
      </c>
      <c r="Q120" s="21">
        <f t="shared" si="23"/>
        <v>1</v>
      </c>
      <c r="R120" s="21">
        <f t="shared" ca="1" si="24"/>
        <v>118246</v>
      </c>
      <c r="S120" s="308">
        <f t="shared" ca="1" si="15"/>
        <v>1987</v>
      </c>
    </row>
    <row r="121" spans="1:19">
      <c r="A121" s="633" t="str">
        <f>'12.23面积'!D122</f>
        <v>16-3-101</v>
      </c>
      <c r="B121" s="633">
        <f>'12.23面积'!E122</f>
        <v>168.06</v>
      </c>
      <c r="C121" s="21">
        <f t="shared" si="16"/>
        <v>1.01</v>
      </c>
      <c r="D121" s="635"/>
      <c r="E121" s="21">
        <f t="shared" si="17"/>
        <v>1</v>
      </c>
      <c r="F121" s="635"/>
      <c r="G121" s="21">
        <f t="shared" si="18"/>
        <v>1</v>
      </c>
      <c r="H121" s="635"/>
      <c r="I121" s="21">
        <f t="shared" si="19"/>
        <v>1</v>
      </c>
      <c r="J121" s="635"/>
      <c r="K121" s="21">
        <f t="shared" si="20"/>
        <v>1</v>
      </c>
      <c r="L121" s="635"/>
      <c r="M121" s="21">
        <f t="shared" si="21"/>
        <v>1</v>
      </c>
      <c r="N121" s="635"/>
      <c r="O121" s="21">
        <f t="shared" si="22"/>
        <v>1</v>
      </c>
      <c r="P121" s="635">
        <v>2</v>
      </c>
      <c r="Q121" s="21">
        <f t="shared" si="23"/>
        <v>1</v>
      </c>
      <c r="R121" s="21">
        <f t="shared" ca="1" si="24"/>
        <v>118246</v>
      </c>
      <c r="S121" s="308">
        <f t="shared" ca="1" si="15"/>
        <v>1987</v>
      </c>
    </row>
    <row r="122" spans="1:19">
      <c r="A122" s="633" t="str">
        <f>'12.23面积'!D123</f>
        <v>16-3-102</v>
      </c>
      <c r="B122" s="633">
        <f>'12.23面积'!E123</f>
        <v>192.5</v>
      </c>
      <c r="C122" s="21">
        <f t="shared" si="16"/>
        <v>1.01</v>
      </c>
      <c r="D122" s="635"/>
      <c r="E122" s="21">
        <f t="shared" si="17"/>
        <v>1</v>
      </c>
      <c r="F122" s="635"/>
      <c r="G122" s="21">
        <f t="shared" si="18"/>
        <v>1</v>
      </c>
      <c r="H122" s="635"/>
      <c r="I122" s="21">
        <f t="shared" si="19"/>
        <v>1</v>
      </c>
      <c r="J122" s="635"/>
      <c r="K122" s="21">
        <f t="shared" si="20"/>
        <v>1</v>
      </c>
      <c r="L122" s="635"/>
      <c r="M122" s="21">
        <f t="shared" si="21"/>
        <v>1</v>
      </c>
      <c r="N122" s="635"/>
      <c r="O122" s="21">
        <f t="shared" si="22"/>
        <v>1</v>
      </c>
      <c r="P122" s="635">
        <v>1</v>
      </c>
      <c r="Q122" s="21">
        <f t="shared" si="23"/>
        <v>1</v>
      </c>
      <c r="R122" s="21">
        <f t="shared" ca="1" si="24"/>
        <v>118246</v>
      </c>
      <c r="S122" s="308">
        <f t="shared" ca="1" si="15"/>
        <v>2276</v>
      </c>
    </row>
    <row r="123" spans="1:19">
      <c r="A123" s="633" t="str">
        <f>'12.23面积'!D124</f>
        <v>16-3-202</v>
      </c>
      <c r="B123" s="633">
        <f>'12.23面积'!E124</f>
        <v>192.53</v>
      </c>
      <c r="C123" s="21">
        <f t="shared" si="16"/>
        <v>1.01</v>
      </c>
      <c r="D123" s="635"/>
      <c r="E123" s="21">
        <f t="shared" si="17"/>
        <v>1</v>
      </c>
      <c r="F123" s="635"/>
      <c r="G123" s="21">
        <f t="shared" si="18"/>
        <v>1</v>
      </c>
      <c r="H123" s="635"/>
      <c r="I123" s="21">
        <f t="shared" si="19"/>
        <v>1</v>
      </c>
      <c r="J123" s="635"/>
      <c r="K123" s="21">
        <f t="shared" si="20"/>
        <v>1</v>
      </c>
      <c r="L123" s="635"/>
      <c r="M123" s="21">
        <f t="shared" si="21"/>
        <v>1</v>
      </c>
      <c r="N123" s="635"/>
      <c r="O123" s="21">
        <f t="shared" si="22"/>
        <v>1</v>
      </c>
      <c r="P123" s="635">
        <v>2</v>
      </c>
      <c r="Q123" s="21">
        <f t="shared" si="23"/>
        <v>1</v>
      </c>
      <c r="R123" s="21">
        <f t="shared" ca="1" si="24"/>
        <v>118246</v>
      </c>
      <c r="S123" s="308">
        <f t="shared" ca="1" si="15"/>
        <v>2277</v>
      </c>
    </row>
    <row r="124" spans="1:19">
      <c r="A124" s="633" t="str">
        <f>'12.23面积'!D125</f>
        <v>17-1-102</v>
      </c>
      <c r="B124" s="633">
        <f>'12.23面积'!E125</f>
        <v>271.73</v>
      </c>
      <c r="C124" s="21">
        <f t="shared" si="16"/>
        <v>1</v>
      </c>
      <c r="D124" s="635"/>
      <c r="E124" s="21">
        <f t="shared" si="17"/>
        <v>1</v>
      </c>
      <c r="F124" s="635"/>
      <c r="G124" s="21">
        <f t="shared" si="18"/>
        <v>1</v>
      </c>
      <c r="H124" s="635"/>
      <c r="I124" s="21">
        <f t="shared" si="19"/>
        <v>1</v>
      </c>
      <c r="J124" s="635"/>
      <c r="K124" s="21">
        <f t="shared" si="20"/>
        <v>1</v>
      </c>
      <c r="L124" s="635"/>
      <c r="M124" s="21">
        <f t="shared" si="21"/>
        <v>1</v>
      </c>
      <c r="N124" s="635"/>
      <c r="O124" s="21">
        <f t="shared" si="22"/>
        <v>1</v>
      </c>
      <c r="P124" s="635">
        <v>1</v>
      </c>
      <c r="Q124" s="21">
        <f t="shared" si="23"/>
        <v>1</v>
      </c>
      <c r="R124" s="21">
        <f t="shared" ca="1" si="24"/>
        <v>117075</v>
      </c>
      <c r="S124" s="308">
        <f t="shared" ca="1" si="15"/>
        <v>3181</v>
      </c>
    </row>
    <row r="125" spans="1:19">
      <c r="A125" s="633" t="str">
        <f>'12.23面积'!D126</f>
        <v>17-1-202</v>
      </c>
      <c r="B125" s="633">
        <f>'12.23面积'!E126</f>
        <v>271.8</v>
      </c>
      <c r="C125" s="21">
        <f t="shared" si="16"/>
        <v>1</v>
      </c>
      <c r="D125" s="635"/>
      <c r="E125" s="21">
        <f t="shared" si="17"/>
        <v>1</v>
      </c>
      <c r="F125" s="635"/>
      <c r="G125" s="21">
        <f t="shared" si="18"/>
        <v>1</v>
      </c>
      <c r="H125" s="635"/>
      <c r="I125" s="21">
        <f t="shared" si="19"/>
        <v>1</v>
      </c>
      <c r="J125" s="635"/>
      <c r="K125" s="21">
        <f t="shared" si="20"/>
        <v>1</v>
      </c>
      <c r="L125" s="635"/>
      <c r="M125" s="21">
        <f t="shared" si="21"/>
        <v>1</v>
      </c>
      <c r="N125" s="635"/>
      <c r="O125" s="21">
        <f t="shared" si="22"/>
        <v>1</v>
      </c>
      <c r="P125" s="635">
        <v>2</v>
      </c>
      <c r="Q125" s="21">
        <f t="shared" si="23"/>
        <v>1</v>
      </c>
      <c r="R125" s="21">
        <f t="shared" ca="1" si="24"/>
        <v>117075</v>
      </c>
      <c r="S125" s="308">
        <f t="shared" ca="1" si="15"/>
        <v>3182</v>
      </c>
    </row>
    <row r="126" spans="1:19">
      <c r="A126" s="633" t="str">
        <f>'12.23面积'!D127</f>
        <v>17-2-101</v>
      </c>
      <c r="B126" s="633">
        <f>'12.23面积'!E127</f>
        <v>271.73</v>
      </c>
      <c r="C126" s="21">
        <f t="shared" si="16"/>
        <v>1</v>
      </c>
      <c r="D126" s="635"/>
      <c r="E126" s="21">
        <f t="shared" si="17"/>
        <v>1</v>
      </c>
      <c r="F126" s="635"/>
      <c r="G126" s="21">
        <f t="shared" si="18"/>
        <v>1</v>
      </c>
      <c r="H126" s="635"/>
      <c r="I126" s="21">
        <f t="shared" si="19"/>
        <v>1</v>
      </c>
      <c r="J126" s="635"/>
      <c r="K126" s="21">
        <f t="shared" si="20"/>
        <v>1</v>
      </c>
      <c r="L126" s="635"/>
      <c r="M126" s="21">
        <f t="shared" si="21"/>
        <v>1</v>
      </c>
      <c r="N126" s="635"/>
      <c r="O126" s="21">
        <f t="shared" si="22"/>
        <v>1</v>
      </c>
      <c r="P126" s="635">
        <v>1</v>
      </c>
      <c r="Q126" s="21">
        <f t="shared" si="23"/>
        <v>1</v>
      </c>
      <c r="R126" s="21">
        <f t="shared" ca="1" si="24"/>
        <v>117075</v>
      </c>
      <c r="S126" s="308">
        <f t="shared" ca="1" si="15"/>
        <v>3181</v>
      </c>
    </row>
    <row r="127" spans="1:19">
      <c r="A127" s="633" t="str">
        <f>'12.23面积'!D128</f>
        <v>17-2-201</v>
      </c>
      <c r="B127" s="633">
        <f>'12.23面积'!E128</f>
        <v>271.8</v>
      </c>
      <c r="C127" s="21">
        <f t="shared" si="16"/>
        <v>1</v>
      </c>
      <c r="D127" s="635"/>
      <c r="E127" s="21">
        <f t="shared" si="17"/>
        <v>1</v>
      </c>
      <c r="F127" s="635"/>
      <c r="G127" s="21">
        <f t="shared" si="18"/>
        <v>1</v>
      </c>
      <c r="H127" s="635"/>
      <c r="I127" s="21">
        <f t="shared" si="19"/>
        <v>1</v>
      </c>
      <c r="J127" s="635"/>
      <c r="K127" s="21">
        <f t="shared" si="20"/>
        <v>1</v>
      </c>
      <c r="L127" s="635"/>
      <c r="M127" s="21">
        <f t="shared" si="21"/>
        <v>1</v>
      </c>
      <c r="N127" s="635"/>
      <c r="O127" s="21">
        <f t="shared" si="22"/>
        <v>1</v>
      </c>
      <c r="P127" s="635">
        <v>2</v>
      </c>
      <c r="Q127" s="21">
        <f t="shared" si="23"/>
        <v>1</v>
      </c>
      <c r="R127" s="21">
        <f t="shared" ca="1" si="24"/>
        <v>117075</v>
      </c>
      <c r="S127" s="308">
        <f t="shared" ca="1" si="15"/>
        <v>3182</v>
      </c>
    </row>
    <row r="128" spans="1:19">
      <c r="A128" s="633" t="str">
        <f>'12.23面积'!D129</f>
        <v>18-2-101</v>
      </c>
      <c r="B128" s="633">
        <f>'12.23面积'!E129</f>
        <v>210.91</v>
      </c>
      <c r="C128" s="21">
        <f t="shared" si="16"/>
        <v>1</v>
      </c>
      <c r="D128" s="635"/>
      <c r="E128" s="21">
        <f t="shared" si="17"/>
        <v>1</v>
      </c>
      <c r="F128" s="635"/>
      <c r="G128" s="21">
        <f t="shared" si="18"/>
        <v>1</v>
      </c>
      <c r="H128" s="635"/>
      <c r="I128" s="21">
        <f t="shared" si="19"/>
        <v>1</v>
      </c>
      <c r="J128" s="635"/>
      <c r="K128" s="21">
        <f t="shared" si="20"/>
        <v>1</v>
      </c>
      <c r="L128" s="635"/>
      <c r="M128" s="21">
        <f t="shared" si="21"/>
        <v>1</v>
      </c>
      <c r="N128" s="635"/>
      <c r="O128" s="21">
        <f t="shared" si="22"/>
        <v>1</v>
      </c>
      <c r="P128" s="635">
        <v>3</v>
      </c>
      <c r="Q128" s="21">
        <f t="shared" si="23"/>
        <v>1.02</v>
      </c>
      <c r="R128" s="21">
        <f t="shared" ca="1" si="24"/>
        <v>119417</v>
      </c>
      <c r="S128" s="308">
        <f t="shared" ca="1" si="15"/>
        <v>2519</v>
      </c>
    </row>
    <row r="129" spans="1:19">
      <c r="A129" s="633" t="str">
        <f>'12.23面积'!D130</f>
        <v>18-2-202</v>
      </c>
      <c r="B129" s="633">
        <f>'12.23面积'!E130</f>
        <v>230.81</v>
      </c>
      <c r="C129" s="21">
        <f t="shared" si="16"/>
        <v>1</v>
      </c>
      <c r="D129" s="635"/>
      <c r="E129" s="21">
        <f t="shared" si="17"/>
        <v>1</v>
      </c>
      <c r="F129" s="635"/>
      <c r="G129" s="21">
        <f t="shared" si="18"/>
        <v>1</v>
      </c>
      <c r="H129" s="635"/>
      <c r="I129" s="21">
        <f t="shared" si="19"/>
        <v>1</v>
      </c>
      <c r="J129" s="635"/>
      <c r="K129" s="21">
        <f t="shared" si="20"/>
        <v>1</v>
      </c>
      <c r="L129" s="635"/>
      <c r="M129" s="21">
        <f t="shared" si="21"/>
        <v>1</v>
      </c>
      <c r="N129" s="635"/>
      <c r="O129" s="21">
        <f t="shared" si="22"/>
        <v>1</v>
      </c>
      <c r="P129" s="635">
        <v>1</v>
      </c>
      <c r="Q129" s="21">
        <f t="shared" si="23"/>
        <v>1</v>
      </c>
      <c r="R129" s="21">
        <f t="shared" ca="1" si="24"/>
        <v>117075</v>
      </c>
      <c r="S129" s="308">
        <f t="shared" ca="1" si="15"/>
        <v>2702</v>
      </c>
    </row>
    <row r="130" spans="1:19">
      <c r="A130" s="633" t="str">
        <f>'12.23面积'!D131</f>
        <v>18-2-302</v>
      </c>
      <c r="B130" s="633">
        <f>'12.23面积'!E131</f>
        <v>230.81</v>
      </c>
      <c r="C130" s="21">
        <f t="shared" si="16"/>
        <v>1</v>
      </c>
      <c r="D130" s="635"/>
      <c r="E130" s="21">
        <f t="shared" si="17"/>
        <v>1</v>
      </c>
      <c r="F130" s="635"/>
      <c r="G130" s="21">
        <f t="shared" si="18"/>
        <v>1</v>
      </c>
      <c r="H130" s="635"/>
      <c r="I130" s="21">
        <f t="shared" si="19"/>
        <v>1</v>
      </c>
      <c r="J130" s="635"/>
      <c r="K130" s="21">
        <f t="shared" si="20"/>
        <v>1</v>
      </c>
      <c r="L130" s="635"/>
      <c r="M130" s="21">
        <f t="shared" si="21"/>
        <v>1</v>
      </c>
      <c r="N130" s="635"/>
      <c r="O130" s="21">
        <f t="shared" si="22"/>
        <v>1</v>
      </c>
      <c r="P130" s="635">
        <v>1</v>
      </c>
      <c r="Q130" s="21">
        <f t="shared" si="23"/>
        <v>1</v>
      </c>
      <c r="R130" s="21">
        <f t="shared" ca="1" si="24"/>
        <v>117075</v>
      </c>
      <c r="S130" s="308">
        <f t="shared" ca="1" si="15"/>
        <v>2702</v>
      </c>
    </row>
    <row r="131" spans="1:19">
      <c r="A131" s="633" t="str">
        <f>'12.23面积'!D132</f>
        <v>19-1-101</v>
      </c>
      <c r="B131" s="633">
        <f>'12.23面积'!E132</f>
        <v>272.93</v>
      </c>
      <c r="C131" s="21">
        <f t="shared" si="16"/>
        <v>1</v>
      </c>
      <c r="D131" s="635"/>
      <c r="E131" s="21">
        <f t="shared" si="17"/>
        <v>1</v>
      </c>
      <c r="F131" s="635"/>
      <c r="G131" s="21">
        <f t="shared" si="18"/>
        <v>1</v>
      </c>
      <c r="H131" s="635"/>
      <c r="I131" s="21">
        <f t="shared" si="19"/>
        <v>1</v>
      </c>
      <c r="J131" s="635"/>
      <c r="K131" s="21">
        <f t="shared" si="20"/>
        <v>1</v>
      </c>
      <c r="L131" s="635"/>
      <c r="M131" s="21">
        <f t="shared" si="21"/>
        <v>1</v>
      </c>
      <c r="N131" s="635"/>
      <c r="O131" s="21">
        <f t="shared" si="22"/>
        <v>1</v>
      </c>
      <c r="P131" s="635">
        <v>2</v>
      </c>
      <c r="Q131" s="21">
        <f t="shared" si="23"/>
        <v>1</v>
      </c>
      <c r="R131" s="21">
        <f t="shared" ca="1" si="24"/>
        <v>117075</v>
      </c>
      <c r="S131" s="308">
        <f t="shared" ca="1" si="15"/>
        <v>3195</v>
      </c>
    </row>
    <row r="132" spans="1:19">
      <c r="A132" s="633" t="str">
        <f>'12.23面积'!D133</f>
        <v>19-1-102</v>
      </c>
      <c r="B132" s="633">
        <f>'12.23面积'!E133</f>
        <v>271.76</v>
      </c>
      <c r="C132" s="21">
        <f t="shared" si="16"/>
        <v>1</v>
      </c>
      <c r="D132" s="635"/>
      <c r="E132" s="21">
        <f t="shared" si="17"/>
        <v>1</v>
      </c>
      <c r="F132" s="635"/>
      <c r="G132" s="21">
        <f t="shared" si="18"/>
        <v>1</v>
      </c>
      <c r="H132" s="635"/>
      <c r="I132" s="21">
        <f t="shared" si="19"/>
        <v>1</v>
      </c>
      <c r="J132" s="635"/>
      <c r="K132" s="21">
        <f t="shared" si="20"/>
        <v>1</v>
      </c>
      <c r="L132" s="635"/>
      <c r="M132" s="21">
        <f t="shared" si="21"/>
        <v>1</v>
      </c>
      <c r="N132" s="635"/>
      <c r="O132" s="21">
        <f t="shared" si="22"/>
        <v>1</v>
      </c>
      <c r="P132" s="635">
        <v>2</v>
      </c>
      <c r="Q132" s="21">
        <f t="shared" si="23"/>
        <v>1</v>
      </c>
      <c r="R132" s="21">
        <f t="shared" ca="1" si="24"/>
        <v>117075</v>
      </c>
      <c r="S132" s="308">
        <f t="shared" ca="1" si="15"/>
        <v>3182</v>
      </c>
    </row>
    <row r="133" spans="1:19">
      <c r="A133" s="633" t="str">
        <f>'12.23面积'!D134</f>
        <v>19-1-201</v>
      </c>
      <c r="B133" s="633">
        <f>'12.23面积'!E134</f>
        <v>272.99</v>
      </c>
      <c r="C133" s="21">
        <f t="shared" si="16"/>
        <v>1</v>
      </c>
      <c r="D133" s="635"/>
      <c r="E133" s="21">
        <f t="shared" si="17"/>
        <v>1</v>
      </c>
      <c r="F133" s="635"/>
      <c r="G133" s="21">
        <f t="shared" si="18"/>
        <v>1</v>
      </c>
      <c r="H133" s="635"/>
      <c r="I133" s="21">
        <f t="shared" si="19"/>
        <v>1</v>
      </c>
      <c r="J133" s="635"/>
      <c r="K133" s="21">
        <f t="shared" si="20"/>
        <v>1</v>
      </c>
      <c r="L133" s="635"/>
      <c r="M133" s="21">
        <f t="shared" si="21"/>
        <v>1</v>
      </c>
      <c r="N133" s="635"/>
      <c r="O133" s="21">
        <f t="shared" si="22"/>
        <v>1</v>
      </c>
      <c r="P133" s="635">
        <v>3</v>
      </c>
      <c r="Q133" s="21">
        <f t="shared" si="23"/>
        <v>1.02</v>
      </c>
      <c r="R133" s="21">
        <f t="shared" ca="1" si="24"/>
        <v>119417</v>
      </c>
      <c r="S133" s="308">
        <f t="shared" ca="1" si="15"/>
        <v>3260</v>
      </c>
    </row>
    <row r="134" spans="1:19">
      <c r="A134" s="633" t="str">
        <f>'12.23面积'!D135</f>
        <v>19-1-202</v>
      </c>
      <c r="B134" s="633">
        <f>'12.23面积'!E135</f>
        <v>271.82</v>
      </c>
      <c r="C134" s="21">
        <f t="shared" si="16"/>
        <v>1</v>
      </c>
      <c r="D134" s="635"/>
      <c r="E134" s="21">
        <f t="shared" si="17"/>
        <v>1</v>
      </c>
      <c r="F134" s="635"/>
      <c r="G134" s="21">
        <f t="shared" si="18"/>
        <v>1</v>
      </c>
      <c r="H134" s="635"/>
      <c r="I134" s="21">
        <f t="shared" si="19"/>
        <v>1</v>
      </c>
      <c r="J134" s="635"/>
      <c r="K134" s="21">
        <f t="shared" si="20"/>
        <v>1</v>
      </c>
      <c r="L134" s="635"/>
      <c r="M134" s="21">
        <f t="shared" si="21"/>
        <v>1</v>
      </c>
      <c r="N134" s="635"/>
      <c r="O134" s="21">
        <f t="shared" si="22"/>
        <v>1</v>
      </c>
      <c r="P134" s="635">
        <v>3</v>
      </c>
      <c r="Q134" s="21">
        <f t="shared" si="23"/>
        <v>1.02</v>
      </c>
      <c r="R134" s="21">
        <f t="shared" ca="1" si="24"/>
        <v>119417</v>
      </c>
      <c r="S134" s="308">
        <f t="shared" ca="1" si="15"/>
        <v>3246</v>
      </c>
    </row>
    <row r="135" spans="1:19">
      <c r="A135" s="633" t="str">
        <f>'12.23面积'!D136</f>
        <v>19-1-301</v>
      </c>
      <c r="B135" s="633">
        <f>'12.23面积'!E136</f>
        <v>272.99</v>
      </c>
      <c r="C135" s="21">
        <f t="shared" si="16"/>
        <v>1</v>
      </c>
      <c r="D135" s="635"/>
      <c r="E135" s="21">
        <f t="shared" si="17"/>
        <v>1</v>
      </c>
      <c r="F135" s="635"/>
      <c r="G135" s="21">
        <f t="shared" si="18"/>
        <v>1</v>
      </c>
      <c r="H135" s="635"/>
      <c r="I135" s="21">
        <f t="shared" si="19"/>
        <v>1</v>
      </c>
      <c r="J135" s="635"/>
      <c r="K135" s="21">
        <f t="shared" si="20"/>
        <v>1</v>
      </c>
      <c r="L135" s="635"/>
      <c r="M135" s="21">
        <f t="shared" si="21"/>
        <v>1</v>
      </c>
      <c r="N135" s="635"/>
      <c r="O135" s="21">
        <f t="shared" si="22"/>
        <v>1</v>
      </c>
      <c r="P135" s="635">
        <v>2</v>
      </c>
      <c r="Q135" s="21">
        <f t="shared" si="23"/>
        <v>1</v>
      </c>
      <c r="R135" s="21">
        <f t="shared" ca="1" si="24"/>
        <v>117075</v>
      </c>
      <c r="S135" s="308">
        <f t="shared" ca="1" si="15"/>
        <v>3196</v>
      </c>
    </row>
    <row r="136" spans="1:19">
      <c r="A136" s="633" t="str">
        <f>'12.23面积'!D137</f>
        <v>19-1-302</v>
      </c>
      <c r="B136" s="633">
        <f>'12.23面积'!E137</f>
        <v>271.82</v>
      </c>
      <c r="C136" s="21">
        <f t="shared" si="16"/>
        <v>1</v>
      </c>
      <c r="D136" s="635"/>
      <c r="E136" s="21">
        <f t="shared" si="17"/>
        <v>1</v>
      </c>
      <c r="F136" s="635"/>
      <c r="G136" s="21">
        <f t="shared" si="18"/>
        <v>1</v>
      </c>
      <c r="H136" s="635"/>
      <c r="I136" s="21">
        <f t="shared" si="19"/>
        <v>1</v>
      </c>
      <c r="J136" s="635"/>
      <c r="K136" s="21">
        <f t="shared" si="20"/>
        <v>1</v>
      </c>
      <c r="L136" s="635"/>
      <c r="M136" s="21">
        <f t="shared" si="21"/>
        <v>1</v>
      </c>
      <c r="N136" s="635"/>
      <c r="O136" s="21">
        <f t="shared" si="22"/>
        <v>1</v>
      </c>
      <c r="P136" s="635">
        <v>1</v>
      </c>
      <c r="Q136" s="21">
        <f t="shared" si="23"/>
        <v>1</v>
      </c>
      <c r="R136" s="21">
        <f t="shared" ca="1" si="24"/>
        <v>117075</v>
      </c>
      <c r="S136" s="308">
        <f t="shared" ca="1" si="15"/>
        <v>3182</v>
      </c>
    </row>
    <row r="137" spans="1:19">
      <c r="A137" s="633" t="str">
        <f>'12.23面积'!D138</f>
        <v>19-2-201</v>
      </c>
      <c r="B137" s="633">
        <f>'12.23面积'!E138</f>
        <v>271.82</v>
      </c>
      <c r="C137" s="21">
        <f t="shared" si="16"/>
        <v>1</v>
      </c>
      <c r="D137" s="635"/>
      <c r="E137" s="21">
        <f t="shared" si="17"/>
        <v>1</v>
      </c>
      <c r="F137" s="635"/>
      <c r="G137" s="21">
        <f t="shared" si="18"/>
        <v>1</v>
      </c>
      <c r="H137" s="635"/>
      <c r="I137" s="21">
        <f t="shared" si="19"/>
        <v>1</v>
      </c>
      <c r="J137" s="635"/>
      <c r="K137" s="21">
        <f t="shared" si="20"/>
        <v>1</v>
      </c>
      <c r="L137" s="635"/>
      <c r="M137" s="21">
        <f t="shared" si="21"/>
        <v>1</v>
      </c>
      <c r="N137" s="635"/>
      <c r="O137" s="21">
        <f t="shared" si="22"/>
        <v>1</v>
      </c>
      <c r="P137" s="635">
        <v>3</v>
      </c>
      <c r="Q137" s="21">
        <f t="shared" si="23"/>
        <v>1.02</v>
      </c>
      <c r="R137" s="21">
        <f t="shared" ca="1" si="24"/>
        <v>119417</v>
      </c>
      <c r="S137" s="308">
        <f t="shared" ca="1" si="15"/>
        <v>3246</v>
      </c>
    </row>
    <row r="138" spans="1:19">
      <c r="A138" s="633" t="str">
        <f>'12.23面积'!D139</f>
        <v>21-1-102</v>
      </c>
      <c r="B138" s="633">
        <f>'12.23面积'!E139</f>
        <v>210.97</v>
      </c>
      <c r="C138" s="21">
        <f t="shared" si="16"/>
        <v>1</v>
      </c>
      <c r="D138" s="635"/>
      <c r="E138" s="21">
        <f t="shared" si="17"/>
        <v>1</v>
      </c>
      <c r="F138" s="635"/>
      <c r="G138" s="21">
        <f t="shared" si="18"/>
        <v>1</v>
      </c>
      <c r="H138" s="635"/>
      <c r="I138" s="21">
        <f t="shared" si="19"/>
        <v>1</v>
      </c>
      <c r="J138" s="635"/>
      <c r="K138" s="21">
        <f t="shared" si="20"/>
        <v>1</v>
      </c>
      <c r="L138" s="635"/>
      <c r="M138" s="21">
        <f t="shared" si="21"/>
        <v>1</v>
      </c>
      <c r="N138" s="635"/>
      <c r="O138" s="21">
        <f t="shared" si="22"/>
        <v>1</v>
      </c>
      <c r="P138" s="635">
        <v>4</v>
      </c>
      <c r="Q138" s="21">
        <f t="shared" si="23"/>
        <v>1.02</v>
      </c>
      <c r="R138" s="21">
        <f t="shared" ca="1" si="24"/>
        <v>119417</v>
      </c>
      <c r="S138" s="308">
        <f t="shared" ca="1" si="15"/>
        <v>2519</v>
      </c>
    </row>
    <row r="139" spans="1:19">
      <c r="A139" s="633" t="str">
        <f>'12.23面积'!D140</f>
        <v>21-1-302</v>
      </c>
      <c r="B139" s="633">
        <f>'12.23面积'!E140</f>
        <v>221.83</v>
      </c>
      <c r="C139" s="21">
        <f t="shared" si="16"/>
        <v>1</v>
      </c>
      <c r="D139" s="635"/>
      <c r="E139" s="21">
        <f t="shared" si="17"/>
        <v>1</v>
      </c>
      <c r="F139" s="635"/>
      <c r="G139" s="21">
        <f t="shared" si="18"/>
        <v>1</v>
      </c>
      <c r="H139" s="635"/>
      <c r="I139" s="21">
        <f t="shared" si="19"/>
        <v>1</v>
      </c>
      <c r="J139" s="635"/>
      <c r="K139" s="21">
        <f t="shared" si="20"/>
        <v>1</v>
      </c>
      <c r="L139" s="635"/>
      <c r="M139" s="21">
        <f t="shared" si="21"/>
        <v>1</v>
      </c>
      <c r="N139" s="635"/>
      <c r="O139" s="21">
        <f t="shared" si="22"/>
        <v>1</v>
      </c>
      <c r="P139" s="635">
        <v>1</v>
      </c>
      <c r="Q139" s="21">
        <f t="shared" si="23"/>
        <v>1</v>
      </c>
      <c r="R139" s="21">
        <f t="shared" ca="1" si="24"/>
        <v>117075</v>
      </c>
      <c r="S139" s="308">
        <f t="shared" ca="1" si="15"/>
        <v>2597</v>
      </c>
    </row>
    <row r="140" spans="1:19">
      <c r="A140" s="633" t="str">
        <f>'12.23面积'!D141</f>
        <v>21-1-402</v>
      </c>
      <c r="B140" s="633">
        <f>'12.23面积'!E141</f>
        <v>221.83</v>
      </c>
      <c r="C140" s="21">
        <f t="shared" si="16"/>
        <v>1</v>
      </c>
      <c r="D140" s="635"/>
      <c r="E140" s="21">
        <f t="shared" si="17"/>
        <v>1</v>
      </c>
      <c r="F140" s="635"/>
      <c r="G140" s="21">
        <f t="shared" si="18"/>
        <v>1</v>
      </c>
      <c r="H140" s="635"/>
      <c r="I140" s="21">
        <f t="shared" si="19"/>
        <v>1</v>
      </c>
      <c r="J140" s="635"/>
      <c r="K140" s="21">
        <f t="shared" si="20"/>
        <v>1</v>
      </c>
      <c r="L140" s="635"/>
      <c r="M140" s="21">
        <f t="shared" si="21"/>
        <v>1</v>
      </c>
      <c r="N140" s="635"/>
      <c r="O140" s="21">
        <f t="shared" si="22"/>
        <v>1</v>
      </c>
      <c r="P140" s="635">
        <v>2</v>
      </c>
      <c r="Q140" s="21">
        <f t="shared" si="23"/>
        <v>1</v>
      </c>
      <c r="R140" s="21">
        <f t="shared" ca="1" si="24"/>
        <v>117075</v>
      </c>
      <c r="S140" s="308">
        <f t="shared" ca="1" si="15"/>
        <v>2597</v>
      </c>
    </row>
    <row r="141" spans="1:19">
      <c r="A141" s="633" t="str">
        <f>'12.23面积'!D142</f>
        <v>21-2-101</v>
      </c>
      <c r="B141" s="633">
        <f>'12.23面积'!E142</f>
        <v>210.97</v>
      </c>
      <c r="C141" s="21">
        <f t="shared" si="16"/>
        <v>1</v>
      </c>
      <c r="D141" s="635"/>
      <c r="E141" s="21">
        <f t="shared" si="17"/>
        <v>1</v>
      </c>
      <c r="F141" s="635"/>
      <c r="G141" s="21">
        <f t="shared" si="18"/>
        <v>1</v>
      </c>
      <c r="H141" s="635"/>
      <c r="I141" s="21">
        <f t="shared" si="19"/>
        <v>1</v>
      </c>
      <c r="J141" s="635"/>
      <c r="K141" s="21">
        <f t="shared" si="20"/>
        <v>1</v>
      </c>
      <c r="L141" s="635"/>
      <c r="M141" s="21">
        <f t="shared" si="21"/>
        <v>1</v>
      </c>
      <c r="N141" s="635"/>
      <c r="O141" s="21">
        <f t="shared" si="22"/>
        <v>1</v>
      </c>
      <c r="P141" s="635">
        <v>3</v>
      </c>
      <c r="Q141" s="21">
        <f t="shared" si="23"/>
        <v>1.02</v>
      </c>
      <c r="R141" s="21">
        <f t="shared" ca="1" si="24"/>
        <v>119417</v>
      </c>
      <c r="S141" s="308">
        <f t="shared" ca="1" si="15"/>
        <v>2519</v>
      </c>
    </row>
    <row r="142" spans="1:19">
      <c r="A142" s="633" t="str">
        <f>'12.23面积'!D143</f>
        <v>21-2-201</v>
      </c>
      <c r="B142" s="633">
        <f>'12.23面积'!E143</f>
        <v>221.83</v>
      </c>
      <c r="C142" s="21">
        <f t="shared" si="16"/>
        <v>1</v>
      </c>
      <c r="D142" s="635"/>
      <c r="E142" s="21">
        <f t="shared" si="17"/>
        <v>1</v>
      </c>
      <c r="F142" s="635"/>
      <c r="G142" s="21">
        <f t="shared" si="18"/>
        <v>1</v>
      </c>
      <c r="H142" s="635"/>
      <c r="I142" s="21">
        <f t="shared" si="19"/>
        <v>1</v>
      </c>
      <c r="J142" s="635"/>
      <c r="K142" s="21">
        <f t="shared" si="20"/>
        <v>1</v>
      </c>
      <c r="L142" s="635"/>
      <c r="M142" s="21">
        <f t="shared" si="21"/>
        <v>1</v>
      </c>
      <c r="N142" s="635"/>
      <c r="O142" s="21">
        <f t="shared" si="22"/>
        <v>1</v>
      </c>
      <c r="P142" s="635">
        <v>3</v>
      </c>
      <c r="Q142" s="21">
        <f t="shared" si="23"/>
        <v>1.02</v>
      </c>
      <c r="R142" s="21">
        <f t="shared" ca="1" si="24"/>
        <v>119417</v>
      </c>
      <c r="S142" s="308">
        <f t="shared" ca="1" si="15"/>
        <v>2649</v>
      </c>
    </row>
    <row r="143" spans="1:19">
      <c r="A143" s="633" t="str">
        <f>'12.23面积'!D144</f>
        <v>21-2-301</v>
      </c>
      <c r="B143" s="633">
        <f>'12.23面积'!E144</f>
        <v>221.83</v>
      </c>
      <c r="C143" s="21">
        <f t="shared" si="16"/>
        <v>1</v>
      </c>
      <c r="D143" s="635"/>
      <c r="E143" s="21">
        <f t="shared" si="17"/>
        <v>1</v>
      </c>
      <c r="F143" s="635"/>
      <c r="G143" s="21">
        <f t="shared" si="18"/>
        <v>1</v>
      </c>
      <c r="H143" s="635"/>
      <c r="I143" s="21">
        <f t="shared" si="19"/>
        <v>1</v>
      </c>
      <c r="J143" s="635"/>
      <c r="K143" s="21">
        <f t="shared" si="20"/>
        <v>1</v>
      </c>
      <c r="L143" s="635"/>
      <c r="M143" s="21">
        <f t="shared" si="21"/>
        <v>1</v>
      </c>
      <c r="N143" s="635"/>
      <c r="O143" s="21">
        <f t="shared" si="22"/>
        <v>1</v>
      </c>
      <c r="P143" s="635">
        <v>1</v>
      </c>
      <c r="Q143" s="21">
        <f t="shared" si="23"/>
        <v>1</v>
      </c>
      <c r="R143" s="21">
        <f t="shared" ca="1" si="24"/>
        <v>117075</v>
      </c>
      <c r="S143" s="308">
        <f t="shared" ca="1" si="15"/>
        <v>2597</v>
      </c>
    </row>
    <row r="144" spans="1:19">
      <c r="A144" s="633" t="str">
        <f>'12.23面积'!D145</f>
        <v>21-2-302</v>
      </c>
      <c r="B144" s="633">
        <f>'12.23面积'!E145</f>
        <v>221.83</v>
      </c>
      <c r="C144" s="21">
        <f t="shared" si="16"/>
        <v>1</v>
      </c>
      <c r="D144" s="635"/>
      <c r="E144" s="21">
        <f t="shared" si="17"/>
        <v>1</v>
      </c>
      <c r="F144" s="635"/>
      <c r="G144" s="21">
        <f t="shared" si="18"/>
        <v>1</v>
      </c>
      <c r="H144" s="635"/>
      <c r="I144" s="21">
        <f t="shared" si="19"/>
        <v>1</v>
      </c>
      <c r="J144" s="635"/>
      <c r="K144" s="21">
        <f t="shared" si="20"/>
        <v>1</v>
      </c>
      <c r="L144" s="635"/>
      <c r="M144" s="21">
        <f t="shared" si="21"/>
        <v>1</v>
      </c>
      <c r="N144" s="635"/>
      <c r="O144" s="21">
        <f t="shared" si="22"/>
        <v>1</v>
      </c>
      <c r="P144" s="635">
        <v>3</v>
      </c>
      <c r="Q144" s="21">
        <f t="shared" si="23"/>
        <v>1.02</v>
      </c>
      <c r="R144" s="21">
        <f t="shared" ca="1" si="24"/>
        <v>119417</v>
      </c>
      <c r="S144" s="308">
        <f t="shared" ca="1" si="15"/>
        <v>2649</v>
      </c>
    </row>
    <row r="145" spans="1:19">
      <c r="A145" s="633" t="str">
        <f>'12.23面积'!D146</f>
        <v>22-1-102</v>
      </c>
      <c r="B145" s="633">
        <f>'12.23面积'!E146</f>
        <v>210.99</v>
      </c>
      <c r="C145" s="21">
        <f t="shared" si="16"/>
        <v>1</v>
      </c>
      <c r="D145" s="635"/>
      <c r="E145" s="21">
        <f t="shared" si="17"/>
        <v>1</v>
      </c>
      <c r="F145" s="635"/>
      <c r="G145" s="21">
        <f t="shared" si="18"/>
        <v>1</v>
      </c>
      <c r="H145" s="635"/>
      <c r="I145" s="21">
        <f t="shared" si="19"/>
        <v>1</v>
      </c>
      <c r="J145" s="635"/>
      <c r="K145" s="21">
        <f t="shared" si="20"/>
        <v>1</v>
      </c>
      <c r="L145" s="635"/>
      <c r="M145" s="21">
        <f t="shared" si="21"/>
        <v>1</v>
      </c>
      <c r="N145" s="635"/>
      <c r="O145" s="21">
        <f t="shared" si="22"/>
        <v>1</v>
      </c>
      <c r="P145" s="635">
        <v>1</v>
      </c>
      <c r="Q145" s="21">
        <f t="shared" si="23"/>
        <v>1</v>
      </c>
      <c r="R145" s="21">
        <f t="shared" ca="1" si="24"/>
        <v>117075</v>
      </c>
      <c r="S145" s="308">
        <f t="shared" ca="1" si="15"/>
        <v>2470</v>
      </c>
    </row>
    <row r="146" spans="1:19">
      <c r="A146" s="633" t="str">
        <f>'12.23面积'!D147</f>
        <v>22-1-302</v>
      </c>
      <c r="B146" s="633">
        <f>'12.23面积'!E147</f>
        <v>221.85</v>
      </c>
      <c r="C146" s="21">
        <f t="shared" si="16"/>
        <v>1</v>
      </c>
      <c r="D146" s="635"/>
      <c r="E146" s="21">
        <f t="shared" si="17"/>
        <v>1</v>
      </c>
      <c r="F146" s="635"/>
      <c r="G146" s="21">
        <f t="shared" si="18"/>
        <v>1</v>
      </c>
      <c r="H146" s="635"/>
      <c r="I146" s="21">
        <f t="shared" si="19"/>
        <v>1</v>
      </c>
      <c r="J146" s="635"/>
      <c r="K146" s="21">
        <f t="shared" si="20"/>
        <v>1</v>
      </c>
      <c r="L146" s="635"/>
      <c r="M146" s="21">
        <f t="shared" si="21"/>
        <v>1</v>
      </c>
      <c r="N146" s="635"/>
      <c r="O146" s="21">
        <f t="shared" si="22"/>
        <v>1</v>
      </c>
      <c r="P146" s="635">
        <v>1</v>
      </c>
      <c r="Q146" s="21">
        <f t="shared" si="23"/>
        <v>1</v>
      </c>
      <c r="R146" s="21">
        <f t="shared" ca="1" si="24"/>
        <v>117075</v>
      </c>
      <c r="S146" s="308">
        <f t="shared" ca="1" si="15"/>
        <v>2597</v>
      </c>
    </row>
    <row r="147" spans="1:19">
      <c r="A147" s="633" t="str">
        <f>'12.23面积'!D148</f>
        <v>22-2-101</v>
      </c>
      <c r="B147" s="633">
        <f>'12.23面积'!E148</f>
        <v>210.99</v>
      </c>
      <c r="C147" s="21">
        <f t="shared" si="16"/>
        <v>1</v>
      </c>
      <c r="D147" s="635"/>
      <c r="E147" s="21">
        <f t="shared" si="17"/>
        <v>1</v>
      </c>
      <c r="F147" s="635"/>
      <c r="G147" s="21">
        <f t="shared" si="18"/>
        <v>1</v>
      </c>
      <c r="H147" s="635"/>
      <c r="I147" s="21">
        <f t="shared" si="19"/>
        <v>1</v>
      </c>
      <c r="J147" s="635"/>
      <c r="K147" s="21">
        <f t="shared" si="20"/>
        <v>1</v>
      </c>
      <c r="L147" s="635"/>
      <c r="M147" s="21">
        <f t="shared" si="21"/>
        <v>1</v>
      </c>
      <c r="N147" s="635"/>
      <c r="O147" s="21">
        <f t="shared" si="22"/>
        <v>1</v>
      </c>
      <c r="P147" s="635">
        <v>2</v>
      </c>
      <c r="Q147" s="21">
        <f t="shared" si="23"/>
        <v>1</v>
      </c>
      <c r="R147" s="21">
        <f t="shared" ca="1" si="24"/>
        <v>117075</v>
      </c>
      <c r="S147" s="308">
        <f t="shared" ca="1" si="15"/>
        <v>2470</v>
      </c>
    </row>
    <row r="148" spans="1:19">
      <c r="A148" s="633" t="str">
        <f>'12.23面积'!D149</f>
        <v>22-3-101</v>
      </c>
      <c r="B148" s="633">
        <f>'12.23面积'!E149</f>
        <v>210.99</v>
      </c>
      <c r="C148" s="21">
        <f t="shared" si="16"/>
        <v>1</v>
      </c>
      <c r="D148" s="635"/>
      <c r="E148" s="21">
        <f t="shared" si="17"/>
        <v>1</v>
      </c>
      <c r="F148" s="635"/>
      <c r="G148" s="21">
        <f t="shared" si="18"/>
        <v>1</v>
      </c>
      <c r="H148" s="635"/>
      <c r="I148" s="21">
        <f t="shared" si="19"/>
        <v>1</v>
      </c>
      <c r="J148" s="635"/>
      <c r="K148" s="21">
        <f t="shared" si="20"/>
        <v>1</v>
      </c>
      <c r="L148" s="635"/>
      <c r="M148" s="21">
        <f t="shared" si="21"/>
        <v>1</v>
      </c>
      <c r="N148" s="635"/>
      <c r="O148" s="21">
        <f t="shared" si="22"/>
        <v>1</v>
      </c>
      <c r="P148" s="635">
        <v>3</v>
      </c>
      <c r="Q148" s="21">
        <f t="shared" si="23"/>
        <v>1.02</v>
      </c>
      <c r="R148" s="21">
        <f t="shared" ca="1" si="24"/>
        <v>119417</v>
      </c>
      <c r="S148" s="308">
        <f t="shared" ca="1" si="15"/>
        <v>2520</v>
      </c>
    </row>
    <row r="149" spans="1:19">
      <c r="A149" s="633" t="str">
        <f>'12.23面积'!D150</f>
        <v>22-3-202</v>
      </c>
      <c r="B149" s="633">
        <f>'12.23面积'!E150</f>
        <v>230.9</v>
      </c>
      <c r="C149" s="21">
        <f t="shared" si="16"/>
        <v>1</v>
      </c>
      <c r="D149" s="635"/>
      <c r="E149" s="21">
        <f t="shared" si="17"/>
        <v>1</v>
      </c>
      <c r="F149" s="635"/>
      <c r="G149" s="21">
        <f t="shared" si="18"/>
        <v>1</v>
      </c>
      <c r="H149" s="635"/>
      <c r="I149" s="21">
        <f t="shared" si="19"/>
        <v>1</v>
      </c>
      <c r="J149" s="635"/>
      <c r="K149" s="21">
        <f t="shared" si="20"/>
        <v>1</v>
      </c>
      <c r="L149" s="635"/>
      <c r="M149" s="21">
        <f t="shared" si="21"/>
        <v>1</v>
      </c>
      <c r="N149" s="635"/>
      <c r="O149" s="21">
        <f t="shared" si="22"/>
        <v>1</v>
      </c>
      <c r="P149" s="635">
        <v>1</v>
      </c>
      <c r="Q149" s="21">
        <f t="shared" si="23"/>
        <v>1</v>
      </c>
      <c r="R149" s="21">
        <f t="shared" ca="1" si="24"/>
        <v>117075</v>
      </c>
      <c r="S149" s="308">
        <f t="shared" ca="1" si="15"/>
        <v>2703</v>
      </c>
    </row>
    <row r="150" spans="1:19">
      <c r="A150" s="633" t="str">
        <f>'12.23面积'!D151</f>
        <v>22-3-301</v>
      </c>
      <c r="B150" s="633">
        <f>'12.23面积'!E151</f>
        <v>221.85</v>
      </c>
      <c r="C150" s="21">
        <f t="shared" si="16"/>
        <v>1</v>
      </c>
      <c r="D150" s="635"/>
      <c r="E150" s="21">
        <f t="shared" si="17"/>
        <v>1</v>
      </c>
      <c r="F150" s="635"/>
      <c r="G150" s="21">
        <f t="shared" si="18"/>
        <v>1</v>
      </c>
      <c r="H150" s="635"/>
      <c r="I150" s="21">
        <f t="shared" si="19"/>
        <v>1</v>
      </c>
      <c r="J150" s="635"/>
      <c r="K150" s="21">
        <f t="shared" si="20"/>
        <v>1</v>
      </c>
      <c r="L150" s="635"/>
      <c r="M150" s="21">
        <f t="shared" si="21"/>
        <v>1</v>
      </c>
      <c r="N150" s="635"/>
      <c r="O150" s="21">
        <f t="shared" si="22"/>
        <v>1</v>
      </c>
      <c r="P150" s="635">
        <v>1</v>
      </c>
      <c r="Q150" s="21">
        <f t="shared" si="23"/>
        <v>1</v>
      </c>
      <c r="R150" s="21">
        <f t="shared" ca="1" si="24"/>
        <v>117075</v>
      </c>
      <c r="S150" s="308">
        <f t="shared" ca="1" si="15"/>
        <v>2597</v>
      </c>
    </row>
    <row r="151" spans="1:19">
      <c r="A151" s="633" t="str">
        <f>'12.23面积'!D152</f>
        <v>24-1-101</v>
      </c>
      <c r="B151" s="633">
        <f>'12.23面积'!E152</f>
        <v>217.74</v>
      </c>
      <c r="C151" s="21">
        <f t="shared" si="16"/>
        <v>1</v>
      </c>
      <c r="D151" s="635"/>
      <c r="E151" s="21">
        <f t="shared" si="17"/>
        <v>1</v>
      </c>
      <c r="F151" s="635"/>
      <c r="G151" s="21">
        <f t="shared" si="18"/>
        <v>1</v>
      </c>
      <c r="H151" s="635"/>
      <c r="I151" s="21">
        <f t="shared" si="19"/>
        <v>1</v>
      </c>
      <c r="J151" s="635"/>
      <c r="K151" s="21">
        <f t="shared" si="20"/>
        <v>1</v>
      </c>
      <c r="L151" s="635"/>
      <c r="M151" s="21">
        <f t="shared" si="21"/>
        <v>1</v>
      </c>
      <c r="N151" s="635"/>
      <c r="O151" s="21">
        <f t="shared" si="22"/>
        <v>1</v>
      </c>
      <c r="P151" s="635">
        <v>1</v>
      </c>
      <c r="Q151" s="21">
        <f t="shared" si="23"/>
        <v>1</v>
      </c>
      <c r="R151" s="21">
        <f t="shared" ca="1" si="24"/>
        <v>117075</v>
      </c>
      <c r="S151" s="308">
        <f t="shared" ca="1" si="15"/>
        <v>2549</v>
      </c>
    </row>
    <row r="152" spans="1:19">
      <c r="A152" s="633" t="str">
        <f>'12.23面积'!D153</f>
        <v>24-1-102</v>
      </c>
      <c r="B152" s="633">
        <f>'12.23面积'!E153</f>
        <v>209.66</v>
      </c>
      <c r="C152" s="21">
        <f t="shared" si="16"/>
        <v>1</v>
      </c>
      <c r="D152" s="635"/>
      <c r="E152" s="21">
        <f t="shared" si="17"/>
        <v>1</v>
      </c>
      <c r="F152" s="635"/>
      <c r="G152" s="21">
        <f t="shared" si="18"/>
        <v>1</v>
      </c>
      <c r="H152" s="635"/>
      <c r="I152" s="21">
        <f t="shared" si="19"/>
        <v>1</v>
      </c>
      <c r="J152" s="635"/>
      <c r="K152" s="21">
        <f t="shared" si="20"/>
        <v>1</v>
      </c>
      <c r="L152" s="635"/>
      <c r="M152" s="21">
        <f t="shared" si="21"/>
        <v>1</v>
      </c>
      <c r="N152" s="635"/>
      <c r="O152" s="21">
        <f t="shared" si="22"/>
        <v>1</v>
      </c>
      <c r="P152" s="635">
        <v>1</v>
      </c>
      <c r="Q152" s="21">
        <f t="shared" si="23"/>
        <v>1</v>
      </c>
      <c r="R152" s="21">
        <f t="shared" ca="1" si="24"/>
        <v>117075</v>
      </c>
      <c r="S152" s="308">
        <f t="shared" ref="S152:S215" ca="1" si="25">ROUND(R152*B152/10000,0)</f>
        <v>2455</v>
      </c>
    </row>
    <row r="153" spans="1:19">
      <c r="A153" s="633" t="str">
        <f>'12.23面积'!D154</f>
        <v>24-2-101</v>
      </c>
      <c r="B153" s="633">
        <f>'12.23面积'!E154</f>
        <v>209.66</v>
      </c>
      <c r="C153" s="21">
        <f t="shared" si="16"/>
        <v>1</v>
      </c>
      <c r="D153" s="635"/>
      <c r="E153" s="21">
        <f t="shared" si="17"/>
        <v>1</v>
      </c>
      <c r="F153" s="635"/>
      <c r="G153" s="21">
        <f t="shared" si="18"/>
        <v>1</v>
      </c>
      <c r="H153" s="635"/>
      <c r="I153" s="21">
        <f t="shared" si="19"/>
        <v>1</v>
      </c>
      <c r="J153" s="635"/>
      <c r="K153" s="21">
        <f t="shared" si="20"/>
        <v>1</v>
      </c>
      <c r="L153" s="635"/>
      <c r="M153" s="21">
        <f t="shared" si="21"/>
        <v>1</v>
      </c>
      <c r="N153" s="635"/>
      <c r="O153" s="21">
        <f t="shared" si="22"/>
        <v>1</v>
      </c>
      <c r="P153" s="635">
        <v>1</v>
      </c>
      <c r="Q153" s="21">
        <f t="shared" si="23"/>
        <v>1</v>
      </c>
      <c r="R153" s="21">
        <f t="shared" ca="1" si="24"/>
        <v>117075</v>
      </c>
      <c r="S153" s="308">
        <f t="shared" ca="1" si="25"/>
        <v>2455</v>
      </c>
    </row>
    <row r="154" spans="1:19">
      <c r="A154" s="633" t="str">
        <f>'12.23面积'!D155</f>
        <v>24-2-102</v>
      </c>
      <c r="B154" s="633">
        <f>'12.23面积'!E155</f>
        <v>209.66</v>
      </c>
      <c r="C154" s="21">
        <f t="shared" ref="C154:C217" si="26">IF(B154="",1,(LOOKUP(B154,$3:$3,$4:$4)-LOOKUP($B$24,$3:$3,$4:$4)+100)/100)</f>
        <v>1</v>
      </c>
      <c r="D154" s="635"/>
      <c r="E154" s="21">
        <f t="shared" ref="E154:E217" si="27">(SUMIF($5:$5,D154,$6:$6)-SUMIF($5:$5,$D$24,$6:$6)+100)/100</f>
        <v>1</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v>1</v>
      </c>
      <c r="Q154" s="21">
        <f t="shared" ref="Q154:Q217" si="33">(SUMIF($17:$17,P154,$18:$18)-SUMIF($17:$17,$P$24,$18:$18)+100)/100</f>
        <v>1</v>
      </c>
      <c r="R154" s="21">
        <f t="shared" ref="R154:R217" ca="1" si="34">IF(B154="",0,ROUND($R$24*C154*E154*G154*I154*K154*M154*O154*Q154,0))</f>
        <v>117075</v>
      </c>
      <c r="S154" s="308">
        <f t="shared" ca="1" si="25"/>
        <v>2455</v>
      </c>
    </row>
    <row r="155" spans="1:19">
      <c r="A155" s="633" t="str">
        <f>'12.23面积'!D156</f>
        <v>23-1-101</v>
      </c>
      <c r="B155" s="633">
        <f>'12.23面积'!E156</f>
        <v>217.75</v>
      </c>
      <c r="C155" s="21">
        <f t="shared" si="26"/>
        <v>1</v>
      </c>
      <c r="D155" s="635"/>
      <c r="E155" s="21">
        <f t="shared" si="27"/>
        <v>1</v>
      </c>
      <c r="F155" s="635"/>
      <c r="G155" s="21">
        <f t="shared" si="28"/>
        <v>1</v>
      </c>
      <c r="H155" s="635"/>
      <c r="I155" s="21">
        <f t="shared" si="29"/>
        <v>1</v>
      </c>
      <c r="J155" s="635"/>
      <c r="K155" s="21">
        <f t="shared" si="30"/>
        <v>1</v>
      </c>
      <c r="L155" s="635"/>
      <c r="M155" s="21">
        <f t="shared" si="31"/>
        <v>1</v>
      </c>
      <c r="N155" s="635"/>
      <c r="O155" s="21">
        <f t="shared" si="32"/>
        <v>1</v>
      </c>
      <c r="P155" s="635">
        <v>1</v>
      </c>
      <c r="Q155" s="21">
        <f t="shared" si="33"/>
        <v>1</v>
      </c>
      <c r="R155" s="21">
        <f t="shared" ca="1" si="34"/>
        <v>117075</v>
      </c>
      <c r="S155" s="308">
        <f t="shared" ca="1" si="25"/>
        <v>2549</v>
      </c>
    </row>
    <row r="156" spans="1:19">
      <c r="A156" s="633"/>
      <c r="B156" s="633"/>
      <c r="C156" s="21">
        <f t="shared" si="26"/>
        <v>1</v>
      </c>
      <c r="D156" s="635"/>
      <c r="E156" s="21">
        <f t="shared" si="27"/>
        <v>1</v>
      </c>
      <c r="F156" s="635"/>
      <c r="G156" s="21">
        <f t="shared" si="28"/>
        <v>1</v>
      </c>
      <c r="H156" s="635"/>
      <c r="I156" s="21">
        <f t="shared" si="29"/>
        <v>1</v>
      </c>
      <c r="J156" s="635"/>
      <c r="K156" s="21">
        <f t="shared" si="30"/>
        <v>1</v>
      </c>
      <c r="L156" s="635"/>
      <c r="M156" s="21">
        <f t="shared" si="31"/>
        <v>1</v>
      </c>
      <c r="N156" s="635"/>
      <c r="O156" s="21">
        <f t="shared" si="32"/>
        <v>1</v>
      </c>
      <c r="P156" s="635"/>
      <c r="Q156" s="21">
        <f t="shared" si="33"/>
        <v>0</v>
      </c>
      <c r="R156" s="21">
        <f t="shared" si="34"/>
        <v>0</v>
      </c>
      <c r="S156" s="308">
        <f t="shared" si="25"/>
        <v>0</v>
      </c>
    </row>
    <row r="157" spans="1:19">
      <c r="A157" s="633"/>
      <c r="B157" s="633"/>
      <c r="C157" s="21">
        <f t="shared" si="26"/>
        <v>1</v>
      </c>
      <c r="D157" s="635"/>
      <c r="E157" s="21">
        <f t="shared" si="27"/>
        <v>1</v>
      </c>
      <c r="F157" s="635"/>
      <c r="G157" s="21">
        <f t="shared" si="28"/>
        <v>1</v>
      </c>
      <c r="H157" s="635"/>
      <c r="I157" s="21">
        <f t="shared" si="29"/>
        <v>1</v>
      </c>
      <c r="J157" s="635"/>
      <c r="K157" s="21">
        <f t="shared" si="30"/>
        <v>1</v>
      </c>
      <c r="L157" s="635"/>
      <c r="M157" s="21">
        <f t="shared" si="31"/>
        <v>1</v>
      </c>
      <c r="N157" s="635"/>
      <c r="O157" s="21">
        <f t="shared" si="32"/>
        <v>1</v>
      </c>
      <c r="P157" s="635"/>
      <c r="Q157" s="21">
        <f t="shared" si="33"/>
        <v>0</v>
      </c>
      <c r="R157" s="21">
        <f t="shared" si="34"/>
        <v>0</v>
      </c>
      <c r="S157" s="308">
        <f t="shared" si="25"/>
        <v>0</v>
      </c>
    </row>
    <row r="158" spans="1:19">
      <c r="A158" s="633"/>
      <c r="B158" s="633"/>
      <c r="C158" s="21">
        <f t="shared" si="26"/>
        <v>1</v>
      </c>
      <c r="D158" s="635"/>
      <c r="E158" s="21">
        <f t="shared" si="27"/>
        <v>1</v>
      </c>
      <c r="F158" s="635"/>
      <c r="G158" s="21">
        <f t="shared" si="28"/>
        <v>1</v>
      </c>
      <c r="H158" s="635"/>
      <c r="I158" s="21">
        <f t="shared" si="29"/>
        <v>1</v>
      </c>
      <c r="J158" s="635"/>
      <c r="K158" s="21">
        <f t="shared" si="30"/>
        <v>1</v>
      </c>
      <c r="L158" s="635"/>
      <c r="M158" s="21">
        <f t="shared" si="31"/>
        <v>1</v>
      </c>
      <c r="N158" s="635"/>
      <c r="O158" s="21">
        <f t="shared" si="32"/>
        <v>1</v>
      </c>
      <c r="P158" s="635"/>
      <c r="Q158" s="21">
        <f t="shared" si="33"/>
        <v>0</v>
      </c>
      <c r="R158" s="21">
        <f t="shared" si="34"/>
        <v>0</v>
      </c>
      <c r="S158" s="308">
        <f t="shared" si="25"/>
        <v>0</v>
      </c>
    </row>
    <row r="159" spans="1:19">
      <c r="A159" s="633"/>
      <c r="B159" s="633"/>
      <c r="C159" s="21">
        <f t="shared" si="26"/>
        <v>1</v>
      </c>
      <c r="D159" s="635"/>
      <c r="E159" s="21">
        <f t="shared" si="27"/>
        <v>1</v>
      </c>
      <c r="F159" s="635"/>
      <c r="G159" s="21">
        <f t="shared" si="28"/>
        <v>1</v>
      </c>
      <c r="H159" s="635"/>
      <c r="I159" s="21">
        <f t="shared" si="29"/>
        <v>1</v>
      </c>
      <c r="J159" s="635"/>
      <c r="K159" s="21">
        <f t="shared" si="30"/>
        <v>1</v>
      </c>
      <c r="L159" s="635"/>
      <c r="M159" s="21">
        <f t="shared" si="31"/>
        <v>1</v>
      </c>
      <c r="N159" s="635"/>
      <c r="O159" s="21">
        <f t="shared" si="32"/>
        <v>1</v>
      </c>
      <c r="P159" s="635"/>
      <c r="Q159" s="21">
        <f t="shared" si="33"/>
        <v>0</v>
      </c>
      <c r="R159" s="21">
        <f t="shared" si="34"/>
        <v>0</v>
      </c>
      <c r="S159" s="308">
        <f t="shared" si="25"/>
        <v>0</v>
      </c>
    </row>
    <row r="160" spans="1:19">
      <c r="A160" s="633"/>
      <c r="B160" s="633"/>
      <c r="C160" s="21">
        <f t="shared" si="26"/>
        <v>1</v>
      </c>
      <c r="D160" s="635"/>
      <c r="E160" s="21">
        <f t="shared" si="27"/>
        <v>1</v>
      </c>
      <c r="F160" s="635"/>
      <c r="G160" s="21">
        <f t="shared" si="28"/>
        <v>1</v>
      </c>
      <c r="H160" s="635"/>
      <c r="I160" s="21">
        <f t="shared" si="29"/>
        <v>1</v>
      </c>
      <c r="J160" s="635"/>
      <c r="K160" s="21">
        <f t="shared" si="30"/>
        <v>1</v>
      </c>
      <c r="L160" s="635"/>
      <c r="M160" s="21">
        <f t="shared" si="31"/>
        <v>1</v>
      </c>
      <c r="N160" s="635"/>
      <c r="O160" s="21">
        <f t="shared" si="32"/>
        <v>1</v>
      </c>
      <c r="P160" s="635"/>
      <c r="Q160" s="21">
        <f t="shared" si="33"/>
        <v>0</v>
      </c>
      <c r="R160" s="21">
        <f t="shared" si="34"/>
        <v>0</v>
      </c>
      <c r="S160" s="308">
        <f t="shared" si="25"/>
        <v>0</v>
      </c>
    </row>
    <row r="161" spans="1:19">
      <c r="A161" s="633"/>
      <c r="B161" s="633"/>
      <c r="C161" s="21">
        <f t="shared" si="26"/>
        <v>1</v>
      </c>
      <c r="D161" s="635"/>
      <c r="E161" s="21">
        <f t="shared" si="27"/>
        <v>1</v>
      </c>
      <c r="F161" s="635"/>
      <c r="G161" s="21">
        <f t="shared" si="28"/>
        <v>1</v>
      </c>
      <c r="H161" s="635"/>
      <c r="I161" s="21">
        <f t="shared" si="29"/>
        <v>1</v>
      </c>
      <c r="J161" s="635"/>
      <c r="K161" s="21">
        <f t="shared" si="30"/>
        <v>1</v>
      </c>
      <c r="L161" s="635"/>
      <c r="M161" s="21">
        <f t="shared" si="31"/>
        <v>1</v>
      </c>
      <c r="N161" s="635"/>
      <c r="O161" s="21">
        <f t="shared" si="32"/>
        <v>1</v>
      </c>
      <c r="P161" s="635"/>
      <c r="Q161" s="21">
        <f t="shared" si="33"/>
        <v>0</v>
      </c>
      <c r="R161" s="21">
        <f t="shared" si="34"/>
        <v>0</v>
      </c>
      <c r="S161" s="308">
        <f t="shared" si="25"/>
        <v>0</v>
      </c>
    </row>
    <row r="162" spans="1:19">
      <c r="A162" s="633"/>
      <c r="B162" s="633"/>
      <c r="C162" s="21">
        <f t="shared" si="26"/>
        <v>1</v>
      </c>
      <c r="D162" s="635"/>
      <c r="E162" s="21">
        <f t="shared" si="27"/>
        <v>1</v>
      </c>
      <c r="F162" s="635"/>
      <c r="G162" s="21">
        <f t="shared" si="28"/>
        <v>1</v>
      </c>
      <c r="H162" s="635"/>
      <c r="I162" s="21">
        <f t="shared" si="29"/>
        <v>1</v>
      </c>
      <c r="J162" s="635"/>
      <c r="K162" s="21">
        <f t="shared" si="30"/>
        <v>1</v>
      </c>
      <c r="L162" s="635"/>
      <c r="M162" s="21">
        <f t="shared" si="31"/>
        <v>1</v>
      </c>
      <c r="N162" s="635"/>
      <c r="O162" s="21">
        <f t="shared" si="32"/>
        <v>1</v>
      </c>
      <c r="P162" s="635"/>
      <c r="Q162" s="21">
        <f t="shared" si="33"/>
        <v>0</v>
      </c>
      <c r="R162" s="21">
        <f t="shared" si="34"/>
        <v>0</v>
      </c>
      <c r="S162" s="308">
        <f t="shared" si="25"/>
        <v>0</v>
      </c>
    </row>
    <row r="163" spans="1:19">
      <c r="A163" s="633"/>
      <c r="B163" s="633"/>
      <c r="C163" s="21">
        <f t="shared" si="26"/>
        <v>1</v>
      </c>
      <c r="D163" s="635"/>
      <c r="E163" s="21">
        <f t="shared" si="27"/>
        <v>1</v>
      </c>
      <c r="F163" s="635"/>
      <c r="G163" s="21">
        <f t="shared" si="28"/>
        <v>1</v>
      </c>
      <c r="H163" s="635"/>
      <c r="I163" s="21">
        <f t="shared" si="29"/>
        <v>1</v>
      </c>
      <c r="J163" s="635"/>
      <c r="K163" s="21">
        <f t="shared" si="30"/>
        <v>1</v>
      </c>
      <c r="L163" s="635"/>
      <c r="M163" s="21">
        <f t="shared" si="31"/>
        <v>1</v>
      </c>
      <c r="N163" s="635"/>
      <c r="O163" s="21">
        <f t="shared" si="32"/>
        <v>1</v>
      </c>
      <c r="P163" s="635"/>
      <c r="Q163" s="21">
        <f t="shared" si="33"/>
        <v>0</v>
      </c>
      <c r="R163" s="21">
        <f t="shared" si="34"/>
        <v>0</v>
      </c>
      <c r="S163" s="308">
        <f t="shared" si="25"/>
        <v>0</v>
      </c>
    </row>
    <row r="164" spans="1:19">
      <c r="A164" s="633"/>
      <c r="B164" s="633"/>
      <c r="C164" s="21">
        <f t="shared" si="26"/>
        <v>1</v>
      </c>
      <c r="D164" s="635"/>
      <c r="E164" s="21">
        <f t="shared" si="27"/>
        <v>1</v>
      </c>
      <c r="F164" s="635"/>
      <c r="G164" s="21">
        <f t="shared" si="28"/>
        <v>1</v>
      </c>
      <c r="H164" s="635"/>
      <c r="I164" s="21">
        <f t="shared" si="29"/>
        <v>1</v>
      </c>
      <c r="J164" s="635"/>
      <c r="K164" s="21">
        <f t="shared" si="30"/>
        <v>1</v>
      </c>
      <c r="L164" s="635"/>
      <c r="M164" s="21">
        <f t="shared" si="31"/>
        <v>1</v>
      </c>
      <c r="N164" s="635"/>
      <c r="O164" s="21">
        <f t="shared" si="32"/>
        <v>1</v>
      </c>
      <c r="P164" s="635"/>
      <c r="Q164" s="21">
        <f t="shared" si="33"/>
        <v>0</v>
      </c>
      <c r="R164" s="21">
        <f t="shared" si="34"/>
        <v>0</v>
      </c>
      <c r="S164" s="308">
        <f t="shared" si="25"/>
        <v>0</v>
      </c>
    </row>
    <row r="165" spans="1:19">
      <c r="A165" s="633"/>
      <c r="B165" s="633"/>
      <c r="C165" s="21">
        <f t="shared" si="26"/>
        <v>1</v>
      </c>
      <c r="D165" s="635"/>
      <c r="E165" s="21">
        <f t="shared" si="27"/>
        <v>1</v>
      </c>
      <c r="F165" s="635"/>
      <c r="G165" s="21">
        <f t="shared" si="28"/>
        <v>1</v>
      </c>
      <c r="H165" s="635"/>
      <c r="I165" s="21">
        <f t="shared" si="29"/>
        <v>1</v>
      </c>
      <c r="J165" s="635"/>
      <c r="K165" s="21">
        <f t="shared" si="30"/>
        <v>1</v>
      </c>
      <c r="L165" s="635"/>
      <c r="M165" s="21">
        <f t="shared" si="31"/>
        <v>1</v>
      </c>
      <c r="N165" s="635"/>
      <c r="O165" s="21">
        <f t="shared" si="32"/>
        <v>1</v>
      </c>
      <c r="P165" s="635"/>
      <c r="Q165" s="21">
        <f t="shared" si="33"/>
        <v>0</v>
      </c>
      <c r="R165" s="21">
        <f t="shared" si="34"/>
        <v>0</v>
      </c>
      <c r="S165" s="308">
        <f t="shared" si="25"/>
        <v>0</v>
      </c>
    </row>
    <row r="166" spans="1:19">
      <c r="A166" s="633"/>
      <c r="B166" s="633"/>
      <c r="C166" s="21">
        <f t="shared" si="26"/>
        <v>1</v>
      </c>
      <c r="D166" s="635"/>
      <c r="E166" s="21">
        <f t="shared" si="27"/>
        <v>1</v>
      </c>
      <c r="F166" s="635"/>
      <c r="G166" s="21">
        <f t="shared" si="28"/>
        <v>1</v>
      </c>
      <c r="H166" s="635"/>
      <c r="I166" s="21">
        <f t="shared" si="29"/>
        <v>1</v>
      </c>
      <c r="J166" s="635"/>
      <c r="K166" s="21">
        <f t="shared" si="30"/>
        <v>1</v>
      </c>
      <c r="L166" s="635"/>
      <c r="M166" s="21">
        <f t="shared" si="31"/>
        <v>1</v>
      </c>
      <c r="N166" s="635"/>
      <c r="O166" s="21">
        <f t="shared" si="32"/>
        <v>1</v>
      </c>
      <c r="P166" s="635"/>
      <c r="Q166" s="21">
        <f t="shared" si="33"/>
        <v>0</v>
      </c>
      <c r="R166" s="21">
        <f t="shared" si="34"/>
        <v>0</v>
      </c>
      <c r="S166" s="308">
        <f t="shared" si="25"/>
        <v>0</v>
      </c>
    </row>
    <row r="167" spans="1:19">
      <c r="A167" s="633"/>
      <c r="B167" s="633"/>
      <c r="C167" s="21">
        <f t="shared" si="26"/>
        <v>1</v>
      </c>
      <c r="D167" s="635"/>
      <c r="E167" s="21">
        <f t="shared" si="27"/>
        <v>1</v>
      </c>
      <c r="F167" s="635"/>
      <c r="G167" s="21">
        <f t="shared" si="28"/>
        <v>1</v>
      </c>
      <c r="H167" s="635"/>
      <c r="I167" s="21">
        <f t="shared" si="29"/>
        <v>1</v>
      </c>
      <c r="J167" s="635"/>
      <c r="K167" s="21">
        <f t="shared" si="30"/>
        <v>1</v>
      </c>
      <c r="L167" s="635"/>
      <c r="M167" s="21">
        <f t="shared" si="31"/>
        <v>1</v>
      </c>
      <c r="N167" s="635"/>
      <c r="O167" s="21">
        <f t="shared" si="32"/>
        <v>1</v>
      </c>
      <c r="P167" s="635"/>
      <c r="Q167" s="21">
        <f t="shared" si="33"/>
        <v>0</v>
      </c>
      <c r="R167" s="21">
        <f t="shared" si="34"/>
        <v>0</v>
      </c>
      <c r="S167" s="308">
        <f t="shared" si="25"/>
        <v>0</v>
      </c>
    </row>
    <row r="168" spans="1:19">
      <c r="A168" s="633"/>
      <c r="B168" s="633"/>
      <c r="C168" s="21">
        <f t="shared" si="26"/>
        <v>1</v>
      </c>
      <c r="D168" s="635"/>
      <c r="E168" s="21">
        <f t="shared" si="27"/>
        <v>1</v>
      </c>
      <c r="F168" s="635"/>
      <c r="G168" s="21">
        <f t="shared" si="28"/>
        <v>1</v>
      </c>
      <c r="H168" s="635"/>
      <c r="I168" s="21">
        <f t="shared" si="29"/>
        <v>1</v>
      </c>
      <c r="J168" s="635"/>
      <c r="K168" s="21">
        <f t="shared" si="30"/>
        <v>1</v>
      </c>
      <c r="L168" s="635"/>
      <c r="M168" s="21">
        <f t="shared" si="31"/>
        <v>1</v>
      </c>
      <c r="N168" s="635"/>
      <c r="O168" s="21">
        <f t="shared" si="32"/>
        <v>1</v>
      </c>
      <c r="P168" s="635"/>
      <c r="Q168" s="21">
        <f t="shared" si="33"/>
        <v>0</v>
      </c>
      <c r="R168" s="21">
        <f t="shared" si="34"/>
        <v>0</v>
      </c>
      <c r="S168" s="308">
        <f t="shared" si="25"/>
        <v>0</v>
      </c>
    </row>
    <row r="169" spans="1:19">
      <c r="A169" s="633"/>
      <c r="B169" s="633"/>
      <c r="C169" s="21">
        <f t="shared" si="26"/>
        <v>1</v>
      </c>
      <c r="D169" s="635"/>
      <c r="E169" s="21">
        <f t="shared" si="27"/>
        <v>1</v>
      </c>
      <c r="F169" s="635"/>
      <c r="G169" s="21">
        <f t="shared" si="28"/>
        <v>1</v>
      </c>
      <c r="H169" s="635"/>
      <c r="I169" s="21">
        <f t="shared" si="29"/>
        <v>1</v>
      </c>
      <c r="J169" s="635"/>
      <c r="K169" s="21">
        <f t="shared" si="30"/>
        <v>1</v>
      </c>
      <c r="L169" s="635"/>
      <c r="M169" s="21">
        <f t="shared" si="31"/>
        <v>1</v>
      </c>
      <c r="N169" s="635"/>
      <c r="O169" s="21">
        <f t="shared" si="32"/>
        <v>1</v>
      </c>
      <c r="P169" s="635"/>
      <c r="Q169" s="21">
        <f t="shared" si="33"/>
        <v>0</v>
      </c>
      <c r="R169" s="21">
        <f t="shared" si="34"/>
        <v>0</v>
      </c>
      <c r="S169" s="308">
        <f t="shared" si="25"/>
        <v>0</v>
      </c>
    </row>
    <row r="170" spans="1:19">
      <c r="A170" s="633"/>
      <c r="B170" s="633"/>
      <c r="C170" s="21">
        <f t="shared" si="26"/>
        <v>1</v>
      </c>
      <c r="D170" s="635"/>
      <c r="E170" s="21">
        <f t="shared" si="27"/>
        <v>1</v>
      </c>
      <c r="F170" s="635"/>
      <c r="G170" s="21">
        <f t="shared" si="28"/>
        <v>1</v>
      </c>
      <c r="H170" s="635"/>
      <c r="I170" s="21">
        <f t="shared" si="29"/>
        <v>1</v>
      </c>
      <c r="J170" s="635"/>
      <c r="K170" s="21">
        <f t="shared" si="30"/>
        <v>1</v>
      </c>
      <c r="L170" s="635"/>
      <c r="M170" s="21">
        <f t="shared" si="31"/>
        <v>1</v>
      </c>
      <c r="N170" s="635"/>
      <c r="O170" s="21">
        <f t="shared" si="32"/>
        <v>1</v>
      </c>
      <c r="P170" s="635"/>
      <c r="Q170" s="21">
        <f t="shared" si="33"/>
        <v>0</v>
      </c>
      <c r="R170" s="21">
        <f t="shared" si="34"/>
        <v>0</v>
      </c>
      <c r="S170" s="308">
        <f t="shared" si="25"/>
        <v>0</v>
      </c>
    </row>
    <row r="171" spans="1:19">
      <c r="A171" s="633"/>
      <c r="B171" s="633"/>
      <c r="C171" s="21">
        <f t="shared" si="26"/>
        <v>1</v>
      </c>
      <c r="D171" s="635"/>
      <c r="E171" s="21">
        <f t="shared" si="27"/>
        <v>1</v>
      </c>
      <c r="F171" s="635"/>
      <c r="G171" s="21">
        <f t="shared" si="28"/>
        <v>1</v>
      </c>
      <c r="H171" s="635"/>
      <c r="I171" s="21">
        <f t="shared" si="29"/>
        <v>1</v>
      </c>
      <c r="J171" s="635"/>
      <c r="K171" s="21">
        <f t="shared" si="30"/>
        <v>1</v>
      </c>
      <c r="L171" s="635"/>
      <c r="M171" s="21">
        <f t="shared" si="31"/>
        <v>1</v>
      </c>
      <c r="N171" s="635"/>
      <c r="O171" s="21">
        <f t="shared" si="32"/>
        <v>1</v>
      </c>
      <c r="P171" s="635"/>
      <c r="Q171" s="21">
        <f t="shared" si="33"/>
        <v>0</v>
      </c>
      <c r="R171" s="21">
        <f t="shared" si="34"/>
        <v>0</v>
      </c>
      <c r="S171" s="308">
        <f t="shared" si="25"/>
        <v>0</v>
      </c>
    </row>
    <row r="172" spans="1:19">
      <c r="A172" s="633"/>
      <c r="B172" s="633"/>
      <c r="C172" s="21">
        <f t="shared" si="26"/>
        <v>1</v>
      </c>
      <c r="D172" s="635"/>
      <c r="E172" s="21">
        <f t="shared" si="27"/>
        <v>1</v>
      </c>
      <c r="F172" s="635"/>
      <c r="G172" s="21">
        <f t="shared" si="28"/>
        <v>1</v>
      </c>
      <c r="H172" s="635"/>
      <c r="I172" s="21">
        <f t="shared" si="29"/>
        <v>1</v>
      </c>
      <c r="J172" s="635"/>
      <c r="K172" s="21">
        <f t="shared" si="30"/>
        <v>1</v>
      </c>
      <c r="L172" s="635"/>
      <c r="M172" s="21">
        <f t="shared" si="31"/>
        <v>1</v>
      </c>
      <c r="N172" s="635"/>
      <c r="O172" s="21">
        <f t="shared" si="32"/>
        <v>1</v>
      </c>
      <c r="P172" s="635"/>
      <c r="Q172" s="21">
        <f t="shared" si="33"/>
        <v>0</v>
      </c>
      <c r="R172" s="21">
        <f t="shared" si="34"/>
        <v>0</v>
      </c>
      <c r="S172" s="308">
        <f t="shared" si="25"/>
        <v>0</v>
      </c>
    </row>
    <row r="173" spans="1:19">
      <c r="A173" s="633"/>
      <c r="B173" s="633"/>
      <c r="C173" s="21">
        <f t="shared" si="26"/>
        <v>1</v>
      </c>
      <c r="D173" s="635"/>
      <c r="E173" s="21">
        <f t="shared" si="27"/>
        <v>1</v>
      </c>
      <c r="F173" s="635"/>
      <c r="G173" s="21">
        <f t="shared" si="28"/>
        <v>1</v>
      </c>
      <c r="H173" s="635"/>
      <c r="I173" s="21">
        <f t="shared" si="29"/>
        <v>1</v>
      </c>
      <c r="J173" s="635"/>
      <c r="K173" s="21">
        <f t="shared" si="30"/>
        <v>1</v>
      </c>
      <c r="L173" s="635"/>
      <c r="M173" s="21">
        <f t="shared" si="31"/>
        <v>1</v>
      </c>
      <c r="N173" s="635"/>
      <c r="O173" s="21">
        <f t="shared" si="32"/>
        <v>1</v>
      </c>
      <c r="P173" s="635"/>
      <c r="Q173" s="21">
        <f t="shared" si="33"/>
        <v>0</v>
      </c>
      <c r="R173" s="21">
        <f t="shared" si="34"/>
        <v>0</v>
      </c>
      <c r="S173" s="308">
        <f t="shared" si="25"/>
        <v>0</v>
      </c>
    </row>
    <row r="174" spans="1:19">
      <c r="A174" s="633"/>
      <c r="B174" s="633"/>
      <c r="C174" s="21">
        <f t="shared" si="26"/>
        <v>1</v>
      </c>
      <c r="D174" s="635"/>
      <c r="E174" s="21">
        <f t="shared" si="27"/>
        <v>1</v>
      </c>
      <c r="F174" s="635"/>
      <c r="G174" s="21">
        <f t="shared" si="28"/>
        <v>1</v>
      </c>
      <c r="H174" s="635"/>
      <c r="I174" s="21">
        <f t="shared" si="29"/>
        <v>1</v>
      </c>
      <c r="J174" s="635"/>
      <c r="K174" s="21">
        <f t="shared" si="30"/>
        <v>1</v>
      </c>
      <c r="L174" s="635"/>
      <c r="M174" s="21">
        <f t="shared" si="31"/>
        <v>1</v>
      </c>
      <c r="N174" s="635"/>
      <c r="O174" s="21">
        <f t="shared" si="32"/>
        <v>1</v>
      </c>
      <c r="P174" s="635"/>
      <c r="Q174" s="21">
        <f t="shared" si="33"/>
        <v>0</v>
      </c>
      <c r="R174" s="21">
        <f t="shared" si="34"/>
        <v>0</v>
      </c>
      <c r="S174" s="308">
        <f t="shared" si="25"/>
        <v>0</v>
      </c>
    </row>
    <row r="175" spans="1:19">
      <c r="A175" s="633"/>
      <c r="B175" s="633"/>
      <c r="C175" s="21">
        <f t="shared" si="26"/>
        <v>1</v>
      </c>
      <c r="D175" s="635"/>
      <c r="E175" s="21">
        <f t="shared" si="27"/>
        <v>1</v>
      </c>
      <c r="F175" s="635"/>
      <c r="G175" s="21">
        <f t="shared" si="28"/>
        <v>1</v>
      </c>
      <c r="H175" s="635"/>
      <c r="I175" s="21">
        <f t="shared" si="29"/>
        <v>1</v>
      </c>
      <c r="J175" s="635"/>
      <c r="K175" s="21">
        <f t="shared" si="30"/>
        <v>1</v>
      </c>
      <c r="L175" s="635"/>
      <c r="M175" s="21">
        <f t="shared" si="31"/>
        <v>1</v>
      </c>
      <c r="N175" s="635"/>
      <c r="O175" s="21">
        <f t="shared" si="32"/>
        <v>1</v>
      </c>
      <c r="P175" s="635"/>
      <c r="Q175" s="21">
        <f t="shared" si="33"/>
        <v>0</v>
      </c>
      <c r="R175" s="21">
        <f t="shared" si="34"/>
        <v>0</v>
      </c>
      <c r="S175" s="308">
        <f t="shared" si="25"/>
        <v>0</v>
      </c>
    </row>
    <row r="176" spans="1:19">
      <c r="A176" s="633"/>
      <c r="B176" s="633"/>
      <c r="C176" s="21">
        <f t="shared" si="26"/>
        <v>1</v>
      </c>
      <c r="D176" s="635"/>
      <c r="E176" s="21">
        <f t="shared" si="27"/>
        <v>1</v>
      </c>
      <c r="F176" s="635"/>
      <c r="G176" s="21">
        <f t="shared" si="28"/>
        <v>1</v>
      </c>
      <c r="H176" s="635"/>
      <c r="I176" s="21">
        <f t="shared" si="29"/>
        <v>1</v>
      </c>
      <c r="J176" s="635"/>
      <c r="K176" s="21">
        <f t="shared" si="30"/>
        <v>1</v>
      </c>
      <c r="L176" s="635"/>
      <c r="M176" s="21">
        <f t="shared" si="31"/>
        <v>1</v>
      </c>
      <c r="N176" s="635"/>
      <c r="O176" s="21">
        <f t="shared" si="32"/>
        <v>1</v>
      </c>
      <c r="P176" s="635"/>
      <c r="Q176" s="21">
        <f t="shared" si="33"/>
        <v>0</v>
      </c>
      <c r="R176" s="21">
        <f t="shared" si="34"/>
        <v>0</v>
      </c>
      <c r="S176" s="308">
        <f t="shared" si="25"/>
        <v>0</v>
      </c>
    </row>
    <row r="177" spans="1:19">
      <c r="A177" s="633"/>
      <c r="B177" s="633"/>
      <c r="C177" s="21">
        <f t="shared" si="26"/>
        <v>1</v>
      </c>
      <c r="D177" s="635"/>
      <c r="E177" s="21">
        <f t="shared" si="27"/>
        <v>1</v>
      </c>
      <c r="F177" s="635"/>
      <c r="G177" s="21">
        <f t="shared" si="28"/>
        <v>1</v>
      </c>
      <c r="H177" s="635"/>
      <c r="I177" s="21">
        <f t="shared" si="29"/>
        <v>1</v>
      </c>
      <c r="J177" s="635"/>
      <c r="K177" s="21">
        <f t="shared" si="30"/>
        <v>1</v>
      </c>
      <c r="L177" s="635"/>
      <c r="M177" s="21">
        <f t="shared" si="31"/>
        <v>1</v>
      </c>
      <c r="N177" s="635"/>
      <c r="O177" s="21">
        <f t="shared" si="32"/>
        <v>1</v>
      </c>
      <c r="P177" s="635"/>
      <c r="Q177" s="21">
        <f t="shared" si="33"/>
        <v>0</v>
      </c>
      <c r="R177" s="21">
        <f t="shared" si="34"/>
        <v>0</v>
      </c>
      <c r="S177" s="308">
        <f t="shared" si="25"/>
        <v>0</v>
      </c>
    </row>
    <row r="178" spans="1:19">
      <c r="A178" s="633"/>
      <c r="B178" s="633"/>
      <c r="C178" s="21">
        <f t="shared" si="26"/>
        <v>1</v>
      </c>
      <c r="D178" s="635"/>
      <c r="E178" s="21">
        <f t="shared" si="27"/>
        <v>1</v>
      </c>
      <c r="F178" s="635"/>
      <c r="G178" s="21">
        <f t="shared" si="28"/>
        <v>1</v>
      </c>
      <c r="H178" s="635"/>
      <c r="I178" s="21">
        <f t="shared" si="29"/>
        <v>1</v>
      </c>
      <c r="J178" s="635"/>
      <c r="K178" s="21">
        <f t="shared" si="30"/>
        <v>1</v>
      </c>
      <c r="L178" s="635"/>
      <c r="M178" s="21">
        <f t="shared" si="31"/>
        <v>1</v>
      </c>
      <c r="N178" s="635"/>
      <c r="O178" s="21">
        <f t="shared" si="32"/>
        <v>1</v>
      </c>
      <c r="P178" s="635"/>
      <c r="Q178" s="21">
        <f t="shared" si="33"/>
        <v>0</v>
      </c>
      <c r="R178" s="21">
        <f t="shared" si="34"/>
        <v>0</v>
      </c>
      <c r="S178" s="308">
        <f t="shared" si="25"/>
        <v>0</v>
      </c>
    </row>
    <row r="179" spans="1:19">
      <c r="A179" s="633"/>
      <c r="B179" s="633"/>
      <c r="C179" s="21">
        <f t="shared" si="26"/>
        <v>1</v>
      </c>
      <c r="D179" s="635"/>
      <c r="E179" s="21">
        <f t="shared" si="27"/>
        <v>1</v>
      </c>
      <c r="F179" s="635"/>
      <c r="G179" s="21">
        <f t="shared" si="28"/>
        <v>1</v>
      </c>
      <c r="H179" s="635"/>
      <c r="I179" s="21">
        <f t="shared" si="29"/>
        <v>1</v>
      </c>
      <c r="J179" s="635"/>
      <c r="K179" s="21">
        <f t="shared" si="30"/>
        <v>1</v>
      </c>
      <c r="L179" s="635"/>
      <c r="M179" s="21">
        <f t="shared" si="31"/>
        <v>1</v>
      </c>
      <c r="N179" s="635"/>
      <c r="O179" s="21">
        <f t="shared" si="32"/>
        <v>1</v>
      </c>
      <c r="P179" s="635"/>
      <c r="Q179" s="21">
        <f t="shared" si="33"/>
        <v>0</v>
      </c>
      <c r="R179" s="21">
        <f t="shared" si="34"/>
        <v>0</v>
      </c>
      <c r="S179" s="308">
        <f t="shared" si="25"/>
        <v>0</v>
      </c>
    </row>
    <row r="180" spans="1:19">
      <c r="A180" s="633"/>
      <c r="B180" s="633"/>
      <c r="C180" s="21">
        <f t="shared" si="26"/>
        <v>1</v>
      </c>
      <c r="D180" s="635"/>
      <c r="E180" s="21">
        <f t="shared" si="27"/>
        <v>1</v>
      </c>
      <c r="F180" s="635"/>
      <c r="G180" s="21">
        <f t="shared" si="28"/>
        <v>1</v>
      </c>
      <c r="H180" s="635"/>
      <c r="I180" s="21">
        <f t="shared" si="29"/>
        <v>1</v>
      </c>
      <c r="J180" s="635"/>
      <c r="K180" s="21">
        <f t="shared" si="30"/>
        <v>1</v>
      </c>
      <c r="L180" s="635"/>
      <c r="M180" s="21">
        <f t="shared" si="31"/>
        <v>1</v>
      </c>
      <c r="N180" s="635"/>
      <c r="O180" s="21">
        <f t="shared" si="32"/>
        <v>1</v>
      </c>
      <c r="P180" s="635"/>
      <c r="Q180" s="21">
        <f t="shared" si="33"/>
        <v>0</v>
      </c>
      <c r="R180" s="21">
        <f t="shared" si="34"/>
        <v>0</v>
      </c>
      <c r="S180" s="308">
        <f t="shared" si="25"/>
        <v>0</v>
      </c>
    </row>
    <row r="181" spans="1:19">
      <c r="A181" s="633"/>
      <c r="B181" s="633"/>
      <c r="C181" s="21">
        <f t="shared" si="26"/>
        <v>1</v>
      </c>
      <c r="D181" s="635"/>
      <c r="E181" s="21">
        <f t="shared" si="27"/>
        <v>1</v>
      </c>
      <c r="F181" s="635"/>
      <c r="G181" s="21">
        <f t="shared" si="28"/>
        <v>1</v>
      </c>
      <c r="H181" s="635"/>
      <c r="I181" s="21">
        <f t="shared" si="29"/>
        <v>1</v>
      </c>
      <c r="J181" s="635"/>
      <c r="K181" s="21">
        <f t="shared" si="30"/>
        <v>1</v>
      </c>
      <c r="L181" s="635"/>
      <c r="M181" s="21">
        <f t="shared" si="31"/>
        <v>1</v>
      </c>
      <c r="N181" s="635"/>
      <c r="O181" s="21">
        <f t="shared" si="32"/>
        <v>1</v>
      </c>
      <c r="P181" s="635"/>
      <c r="Q181" s="21">
        <f t="shared" si="33"/>
        <v>0</v>
      </c>
      <c r="R181" s="21">
        <f t="shared" si="34"/>
        <v>0</v>
      </c>
      <c r="S181" s="308">
        <f t="shared" si="25"/>
        <v>0</v>
      </c>
    </row>
    <row r="182" spans="1:19">
      <c r="A182" s="633"/>
      <c r="B182" s="633"/>
      <c r="C182" s="21">
        <f t="shared" si="26"/>
        <v>1</v>
      </c>
      <c r="D182" s="635"/>
      <c r="E182" s="21">
        <f t="shared" si="27"/>
        <v>1</v>
      </c>
      <c r="F182" s="635"/>
      <c r="G182" s="21">
        <f t="shared" si="28"/>
        <v>1</v>
      </c>
      <c r="H182" s="635"/>
      <c r="I182" s="21">
        <f t="shared" si="29"/>
        <v>1</v>
      </c>
      <c r="J182" s="635"/>
      <c r="K182" s="21">
        <f t="shared" si="30"/>
        <v>1</v>
      </c>
      <c r="L182" s="635"/>
      <c r="M182" s="21">
        <f t="shared" si="31"/>
        <v>1</v>
      </c>
      <c r="N182" s="635"/>
      <c r="O182" s="21">
        <f t="shared" si="32"/>
        <v>1</v>
      </c>
      <c r="P182" s="635"/>
      <c r="Q182" s="21">
        <f t="shared" si="33"/>
        <v>0</v>
      </c>
      <c r="R182" s="21">
        <f t="shared" si="34"/>
        <v>0</v>
      </c>
      <c r="S182" s="308">
        <f t="shared" si="25"/>
        <v>0</v>
      </c>
    </row>
    <row r="183" spans="1:19">
      <c r="A183" s="633"/>
      <c r="B183" s="633"/>
      <c r="C183" s="21">
        <f t="shared" si="26"/>
        <v>1</v>
      </c>
      <c r="D183" s="635"/>
      <c r="E183" s="21">
        <f t="shared" si="27"/>
        <v>1</v>
      </c>
      <c r="F183" s="635"/>
      <c r="G183" s="21">
        <f t="shared" si="28"/>
        <v>1</v>
      </c>
      <c r="H183" s="635"/>
      <c r="I183" s="21">
        <f t="shared" si="29"/>
        <v>1</v>
      </c>
      <c r="J183" s="635"/>
      <c r="K183" s="21">
        <f t="shared" si="30"/>
        <v>1</v>
      </c>
      <c r="L183" s="635"/>
      <c r="M183" s="21">
        <f t="shared" si="31"/>
        <v>1</v>
      </c>
      <c r="N183" s="635"/>
      <c r="O183" s="21">
        <f t="shared" si="32"/>
        <v>1</v>
      </c>
      <c r="P183" s="635"/>
      <c r="Q183" s="21">
        <f t="shared" si="33"/>
        <v>0</v>
      </c>
      <c r="R183" s="21">
        <f t="shared" si="34"/>
        <v>0</v>
      </c>
      <c r="S183" s="308">
        <f t="shared" si="25"/>
        <v>0</v>
      </c>
    </row>
    <row r="184" spans="1:19">
      <c r="A184" s="633"/>
      <c r="B184" s="633"/>
      <c r="C184" s="21">
        <f t="shared" si="26"/>
        <v>1</v>
      </c>
      <c r="D184" s="635"/>
      <c r="E184" s="21">
        <f t="shared" si="27"/>
        <v>1</v>
      </c>
      <c r="F184" s="635"/>
      <c r="G184" s="21">
        <f t="shared" si="28"/>
        <v>1</v>
      </c>
      <c r="H184" s="635"/>
      <c r="I184" s="21">
        <f t="shared" si="29"/>
        <v>1</v>
      </c>
      <c r="J184" s="635"/>
      <c r="K184" s="21">
        <f t="shared" si="30"/>
        <v>1</v>
      </c>
      <c r="L184" s="635"/>
      <c r="M184" s="21">
        <f t="shared" si="31"/>
        <v>1</v>
      </c>
      <c r="N184" s="635"/>
      <c r="O184" s="21">
        <f t="shared" si="32"/>
        <v>1</v>
      </c>
      <c r="P184" s="635"/>
      <c r="Q184" s="21">
        <f t="shared" si="33"/>
        <v>0</v>
      </c>
      <c r="R184" s="21">
        <f t="shared" si="34"/>
        <v>0</v>
      </c>
      <c r="S184" s="308">
        <f t="shared" si="25"/>
        <v>0</v>
      </c>
    </row>
    <row r="185" spans="1:19">
      <c r="A185" s="633"/>
      <c r="B185" s="633"/>
      <c r="C185" s="21">
        <f t="shared" si="26"/>
        <v>1</v>
      </c>
      <c r="D185" s="635"/>
      <c r="E185" s="21">
        <f t="shared" si="27"/>
        <v>1</v>
      </c>
      <c r="F185" s="635"/>
      <c r="G185" s="21">
        <f t="shared" si="28"/>
        <v>1</v>
      </c>
      <c r="H185" s="635"/>
      <c r="I185" s="21">
        <f t="shared" si="29"/>
        <v>1</v>
      </c>
      <c r="J185" s="635"/>
      <c r="K185" s="21">
        <f t="shared" si="30"/>
        <v>1</v>
      </c>
      <c r="L185" s="635"/>
      <c r="M185" s="21">
        <f t="shared" si="31"/>
        <v>1</v>
      </c>
      <c r="N185" s="635"/>
      <c r="O185" s="21">
        <f t="shared" si="32"/>
        <v>1</v>
      </c>
      <c r="P185" s="635"/>
      <c r="Q185" s="21">
        <f t="shared" si="33"/>
        <v>0</v>
      </c>
      <c r="R185" s="21">
        <f t="shared" si="34"/>
        <v>0</v>
      </c>
      <c r="S185" s="308">
        <f t="shared" si="25"/>
        <v>0</v>
      </c>
    </row>
    <row r="186" spans="1:19">
      <c r="A186" s="633"/>
      <c r="B186" s="633"/>
      <c r="C186" s="21">
        <f t="shared" si="26"/>
        <v>1</v>
      </c>
      <c r="D186" s="635"/>
      <c r="E186" s="21">
        <f t="shared" si="27"/>
        <v>1</v>
      </c>
      <c r="F186" s="635"/>
      <c r="G186" s="21">
        <f t="shared" si="28"/>
        <v>1</v>
      </c>
      <c r="H186" s="635"/>
      <c r="I186" s="21">
        <f t="shared" si="29"/>
        <v>1</v>
      </c>
      <c r="J186" s="635"/>
      <c r="K186" s="21">
        <f t="shared" si="30"/>
        <v>1</v>
      </c>
      <c r="L186" s="635"/>
      <c r="M186" s="21">
        <f t="shared" si="31"/>
        <v>1</v>
      </c>
      <c r="N186" s="635"/>
      <c r="O186" s="21">
        <f t="shared" si="32"/>
        <v>1</v>
      </c>
      <c r="P186" s="635"/>
      <c r="Q186" s="21">
        <f t="shared" si="33"/>
        <v>0</v>
      </c>
      <c r="R186" s="21">
        <f t="shared" si="34"/>
        <v>0</v>
      </c>
      <c r="S186" s="308">
        <f t="shared" si="25"/>
        <v>0</v>
      </c>
    </row>
    <row r="187" spans="1:19">
      <c r="A187" s="633"/>
      <c r="B187" s="633"/>
      <c r="C187" s="21">
        <f t="shared" si="26"/>
        <v>1</v>
      </c>
      <c r="D187" s="635"/>
      <c r="E187" s="21">
        <f t="shared" si="27"/>
        <v>1</v>
      </c>
      <c r="F187" s="635"/>
      <c r="G187" s="21">
        <f t="shared" si="28"/>
        <v>1</v>
      </c>
      <c r="H187" s="635"/>
      <c r="I187" s="21">
        <f t="shared" si="29"/>
        <v>1</v>
      </c>
      <c r="J187" s="635"/>
      <c r="K187" s="21">
        <f t="shared" si="30"/>
        <v>1</v>
      </c>
      <c r="L187" s="635"/>
      <c r="M187" s="21">
        <f t="shared" si="31"/>
        <v>1</v>
      </c>
      <c r="N187" s="635"/>
      <c r="O187" s="21">
        <f t="shared" si="32"/>
        <v>1</v>
      </c>
      <c r="P187" s="635"/>
      <c r="Q187" s="21">
        <f t="shared" si="33"/>
        <v>0</v>
      </c>
      <c r="R187" s="21">
        <f t="shared" si="34"/>
        <v>0</v>
      </c>
      <c r="S187" s="308">
        <f t="shared" si="25"/>
        <v>0</v>
      </c>
    </row>
    <row r="188" spans="1:19">
      <c r="A188" s="633"/>
      <c r="B188" s="633"/>
      <c r="C188" s="21">
        <f t="shared" si="26"/>
        <v>1</v>
      </c>
      <c r="D188" s="635"/>
      <c r="E188" s="21">
        <f t="shared" si="27"/>
        <v>1</v>
      </c>
      <c r="F188" s="635"/>
      <c r="G188" s="21">
        <f t="shared" si="28"/>
        <v>1</v>
      </c>
      <c r="H188" s="635"/>
      <c r="I188" s="21">
        <f t="shared" si="29"/>
        <v>1</v>
      </c>
      <c r="J188" s="635"/>
      <c r="K188" s="21">
        <f t="shared" si="30"/>
        <v>1</v>
      </c>
      <c r="L188" s="635"/>
      <c r="M188" s="21">
        <f t="shared" si="31"/>
        <v>1</v>
      </c>
      <c r="N188" s="635"/>
      <c r="O188" s="21">
        <f t="shared" si="32"/>
        <v>1</v>
      </c>
      <c r="P188" s="635"/>
      <c r="Q188" s="21">
        <f t="shared" si="33"/>
        <v>0</v>
      </c>
      <c r="R188" s="21">
        <f t="shared" si="34"/>
        <v>0</v>
      </c>
      <c r="S188" s="308">
        <f t="shared" si="25"/>
        <v>0</v>
      </c>
    </row>
    <row r="189" spans="1:19">
      <c r="A189" s="633"/>
      <c r="B189" s="633"/>
      <c r="C189" s="21">
        <f t="shared" si="26"/>
        <v>1</v>
      </c>
      <c r="D189" s="635"/>
      <c r="E189" s="21">
        <f t="shared" si="27"/>
        <v>1</v>
      </c>
      <c r="F189" s="635"/>
      <c r="G189" s="21">
        <f t="shared" si="28"/>
        <v>1</v>
      </c>
      <c r="H189" s="635"/>
      <c r="I189" s="21">
        <f t="shared" si="29"/>
        <v>1</v>
      </c>
      <c r="J189" s="635"/>
      <c r="K189" s="21">
        <f t="shared" si="30"/>
        <v>1</v>
      </c>
      <c r="L189" s="635"/>
      <c r="M189" s="21">
        <f t="shared" si="31"/>
        <v>1</v>
      </c>
      <c r="N189" s="635"/>
      <c r="O189" s="21">
        <f t="shared" si="32"/>
        <v>1</v>
      </c>
      <c r="P189" s="635"/>
      <c r="Q189" s="21">
        <f t="shared" si="33"/>
        <v>0</v>
      </c>
      <c r="R189" s="21">
        <f t="shared" si="34"/>
        <v>0</v>
      </c>
      <c r="S189" s="308">
        <f t="shared" si="25"/>
        <v>0</v>
      </c>
    </row>
    <row r="190" spans="1:19">
      <c r="A190" s="633"/>
      <c r="B190" s="633"/>
      <c r="C190" s="21">
        <f t="shared" si="26"/>
        <v>1</v>
      </c>
      <c r="D190" s="635"/>
      <c r="E190" s="21">
        <f t="shared" si="27"/>
        <v>1</v>
      </c>
      <c r="F190" s="635"/>
      <c r="G190" s="21">
        <f t="shared" si="28"/>
        <v>1</v>
      </c>
      <c r="H190" s="635"/>
      <c r="I190" s="21">
        <f t="shared" si="29"/>
        <v>1</v>
      </c>
      <c r="J190" s="635"/>
      <c r="K190" s="21">
        <f t="shared" si="30"/>
        <v>1</v>
      </c>
      <c r="L190" s="635"/>
      <c r="M190" s="21">
        <f t="shared" si="31"/>
        <v>1</v>
      </c>
      <c r="N190" s="635"/>
      <c r="O190" s="21">
        <f t="shared" si="32"/>
        <v>1</v>
      </c>
      <c r="P190" s="635"/>
      <c r="Q190" s="21">
        <f t="shared" si="33"/>
        <v>0</v>
      </c>
      <c r="R190" s="21">
        <f t="shared" si="34"/>
        <v>0</v>
      </c>
      <c r="S190" s="308">
        <f t="shared" si="25"/>
        <v>0</v>
      </c>
    </row>
    <row r="191" spans="1:19">
      <c r="A191" s="633"/>
      <c r="B191" s="633"/>
      <c r="C191" s="21">
        <f t="shared" si="26"/>
        <v>1</v>
      </c>
      <c r="D191" s="635"/>
      <c r="E191" s="21">
        <f t="shared" si="27"/>
        <v>1</v>
      </c>
      <c r="F191" s="635"/>
      <c r="G191" s="21">
        <f t="shared" si="28"/>
        <v>1</v>
      </c>
      <c r="H191" s="635"/>
      <c r="I191" s="21">
        <f t="shared" si="29"/>
        <v>1</v>
      </c>
      <c r="J191" s="635"/>
      <c r="K191" s="21">
        <f t="shared" si="30"/>
        <v>1</v>
      </c>
      <c r="L191" s="635"/>
      <c r="M191" s="21">
        <f t="shared" si="31"/>
        <v>1</v>
      </c>
      <c r="N191" s="635"/>
      <c r="O191" s="21">
        <f t="shared" si="32"/>
        <v>1</v>
      </c>
      <c r="P191" s="635"/>
      <c r="Q191" s="21">
        <f t="shared" si="33"/>
        <v>0</v>
      </c>
      <c r="R191" s="21">
        <f t="shared" si="34"/>
        <v>0</v>
      </c>
      <c r="S191" s="308">
        <f t="shared" si="25"/>
        <v>0</v>
      </c>
    </row>
    <row r="192" spans="1:19">
      <c r="A192" s="633"/>
      <c r="B192" s="633"/>
      <c r="C192" s="21">
        <f t="shared" si="26"/>
        <v>1</v>
      </c>
      <c r="D192" s="635"/>
      <c r="E192" s="21">
        <f t="shared" si="27"/>
        <v>1</v>
      </c>
      <c r="F192" s="635"/>
      <c r="G192" s="21">
        <f t="shared" si="28"/>
        <v>1</v>
      </c>
      <c r="H192" s="635"/>
      <c r="I192" s="21">
        <f t="shared" si="29"/>
        <v>1</v>
      </c>
      <c r="J192" s="635"/>
      <c r="K192" s="21">
        <f t="shared" si="30"/>
        <v>1</v>
      </c>
      <c r="L192" s="635"/>
      <c r="M192" s="21">
        <f t="shared" si="31"/>
        <v>1</v>
      </c>
      <c r="N192" s="635"/>
      <c r="O192" s="21">
        <f t="shared" si="32"/>
        <v>1</v>
      </c>
      <c r="P192" s="635"/>
      <c r="Q192" s="21">
        <f t="shared" si="33"/>
        <v>0</v>
      </c>
      <c r="R192" s="21">
        <f t="shared" si="34"/>
        <v>0</v>
      </c>
      <c r="S192" s="308">
        <f t="shared" si="25"/>
        <v>0</v>
      </c>
    </row>
    <row r="193" spans="1:19">
      <c r="A193" s="633"/>
      <c r="B193" s="633"/>
      <c r="C193" s="21">
        <f t="shared" si="26"/>
        <v>1</v>
      </c>
      <c r="D193" s="635"/>
      <c r="E193" s="21">
        <f t="shared" si="27"/>
        <v>1</v>
      </c>
      <c r="F193" s="635"/>
      <c r="G193" s="21">
        <f t="shared" si="28"/>
        <v>1</v>
      </c>
      <c r="H193" s="635"/>
      <c r="I193" s="21">
        <f t="shared" si="29"/>
        <v>1</v>
      </c>
      <c r="J193" s="635"/>
      <c r="K193" s="21">
        <f t="shared" si="30"/>
        <v>1</v>
      </c>
      <c r="L193" s="635"/>
      <c r="M193" s="21">
        <f t="shared" si="31"/>
        <v>1</v>
      </c>
      <c r="N193" s="635"/>
      <c r="O193" s="21">
        <f t="shared" si="32"/>
        <v>1</v>
      </c>
      <c r="P193" s="635"/>
      <c r="Q193" s="21">
        <f t="shared" si="33"/>
        <v>0</v>
      </c>
      <c r="R193" s="21">
        <f t="shared" si="34"/>
        <v>0</v>
      </c>
      <c r="S193" s="308">
        <f t="shared" si="25"/>
        <v>0</v>
      </c>
    </row>
    <row r="194" spans="1:19">
      <c r="A194" s="633"/>
      <c r="B194" s="633"/>
      <c r="C194" s="21">
        <f t="shared" si="26"/>
        <v>1</v>
      </c>
      <c r="D194" s="635"/>
      <c r="E194" s="21">
        <f t="shared" si="27"/>
        <v>1</v>
      </c>
      <c r="F194" s="635"/>
      <c r="G194" s="21">
        <f t="shared" si="28"/>
        <v>1</v>
      </c>
      <c r="H194" s="635"/>
      <c r="I194" s="21">
        <f t="shared" si="29"/>
        <v>1</v>
      </c>
      <c r="J194" s="635"/>
      <c r="K194" s="21">
        <f t="shared" si="30"/>
        <v>1</v>
      </c>
      <c r="L194" s="635"/>
      <c r="M194" s="21">
        <f t="shared" si="31"/>
        <v>1</v>
      </c>
      <c r="N194" s="635"/>
      <c r="O194" s="21">
        <f t="shared" si="32"/>
        <v>1</v>
      </c>
      <c r="P194" s="635"/>
      <c r="Q194" s="21">
        <f t="shared" si="33"/>
        <v>0</v>
      </c>
      <c r="R194" s="21">
        <f t="shared" si="34"/>
        <v>0</v>
      </c>
      <c r="S194" s="308">
        <f t="shared" si="25"/>
        <v>0</v>
      </c>
    </row>
    <row r="195" spans="1:19">
      <c r="A195" s="633"/>
      <c r="B195" s="633"/>
      <c r="C195" s="21">
        <f t="shared" si="26"/>
        <v>1</v>
      </c>
      <c r="D195" s="635"/>
      <c r="E195" s="21">
        <f t="shared" si="27"/>
        <v>1</v>
      </c>
      <c r="F195" s="635"/>
      <c r="G195" s="21">
        <f t="shared" si="28"/>
        <v>1</v>
      </c>
      <c r="H195" s="635"/>
      <c r="I195" s="21">
        <f t="shared" si="29"/>
        <v>1</v>
      </c>
      <c r="J195" s="635"/>
      <c r="K195" s="21">
        <f t="shared" si="30"/>
        <v>1</v>
      </c>
      <c r="L195" s="635"/>
      <c r="M195" s="21">
        <f t="shared" si="31"/>
        <v>1</v>
      </c>
      <c r="N195" s="635"/>
      <c r="O195" s="21">
        <f t="shared" si="32"/>
        <v>1</v>
      </c>
      <c r="P195" s="635"/>
      <c r="Q195" s="21">
        <f t="shared" si="33"/>
        <v>0</v>
      </c>
      <c r="R195" s="21">
        <f t="shared" si="34"/>
        <v>0</v>
      </c>
      <c r="S195" s="308">
        <f t="shared" si="25"/>
        <v>0</v>
      </c>
    </row>
    <row r="196" spans="1:19">
      <c r="A196" s="633"/>
      <c r="B196" s="633"/>
      <c r="C196" s="21">
        <f t="shared" si="26"/>
        <v>1</v>
      </c>
      <c r="D196" s="635"/>
      <c r="E196" s="21">
        <f t="shared" si="27"/>
        <v>1</v>
      </c>
      <c r="F196" s="635"/>
      <c r="G196" s="21">
        <f t="shared" si="28"/>
        <v>1</v>
      </c>
      <c r="H196" s="635"/>
      <c r="I196" s="21">
        <f t="shared" si="29"/>
        <v>1</v>
      </c>
      <c r="J196" s="635"/>
      <c r="K196" s="21">
        <f t="shared" si="30"/>
        <v>1</v>
      </c>
      <c r="L196" s="635"/>
      <c r="M196" s="21">
        <f t="shared" si="31"/>
        <v>1</v>
      </c>
      <c r="N196" s="635"/>
      <c r="O196" s="21">
        <f t="shared" si="32"/>
        <v>1</v>
      </c>
      <c r="P196" s="635"/>
      <c r="Q196" s="21">
        <f t="shared" si="33"/>
        <v>0</v>
      </c>
      <c r="R196" s="21">
        <f t="shared" si="34"/>
        <v>0</v>
      </c>
      <c r="S196" s="308">
        <f t="shared" si="25"/>
        <v>0</v>
      </c>
    </row>
    <row r="197" spans="1:19">
      <c r="A197" s="633"/>
      <c r="B197" s="633"/>
      <c r="C197" s="21">
        <f t="shared" si="26"/>
        <v>1</v>
      </c>
      <c r="D197" s="635"/>
      <c r="E197" s="21">
        <f t="shared" si="27"/>
        <v>1</v>
      </c>
      <c r="F197" s="635"/>
      <c r="G197" s="21">
        <f t="shared" si="28"/>
        <v>1</v>
      </c>
      <c r="H197" s="635"/>
      <c r="I197" s="21">
        <f t="shared" si="29"/>
        <v>1</v>
      </c>
      <c r="J197" s="635"/>
      <c r="K197" s="21">
        <f t="shared" si="30"/>
        <v>1</v>
      </c>
      <c r="L197" s="635"/>
      <c r="M197" s="21">
        <f t="shared" si="31"/>
        <v>1</v>
      </c>
      <c r="N197" s="635"/>
      <c r="O197" s="21">
        <f t="shared" si="32"/>
        <v>1</v>
      </c>
      <c r="P197" s="635"/>
      <c r="Q197" s="21">
        <f t="shared" si="33"/>
        <v>0</v>
      </c>
      <c r="R197" s="21">
        <f t="shared" si="34"/>
        <v>0</v>
      </c>
      <c r="S197" s="308">
        <f t="shared" si="25"/>
        <v>0</v>
      </c>
    </row>
    <row r="198" spans="1:19">
      <c r="A198" s="633"/>
      <c r="B198" s="633"/>
      <c r="C198" s="21">
        <f t="shared" si="26"/>
        <v>1</v>
      </c>
      <c r="D198" s="635"/>
      <c r="E198" s="21">
        <f t="shared" si="27"/>
        <v>1</v>
      </c>
      <c r="F198" s="635"/>
      <c r="G198" s="21">
        <f t="shared" si="28"/>
        <v>1</v>
      </c>
      <c r="H198" s="635"/>
      <c r="I198" s="21">
        <f t="shared" si="29"/>
        <v>1</v>
      </c>
      <c r="J198" s="635"/>
      <c r="K198" s="21">
        <f t="shared" si="30"/>
        <v>1</v>
      </c>
      <c r="L198" s="635"/>
      <c r="M198" s="21">
        <f t="shared" si="31"/>
        <v>1</v>
      </c>
      <c r="N198" s="635"/>
      <c r="O198" s="21">
        <f t="shared" si="32"/>
        <v>1</v>
      </c>
      <c r="P198" s="635"/>
      <c r="Q198" s="21">
        <f t="shared" si="33"/>
        <v>0</v>
      </c>
      <c r="R198" s="21">
        <f t="shared" si="34"/>
        <v>0</v>
      </c>
      <c r="S198" s="308">
        <f t="shared" si="25"/>
        <v>0</v>
      </c>
    </row>
    <row r="199" spans="1:19">
      <c r="A199" s="633"/>
      <c r="B199" s="633"/>
      <c r="C199" s="21">
        <f t="shared" si="26"/>
        <v>1</v>
      </c>
      <c r="D199" s="635"/>
      <c r="E199" s="21">
        <f t="shared" si="27"/>
        <v>1</v>
      </c>
      <c r="F199" s="635"/>
      <c r="G199" s="21">
        <f t="shared" si="28"/>
        <v>1</v>
      </c>
      <c r="H199" s="635"/>
      <c r="I199" s="21">
        <f t="shared" si="29"/>
        <v>1</v>
      </c>
      <c r="J199" s="635"/>
      <c r="K199" s="21">
        <f t="shared" si="30"/>
        <v>1</v>
      </c>
      <c r="L199" s="635"/>
      <c r="M199" s="21">
        <f t="shared" si="31"/>
        <v>1</v>
      </c>
      <c r="N199" s="635"/>
      <c r="O199" s="21">
        <f t="shared" si="32"/>
        <v>1</v>
      </c>
      <c r="P199" s="635"/>
      <c r="Q199" s="21">
        <f t="shared" si="33"/>
        <v>0</v>
      </c>
      <c r="R199" s="21">
        <f t="shared" si="34"/>
        <v>0</v>
      </c>
      <c r="S199" s="308">
        <f t="shared" si="25"/>
        <v>0</v>
      </c>
    </row>
    <row r="200" spans="1:19">
      <c r="A200" s="633"/>
      <c r="B200" s="633"/>
      <c r="C200" s="21">
        <f t="shared" si="26"/>
        <v>1</v>
      </c>
      <c r="D200" s="635"/>
      <c r="E200" s="21">
        <f t="shared" si="27"/>
        <v>1</v>
      </c>
      <c r="F200" s="635"/>
      <c r="G200" s="21">
        <f t="shared" si="28"/>
        <v>1</v>
      </c>
      <c r="H200" s="635"/>
      <c r="I200" s="21">
        <f t="shared" si="29"/>
        <v>1</v>
      </c>
      <c r="J200" s="635"/>
      <c r="K200" s="21">
        <f t="shared" si="30"/>
        <v>1</v>
      </c>
      <c r="L200" s="635"/>
      <c r="M200" s="21">
        <f t="shared" si="31"/>
        <v>1</v>
      </c>
      <c r="N200" s="635"/>
      <c r="O200" s="21">
        <f t="shared" si="32"/>
        <v>1</v>
      </c>
      <c r="P200" s="635"/>
      <c r="Q200" s="21">
        <f t="shared" si="33"/>
        <v>0</v>
      </c>
      <c r="R200" s="21">
        <f t="shared" si="34"/>
        <v>0</v>
      </c>
      <c r="S200" s="308">
        <f t="shared" si="25"/>
        <v>0</v>
      </c>
    </row>
    <row r="201" spans="1:19">
      <c r="A201" s="633"/>
      <c r="B201" s="633"/>
      <c r="C201" s="21">
        <f t="shared" si="26"/>
        <v>1</v>
      </c>
      <c r="D201" s="635"/>
      <c r="E201" s="21">
        <f t="shared" si="27"/>
        <v>1</v>
      </c>
      <c r="F201" s="635"/>
      <c r="G201" s="21">
        <f t="shared" si="28"/>
        <v>1</v>
      </c>
      <c r="H201" s="635"/>
      <c r="I201" s="21">
        <f t="shared" si="29"/>
        <v>1</v>
      </c>
      <c r="J201" s="635"/>
      <c r="K201" s="21">
        <f t="shared" si="30"/>
        <v>1</v>
      </c>
      <c r="L201" s="635"/>
      <c r="M201" s="21">
        <f t="shared" si="31"/>
        <v>1</v>
      </c>
      <c r="N201" s="635"/>
      <c r="O201" s="21">
        <f t="shared" si="32"/>
        <v>1</v>
      </c>
      <c r="P201" s="635"/>
      <c r="Q201" s="21">
        <f t="shared" si="33"/>
        <v>0</v>
      </c>
      <c r="R201" s="21">
        <f t="shared" si="34"/>
        <v>0</v>
      </c>
      <c r="S201" s="308">
        <f t="shared" si="25"/>
        <v>0</v>
      </c>
    </row>
    <row r="202" spans="1:19">
      <c r="A202" s="633"/>
      <c r="B202" s="633"/>
      <c r="C202" s="21">
        <f t="shared" si="26"/>
        <v>1</v>
      </c>
      <c r="D202" s="635"/>
      <c r="E202" s="21">
        <f t="shared" si="27"/>
        <v>1</v>
      </c>
      <c r="F202" s="635"/>
      <c r="G202" s="21">
        <f t="shared" si="28"/>
        <v>1</v>
      </c>
      <c r="H202" s="635"/>
      <c r="I202" s="21">
        <f t="shared" si="29"/>
        <v>1</v>
      </c>
      <c r="J202" s="635"/>
      <c r="K202" s="21">
        <f t="shared" si="30"/>
        <v>1</v>
      </c>
      <c r="L202" s="635"/>
      <c r="M202" s="21">
        <f t="shared" si="31"/>
        <v>1</v>
      </c>
      <c r="N202" s="635"/>
      <c r="O202" s="21">
        <f t="shared" si="32"/>
        <v>1</v>
      </c>
      <c r="P202" s="635"/>
      <c r="Q202" s="21">
        <f t="shared" si="33"/>
        <v>0</v>
      </c>
      <c r="R202" s="21">
        <f t="shared" si="34"/>
        <v>0</v>
      </c>
      <c r="S202" s="308">
        <f t="shared" si="25"/>
        <v>0</v>
      </c>
    </row>
    <row r="203" spans="1:19">
      <c r="A203" s="633"/>
      <c r="B203" s="633"/>
      <c r="C203" s="21">
        <f t="shared" si="26"/>
        <v>1</v>
      </c>
      <c r="D203" s="635"/>
      <c r="E203" s="21">
        <f t="shared" si="27"/>
        <v>1</v>
      </c>
      <c r="F203" s="635"/>
      <c r="G203" s="21">
        <f t="shared" si="28"/>
        <v>1</v>
      </c>
      <c r="H203" s="635"/>
      <c r="I203" s="21">
        <f t="shared" si="29"/>
        <v>1</v>
      </c>
      <c r="J203" s="635"/>
      <c r="K203" s="21">
        <f t="shared" si="30"/>
        <v>1</v>
      </c>
      <c r="L203" s="635"/>
      <c r="M203" s="21">
        <f t="shared" si="31"/>
        <v>1</v>
      </c>
      <c r="N203" s="635"/>
      <c r="O203" s="21">
        <f t="shared" si="32"/>
        <v>1</v>
      </c>
      <c r="P203" s="635"/>
      <c r="Q203" s="21">
        <f t="shared" si="33"/>
        <v>0</v>
      </c>
      <c r="R203" s="21">
        <f t="shared" si="34"/>
        <v>0</v>
      </c>
      <c r="S203" s="308">
        <f t="shared" si="25"/>
        <v>0</v>
      </c>
    </row>
    <row r="204" spans="1:19">
      <c r="A204" s="633"/>
      <c r="B204" s="633"/>
      <c r="C204" s="21">
        <f t="shared" si="26"/>
        <v>1</v>
      </c>
      <c r="D204" s="635"/>
      <c r="E204" s="21">
        <f t="shared" si="27"/>
        <v>1</v>
      </c>
      <c r="F204" s="635"/>
      <c r="G204" s="21">
        <f t="shared" si="28"/>
        <v>1</v>
      </c>
      <c r="H204" s="635"/>
      <c r="I204" s="21">
        <f t="shared" si="29"/>
        <v>1</v>
      </c>
      <c r="J204" s="635"/>
      <c r="K204" s="21">
        <f t="shared" si="30"/>
        <v>1</v>
      </c>
      <c r="L204" s="635"/>
      <c r="M204" s="21">
        <f t="shared" si="31"/>
        <v>1</v>
      </c>
      <c r="N204" s="635"/>
      <c r="O204" s="21">
        <f t="shared" si="32"/>
        <v>1</v>
      </c>
      <c r="P204" s="635"/>
      <c r="Q204" s="21">
        <f t="shared" si="33"/>
        <v>0</v>
      </c>
      <c r="R204" s="21">
        <f t="shared" si="34"/>
        <v>0</v>
      </c>
      <c r="S204" s="308">
        <f t="shared" si="25"/>
        <v>0</v>
      </c>
    </row>
    <row r="205" spans="1:19">
      <c r="A205" s="633"/>
      <c r="B205" s="633"/>
      <c r="C205" s="21">
        <f t="shared" si="26"/>
        <v>1</v>
      </c>
      <c r="D205" s="635"/>
      <c r="E205" s="21">
        <f t="shared" si="27"/>
        <v>1</v>
      </c>
      <c r="F205" s="635"/>
      <c r="G205" s="21">
        <f t="shared" si="28"/>
        <v>1</v>
      </c>
      <c r="H205" s="635"/>
      <c r="I205" s="21">
        <f t="shared" si="29"/>
        <v>1</v>
      </c>
      <c r="J205" s="635"/>
      <c r="K205" s="21">
        <f t="shared" si="30"/>
        <v>1</v>
      </c>
      <c r="L205" s="635"/>
      <c r="M205" s="21">
        <f t="shared" si="31"/>
        <v>1</v>
      </c>
      <c r="N205" s="635"/>
      <c r="O205" s="21">
        <f t="shared" si="32"/>
        <v>1</v>
      </c>
      <c r="P205" s="635"/>
      <c r="Q205" s="21">
        <f t="shared" si="33"/>
        <v>0</v>
      </c>
      <c r="R205" s="21">
        <f t="shared" si="34"/>
        <v>0</v>
      </c>
      <c r="S205" s="308">
        <f t="shared" si="25"/>
        <v>0</v>
      </c>
    </row>
    <row r="206" spans="1:19">
      <c r="A206" s="633"/>
      <c r="B206" s="633"/>
      <c r="C206" s="21">
        <f t="shared" si="26"/>
        <v>1</v>
      </c>
      <c r="D206" s="635"/>
      <c r="E206" s="21">
        <f t="shared" si="27"/>
        <v>1</v>
      </c>
      <c r="F206" s="635"/>
      <c r="G206" s="21">
        <f t="shared" si="28"/>
        <v>1</v>
      </c>
      <c r="H206" s="635"/>
      <c r="I206" s="21">
        <f t="shared" si="29"/>
        <v>1</v>
      </c>
      <c r="J206" s="635"/>
      <c r="K206" s="21">
        <f t="shared" si="30"/>
        <v>1</v>
      </c>
      <c r="L206" s="635"/>
      <c r="M206" s="21">
        <f t="shared" si="31"/>
        <v>1</v>
      </c>
      <c r="N206" s="635"/>
      <c r="O206" s="21">
        <f t="shared" si="32"/>
        <v>1</v>
      </c>
      <c r="P206" s="635"/>
      <c r="Q206" s="21">
        <f t="shared" si="33"/>
        <v>0</v>
      </c>
      <c r="R206" s="21">
        <f t="shared" si="34"/>
        <v>0</v>
      </c>
      <c r="S206" s="308">
        <f t="shared" si="25"/>
        <v>0</v>
      </c>
    </row>
    <row r="207" spans="1:19">
      <c r="A207" s="633"/>
      <c r="B207" s="633"/>
      <c r="C207" s="21">
        <f t="shared" si="26"/>
        <v>1</v>
      </c>
      <c r="D207" s="635"/>
      <c r="E207" s="21">
        <f t="shared" si="27"/>
        <v>1</v>
      </c>
      <c r="F207" s="635"/>
      <c r="G207" s="21">
        <f t="shared" si="28"/>
        <v>1</v>
      </c>
      <c r="H207" s="635"/>
      <c r="I207" s="21">
        <f t="shared" si="29"/>
        <v>1</v>
      </c>
      <c r="J207" s="635"/>
      <c r="K207" s="21">
        <f t="shared" si="30"/>
        <v>1</v>
      </c>
      <c r="L207" s="635"/>
      <c r="M207" s="21">
        <f t="shared" si="31"/>
        <v>1</v>
      </c>
      <c r="N207" s="635"/>
      <c r="O207" s="21">
        <f t="shared" si="32"/>
        <v>1</v>
      </c>
      <c r="P207" s="635"/>
      <c r="Q207" s="21">
        <f t="shared" si="33"/>
        <v>0</v>
      </c>
      <c r="R207" s="21">
        <f t="shared" si="34"/>
        <v>0</v>
      </c>
      <c r="S207" s="308">
        <f t="shared" si="25"/>
        <v>0</v>
      </c>
    </row>
    <row r="208" spans="1:19">
      <c r="A208" s="633"/>
      <c r="B208" s="633"/>
      <c r="C208" s="21">
        <f t="shared" si="26"/>
        <v>1</v>
      </c>
      <c r="D208" s="635"/>
      <c r="E208" s="21">
        <f t="shared" si="27"/>
        <v>1</v>
      </c>
      <c r="F208" s="635"/>
      <c r="G208" s="21">
        <f t="shared" si="28"/>
        <v>1</v>
      </c>
      <c r="H208" s="635"/>
      <c r="I208" s="21">
        <f t="shared" si="29"/>
        <v>1</v>
      </c>
      <c r="J208" s="635"/>
      <c r="K208" s="21">
        <f t="shared" si="30"/>
        <v>1</v>
      </c>
      <c r="L208" s="635"/>
      <c r="M208" s="21">
        <f t="shared" si="31"/>
        <v>1</v>
      </c>
      <c r="N208" s="635"/>
      <c r="O208" s="21">
        <f t="shared" si="32"/>
        <v>1</v>
      </c>
      <c r="P208" s="635"/>
      <c r="Q208" s="21">
        <f t="shared" si="33"/>
        <v>0</v>
      </c>
      <c r="R208" s="21">
        <f t="shared" si="34"/>
        <v>0</v>
      </c>
      <c r="S208" s="308">
        <f t="shared" si="25"/>
        <v>0</v>
      </c>
    </row>
    <row r="209" spans="1:19">
      <c r="A209" s="633"/>
      <c r="B209" s="633"/>
      <c r="C209" s="21">
        <f t="shared" si="26"/>
        <v>1</v>
      </c>
      <c r="D209" s="635"/>
      <c r="E209" s="21">
        <f t="shared" si="27"/>
        <v>1</v>
      </c>
      <c r="F209" s="635"/>
      <c r="G209" s="21">
        <f t="shared" si="28"/>
        <v>1</v>
      </c>
      <c r="H209" s="635"/>
      <c r="I209" s="21">
        <f t="shared" si="29"/>
        <v>1</v>
      </c>
      <c r="J209" s="635"/>
      <c r="K209" s="21">
        <f t="shared" si="30"/>
        <v>1</v>
      </c>
      <c r="L209" s="635"/>
      <c r="M209" s="21">
        <f t="shared" si="31"/>
        <v>1</v>
      </c>
      <c r="N209" s="635"/>
      <c r="O209" s="21">
        <f t="shared" si="32"/>
        <v>1</v>
      </c>
      <c r="P209" s="635"/>
      <c r="Q209" s="21">
        <f t="shared" si="33"/>
        <v>0</v>
      </c>
      <c r="R209" s="21">
        <f t="shared" si="34"/>
        <v>0</v>
      </c>
      <c r="S209" s="308">
        <f t="shared" si="25"/>
        <v>0</v>
      </c>
    </row>
    <row r="210" spans="1:19">
      <c r="A210" s="633"/>
      <c r="B210" s="633"/>
      <c r="C210" s="21">
        <f t="shared" si="26"/>
        <v>1</v>
      </c>
      <c r="D210" s="635"/>
      <c r="E210" s="21">
        <f t="shared" si="27"/>
        <v>1</v>
      </c>
      <c r="F210" s="635"/>
      <c r="G210" s="21">
        <f t="shared" si="28"/>
        <v>1</v>
      </c>
      <c r="H210" s="635"/>
      <c r="I210" s="21">
        <f t="shared" si="29"/>
        <v>1</v>
      </c>
      <c r="J210" s="635"/>
      <c r="K210" s="21">
        <f t="shared" si="30"/>
        <v>1</v>
      </c>
      <c r="L210" s="635"/>
      <c r="M210" s="21">
        <f t="shared" si="31"/>
        <v>1</v>
      </c>
      <c r="N210" s="635"/>
      <c r="O210" s="21">
        <f t="shared" si="32"/>
        <v>1</v>
      </c>
      <c r="P210" s="635"/>
      <c r="Q210" s="21">
        <f t="shared" si="33"/>
        <v>0</v>
      </c>
      <c r="R210" s="21">
        <f t="shared" si="34"/>
        <v>0</v>
      </c>
      <c r="S210" s="308">
        <f t="shared" si="25"/>
        <v>0</v>
      </c>
    </row>
    <row r="211" spans="1:19">
      <c r="A211" s="633"/>
      <c r="B211" s="633"/>
      <c r="C211" s="21">
        <f t="shared" si="26"/>
        <v>1</v>
      </c>
      <c r="D211" s="635"/>
      <c r="E211" s="21">
        <f t="shared" si="27"/>
        <v>1</v>
      </c>
      <c r="F211" s="635"/>
      <c r="G211" s="21">
        <f t="shared" si="28"/>
        <v>1</v>
      </c>
      <c r="H211" s="635"/>
      <c r="I211" s="21">
        <f t="shared" si="29"/>
        <v>1</v>
      </c>
      <c r="J211" s="635"/>
      <c r="K211" s="21">
        <f t="shared" si="30"/>
        <v>1</v>
      </c>
      <c r="L211" s="635"/>
      <c r="M211" s="21">
        <f t="shared" si="31"/>
        <v>1</v>
      </c>
      <c r="N211" s="635"/>
      <c r="O211" s="21">
        <f t="shared" si="32"/>
        <v>1</v>
      </c>
      <c r="P211" s="635"/>
      <c r="Q211" s="21">
        <f t="shared" si="33"/>
        <v>0</v>
      </c>
      <c r="R211" s="21">
        <f t="shared" si="34"/>
        <v>0</v>
      </c>
      <c r="S211" s="308">
        <f t="shared" si="25"/>
        <v>0</v>
      </c>
    </row>
    <row r="212" spans="1:19">
      <c r="A212" s="633"/>
      <c r="B212" s="633"/>
      <c r="C212" s="21">
        <f t="shared" si="26"/>
        <v>1</v>
      </c>
      <c r="D212" s="635"/>
      <c r="E212" s="21">
        <f t="shared" si="27"/>
        <v>1</v>
      </c>
      <c r="F212" s="635"/>
      <c r="G212" s="21">
        <f t="shared" si="28"/>
        <v>1</v>
      </c>
      <c r="H212" s="635"/>
      <c r="I212" s="21">
        <f t="shared" si="29"/>
        <v>1</v>
      </c>
      <c r="J212" s="635"/>
      <c r="K212" s="21">
        <f t="shared" si="30"/>
        <v>1</v>
      </c>
      <c r="L212" s="635"/>
      <c r="M212" s="21">
        <f t="shared" si="31"/>
        <v>1</v>
      </c>
      <c r="N212" s="635"/>
      <c r="O212" s="21">
        <f t="shared" si="32"/>
        <v>1</v>
      </c>
      <c r="P212" s="635"/>
      <c r="Q212" s="21">
        <f t="shared" si="33"/>
        <v>0</v>
      </c>
      <c r="R212" s="21">
        <f t="shared" si="34"/>
        <v>0</v>
      </c>
      <c r="S212" s="308">
        <f t="shared" si="25"/>
        <v>0</v>
      </c>
    </row>
    <row r="213" spans="1:19">
      <c r="A213" s="633"/>
      <c r="B213" s="633"/>
      <c r="C213" s="21">
        <f t="shared" si="26"/>
        <v>1</v>
      </c>
      <c r="D213" s="635"/>
      <c r="E213" s="21">
        <f t="shared" si="27"/>
        <v>1</v>
      </c>
      <c r="F213" s="635"/>
      <c r="G213" s="21">
        <f t="shared" si="28"/>
        <v>1</v>
      </c>
      <c r="H213" s="635"/>
      <c r="I213" s="21">
        <f t="shared" si="29"/>
        <v>1</v>
      </c>
      <c r="J213" s="635"/>
      <c r="K213" s="21">
        <f t="shared" si="30"/>
        <v>1</v>
      </c>
      <c r="L213" s="635"/>
      <c r="M213" s="21">
        <f t="shared" si="31"/>
        <v>1</v>
      </c>
      <c r="N213" s="635"/>
      <c r="O213" s="21">
        <f t="shared" si="32"/>
        <v>1</v>
      </c>
      <c r="P213" s="635"/>
      <c r="Q213" s="21">
        <f t="shared" si="33"/>
        <v>0</v>
      </c>
      <c r="R213" s="21">
        <f t="shared" si="34"/>
        <v>0</v>
      </c>
      <c r="S213" s="308">
        <f t="shared" si="25"/>
        <v>0</v>
      </c>
    </row>
    <row r="214" spans="1:19">
      <c r="A214" s="633"/>
      <c r="B214" s="633"/>
      <c r="C214" s="21">
        <f t="shared" si="26"/>
        <v>1</v>
      </c>
      <c r="D214" s="635"/>
      <c r="E214" s="21">
        <f t="shared" si="27"/>
        <v>1</v>
      </c>
      <c r="F214" s="635"/>
      <c r="G214" s="21">
        <f t="shared" si="28"/>
        <v>1</v>
      </c>
      <c r="H214" s="635"/>
      <c r="I214" s="21">
        <f t="shared" si="29"/>
        <v>1</v>
      </c>
      <c r="J214" s="635"/>
      <c r="K214" s="21">
        <f t="shared" si="30"/>
        <v>1</v>
      </c>
      <c r="L214" s="635"/>
      <c r="M214" s="21">
        <f t="shared" si="31"/>
        <v>1</v>
      </c>
      <c r="N214" s="635"/>
      <c r="O214" s="21">
        <f t="shared" si="32"/>
        <v>1</v>
      </c>
      <c r="P214" s="635"/>
      <c r="Q214" s="21">
        <f t="shared" si="33"/>
        <v>0</v>
      </c>
      <c r="R214" s="21">
        <f t="shared" si="34"/>
        <v>0</v>
      </c>
      <c r="S214" s="308">
        <f t="shared" si="25"/>
        <v>0</v>
      </c>
    </row>
    <row r="215" spans="1:19">
      <c r="A215" s="142"/>
      <c r="B215" s="52"/>
      <c r="C215" s="21">
        <f t="shared" si="26"/>
        <v>1</v>
      </c>
      <c r="D215" s="635"/>
      <c r="E215" s="21">
        <f t="shared" si="27"/>
        <v>1</v>
      </c>
      <c r="F215" s="635"/>
      <c r="G215" s="21">
        <f t="shared" si="28"/>
        <v>1</v>
      </c>
      <c r="H215" s="635"/>
      <c r="I215" s="21">
        <f t="shared" si="29"/>
        <v>1</v>
      </c>
      <c r="J215" s="635"/>
      <c r="K215" s="21">
        <f t="shared" si="30"/>
        <v>1</v>
      </c>
      <c r="L215" s="635"/>
      <c r="M215" s="21">
        <f t="shared" si="31"/>
        <v>1</v>
      </c>
      <c r="N215" s="635"/>
      <c r="O215" s="21">
        <f t="shared" si="32"/>
        <v>1</v>
      </c>
      <c r="P215" s="635"/>
      <c r="Q215" s="21">
        <f t="shared" si="33"/>
        <v>0</v>
      </c>
      <c r="R215" s="21">
        <f t="shared" si="34"/>
        <v>0</v>
      </c>
      <c r="S215" s="308">
        <f t="shared" si="25"/>
        <v>0</v>
      </c>
    </row>
    <row r="216" spans="1:19">
      <c r="A216" s="142"/>
      <c r="B216" s="52"/>
      <c r="C216" s="21">
        <f t="shared" si="26"/>
        <v>1</v>
      </c>
      <c r="D216" s="635"/>
      <c r="E216" s="21">
        <f t="shared" si="27"/>
        <v>1</v>
      </c>
      <c r="F216" s="635"/>
      <c r="G216" s="21">
        <f t="shared" si="28"/>
        <v>1</v>
      </c>
      <c r="H216" s="635"/>
      <c r="I216" s="21">
        <f t="shared" si="29"/>
        <v>1</v>
      </c>
      <c r="J216" s="635"/>
      <c r="K216" s="21">
        <f t="shared" si="30"/>
        <v>1</v>
      </c>
      <c r="L216" s="635"/>
      <c r="M216" s="21">
        <f t="shared" si="31"/>
        <v>1</v>
      </c>
      <c r="N216" s="635"/>
      <c r="O216" s="21">
        <f t="shared" si="32"/>
        <v>1</v>
      </c>
      <c r="P216" s="635"/>
      <c r="Q216" s="21">
        <f t="shared" si="33"/>
        <v>0</v>
      </c>
      <c r="R216" s="21">
        <f t="shared" si="34"/>
        <v>0</v>
      </c>
      <c r="S216" s="308">
        <f t="shared" ref="S216:S279" si="35">ROUND(R216*B216/10000,0)</f>
        <v>0</v>
      </c>
    </row>
    <row r="217" spans="1:19">
      <c r="A217" s="142"/>
      <c r="B217" s="52"/>
      <c r="C217" s="21">
        <f t="shared" si="26"/>
        <v>1</v>
      </c>
      <c r="D217" s="635"/>
      <c r="E217" s="21">
        <f t="shared" si="27"/>
        <v>1</v>
      </c>
      <c r="F217" s="635"/>
      <c r="G217" s="21">
        <f t="shared" si="28"/>
        <v>1</v>
      </c>
      <c r="H217" s="635"/>
      <c r="I217" s="21">
        <f t="shared" si="29"/>
        <v>1</v>
      </c>
      <c r="J217" s="635"/>
      <c r="K217" s="21">
        <f t="shared" si="30"/>
        <v>1</v>
      </c>
      <c r="L217" s="635"/>
      <c r="M217" s="21">
        <f t="shared" si="31"/>
        <v>1</v>
      </c>
      <c r="N217" s="635"/>
      <c r="O217" s="21">
        <f t="shared" si="32"/>
        <v>1</v>
      </c>
      <c r="P217" s="635"/>
      <c r="Q217" s="21">
        <f t="shared" si="33"/>
        <v>0</v>
      </c>
      <c r="R217" s="21">
        <f t="shared" si="34"/>
        <v>0</v>
      </c>
      <c r="S217" s="308">
        <f t="shared" si="35"/>
        <v>0</v>
      </c>
    </row>
    <row r="218" spans="1:19">
      <c r="A218" s="142"/>
      <c r="B218" s="52"/>
      <c r="C218" s="21">
        <f t="shared" ref="C218:C281" si="36">IF(B218="",1,(LOOKUP(B218,$3:$3,$4:$4)-LOOKUP($B$24,$3:$3,$4:$4)+100)/100)</f>
        <v>1</v>
      </c>
      <c r="D218" s="635"/>
      <c r="E218" s="21">
        <f t="shared" ref="E218:E281" si="37">(SUMIF($5:$5,D218,$6:$6)-SUMIF($5:$5,$D$24,$6:$6)+100)/100</f>
        <v>1</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0</v>
      </c>
      <c r="R218" s="21">
        <f t="shared" ref="R218:R281" si="44">IF(B218="",0,ROUND($R$24*C218*E218*G218*I218*K218*M218*O218*Q218,0))</f>
        <v>0</v>
      </c>
      <c r="S218" s="308">
        <f t="shared" si="35"/>
        <v>0</v>
      </c>
    </row>
    <row r="219" spans="1:19">
      <c r="A219" s="142"/>
      <c r="B219" s="52"/>
      <c r="C219" s="21">
        <f t="shared" si="36"/>
        <v>1</v>
      </c>
      <c r="D219" s="635"/>
      <c r="E219" s="21">
        <f t="shared" si="37"/>
        <v>1</v>
      </c>
      <c r="F219" s="635"/>
      <c r="G219" s="21">
        <f t="shared" si="38"/>
        <v>1</v>
      </c>
      <c r="H219" s="635"/>
      <c r="I219" s="21">
        <f t="shared" si="39"/>
        <v>1</v>
      </c>
      <c r="J219" s="635"/>
      <c r="K219" s="21">
        <f t="shared" si="40"/>
        <v>1</v>
      </c>
      <c r="L219" s="635"/>
      <c r="M219" s="21">
        <f t="shared" si="41"/>
        <v>1</v>
      </c>
      <c r="N219" s="635"/>
      <c r="O219" s="21">
        <f t="shared" si="42"/>
        <v>1</v>
      </c>
      <c r="P219" s="635"/>
      <c r="Q219" s="21">
        <f t="shared" si="43"/>
        <v>0</v>
      </c>
      <c r="R219" s="21">
        <f t="shared" si="44"/>
        <v>0</v>
      </c>
      <c r="S219" s="308">
        <f t="shared" si="35"/>
        <v>0</v>
      </c>
    </row>
    <row r="220" spans="1:19">
      <c r="A220" s="142"/>
      <c r="B220" s="52"/>
      <c r="C220" s="21">
        <f t="shared" si="36"/>
        <v>1</v>
      </c>
      <c r="D220" s="635"/>
      <c r="E220" s="21">
        <f t="shared" si="37"/>
        <v>1</v>
      </c>
      <c r="F220" s="635"/>
      <c r="G220" s="21">
        <f t="shared" si="38"/>
        <v>1</v>
      </c>
      <c r="H220" s="635"/>
      <c r="I220" s="21">
        <f t="shared" si="39"/>
        <v>1</v>
      </c>
      <c r="J220" s="635"/>
      <c r="K220" s="21">
        <f t="shared" si="40"/>
        <v>1</v>
      </c>
      <c r="L220" s="635"/>
      <c r="M220" s="21">
        <f t="shared" si="41"/>
        <v>1</v>
      </c>
      <c r="N220" s="635"/>
      <c r="O220" s="21">
        <f t="shared" si="42"/>
        <v>1</v>
      </c>
      <c r="P220" s="635"/>
      <c r="Q220" s="21">
        <f t="shared" si="43"/>
        <v>0</v>
      </c>
      <c r="R220" s="21">
        <f t="shared" si="44"/>
        <v>0</v>
      </c>
      <c r="S220" s="308">
        <f t="shared" si="35"/>
        <v>0</v>
      </c>
    </row>
    <row r="221" spans="1:19">
      <c r="A221" s="142"/>
      <c r="B221" s="52"/>
      <c r="C221" s="21">
        <f t="shared" si="36"/>
        <v>1</v>
      </c>
      <c r="D221" s="635"/>
      <c r="E221" s="21">
        <f t="shared" si="37"/>
        <v>1</v>
      </c>
      <c r="F221" s="635"/>
      <c r="G221" s="21">
        <f t="shared" si="38"/>
        <v>1</v>
      </c>
      <c r="H221" s="635"/>
      <c r="I221" s="21">
        <f t="shared" si="39"/>
        <v>1</v>
      </c>
      <c r="J221" s="635"/>
      <c r="K221" s="21">
        <f t="shared" si="40"/>
        <v>1</v>
      </c>
      <c r="L221" s="635"/>
      <c r="M221" s="21">
        <f t="shared" si="41"/>
        <v>1</v>
      </c>
      <c r="N221" s="635"/>
      <c r="O221" s="21">
        <f t="shared" si="42"/>
        <v>1</v>
      </c>
      <c r="P221" s="635"/>
      <c r="Q221" s="21">
        <f t="shared" si="43"/>
        <v>0</v>
      </c>
      <c r="R221" s="21">
        <f t="shared" si="44"/>
        <v>0</v>
      </c>
      <c r="S221" s="308">
        <f t="shared" si="35"/>
        <v>0</v>
      </c>
    </row>
    <row r="222" spans="1:19">
      <c r="A222" s="142"/>
      <c r="B222" s="52"/>
      <c r="C222" s="21">
        <f t="shared" si="36"/>
        <v>1</v>
      </c>
      <c r="D222" s="635"/>
      <c r="E222" s="21">
        <f t="shared" si="37"/>
        <v>1</v>
      </c>
      <c r="F222" s="635"/>
      <c r="G222" s="21">
        <f t="shared" si="38"/>
        <v>1</v>
      </c>
      <c r="H222" s="635"/>
      <c r="I222" s="21">
        <f t="shared" si="39"/>
        <v>1</v>
      </c>
      <c r="J222" s="635"/>
      <c r="K222" s="21">
        <f t="shared" si="40"/>
        <v>1</v>
      </c>
      <c r="L222" s="635"/>
      <c r="M222" s="21">
        <f t="shared" si="41"/>
        <v>1</v>
      </c>
      <c r="N222" s="635"/>
      <c r="O222" s="21">
        <f t="shared" si="42"/>
        <v>1</v>
      </c>
      <c r="P222" s="635"/>
      <c r="Q222" s="21">
        <f t="shared" si="43"/>
        <v>0</v>
      </c>
      <c r="R222" s="21">
        <f t="shared" si="44"/>
        <v>0</v>
      </c>
      <c r="S222" s="308">
        <f t="shared" si="35"/>
        <v>0</v>
      </c>
    </row>
    <row r="223" spans="1:19">
      <c r="A223" s="142"/>
      <c r="B223" s="52"/>
      <c r="C223" s="21">
        <f t="shared" si="36"/>
        <v>1</v>
      </c>
      <c r="D223" s="635"/>
      <c r="E223" s="21">
        <f t="shared" si="37"/>
        <v>1</v>
      </c>
      <c r="F223" s="635"/>
      <c r="G223" s="21">
        <f t="shared" si="38"/>
        <v>1</v>
      </c>
      <c r="H223" s="635"/>
      <c r="I223" s="21">
        <f t="shared" si="39"/>
        <v>1</v>
      </c>
      <c r="J223" s="635"/>
      <c r="K223" s="21">
        <f t="shared" si="40"/>
        <v>1</v>
      </c>
      <c r="L223" s="635"/>
      <c r="M223" s="21">
        <f t="shared" si="41"/>
        <v>1</v>
      </c>
      <c r="N223" s="635"/>
      <c r="O223" s="21">
        <f t="shared" si="42"/>
        <v>1</v>
      </c>
      <c r="P223" s="635"/>
      <c r="Q223" s="21">
        <f t="shared" si="43"/>
        <v>0</v>
      </c>
      <c r="R223" s="21">
        <f t="shared" si="44"/>
        <v>0</v>
      </c>
      <c r="S223" s="308">
        <f t="shared" si="35"/>
        <v>0</v>
      </c>
    </row>
    <row r="224" spans="1:19">
      <c r="A224" s="142"/>
      <c r="B224" s="52"/>
      <c r="C224" s="21">
        <f t="shared" si="36"/>
        <v>1</v>
      </c>
      <c r="D224" s="635"/>
      <c r="E224" s="21">
        <f t="shared" si="37"/>
        <v>1</v>
      </c>
      <c r="F224" s="635"/>
      <c r="G224" s="21">
        <f t="shared" si="38"/>
        <v>1</v>
      </c>
      <c r="H224" s="635"/>
      <c r="I224" s="21">
        <f t="shared" si="39"/>
        <v>1</v>
      </c>
      <c r="J224" s="635"/>
      <c r="K224" s="21">
        <f t="shared" si="40"/>
        <v>1</v>
      </c>
      <c r="L224" s="635"/>
      <c r="M224" s="21">
        <f t="shared" si="41"/>
        <v>1</v>
      </c>
      <c r="N224" s="635"/>
      <c r="O224" s="21">
        <f t="shared" si="42"/>
        <v>1</v>
      </c>
      <c r="P224" s="635"/>
      <c r="Q224" s="21">
        <f t="shared" si="43"/>
        <v>0</v>
      </c>
      <c r="R224" s="21">
        <f t="shared" si="44"/>
        <v>0</v>
      </c>
      <c r="S224" s="308">
        <f t="shared" si="35"/>
        <v>0</v>
      </c>
    </row>
    <row r="225" spans="1:19">
      <c r="A225" s="142"/>
      <c r="B225" s="52"/>
      <c r="C225" s="21">
        <f t="shared" si="36"/>
        <v>1</v>
      </c>
      <c r="D225" s="635"/>
      <c r="E225" s="21">
        <f t="shared" si="37"/>
        <v>1</v>
      </c>
      <c r="F225" s="635"/>
      <c r="G225" s="21">
        <f t="shared" si="38"/>
        <v>1</v>
      </c>
      <c r="H225" s="635"/>
      <c r="I225" s="21">
        <f t="shared" si="39"/>
        <v>1</v>
      </c>
      <c r="J225" s="635"/>
      <c r="K225" s="21">
        <f t="shared" si="40"/>
        <v>1</v>
      </c>
      <c r="L225" s="635"/>
      <c r="M225" s="21">
        <f t="shared" si="41"/>
        <v>1</v>
      </c>
      <c r="N225" s="635"/>
      <c r="O225" s="21">
        <f t="shared" si="42"/>
        <v>1</v>
      </c>
      <c r="P225" s="635"/>
      <c r="Q225" s="21">
        <f t="shared" si="43"/>
        <v>0</v>
      </c>
      <c r="R225" s="21">
        <f t="shared" si="44"/>
        <v>0</v>
      </c>
      <c r="S225" s="308">
        <f t="shared" si="35"/>
        <v>0</v>
      </c>
    </row>
    <row r="226" spans="1:19">
      <c r="A226" s="142"/>
      <c r="B226" s="52"/>
      <c r="C226" s="21">
        <f t="shared" si="36"/>
        <v>1</v>
      </c>
      <c r="D226" s="635"/>
      <c r="E226" s="21">
        <f t="shared" si="37"/>
        <v>1</v>
      </c>
      <c r="F226" s="635"/>
      <c r="G226" s="21">
        <f t="shared" si="38"/>
        <v>1</v>
      </c>
      <c r="H226" s="635"/>
      <c r="I226" s="21">
        <f t="shared" si="39"/>
        <v>1</v>
      </c>
      <c r="J226" s="635"/>
      <c r="K226" s="21">
        <f t="shared" si="40"/>
        <v>1</v>
      </c>
      <c r="L226" s="635"/>
      <c r="M226" s="21">
        <f t="shared" si="41"/>
        <v>1</v>
      </c>
      <c r="N226" s="635"/>
      <c r="O226" s="21">
        <f t="shared" si="42"/>
        <v>1</v>
      </c>
      <c r="P226" s="635"/>
      <c r="Q226" s="21">
        <f t="shared" si="43"/>
        <v>0</v>
      </c>
      <c r="R226" s="21">
        <f t="shared" si="44"/>
        <v>0</v>
      </c>
      <c r="S226" s="308">
        <f t="shared" si="35"/>
        <v>0</v>
      </c>
    </row>
    <row r="227" spans="1:19">
      <c r="A227" s="142"/>
      <c r="B227" s="52"/>
      <c r="C227" s="21">
        <f t="shared" si="36"/>
        <v>1</v>
      </c>
      <c r="D227" s="635"/>
      <c r="E227" s="21">
        <f t="shared" si="37"/>
        <v>1</v>
      </c>
      <c r="F227" s="635"/>
      <c r="G227" s="21">
        <f t="shared" si="38"/>
        <v>1</v>
      </c>
      <c r="H227" s="635"/>
      <c r="I227" s="21">
        <f t="shared" si="39"/>
        <v>1</v>
      </c>
      <c r="J227" s="635"/>
      <c r="K227" s="21">
        <f t="shared" si="40"/>
        <v>1</v>
      </c>
      <c r="L227" s="635"/>
      <c r="M227" s="21">
        <f t="shared" si="41"/>
        <v>1</v>
      </c>
      <c r="N227" s="635"/>
      <c r="O227" s="21">
        <f t="shared" si="42"/>
        <v>1</v>
      </c>
      <c r="P227" s="635"/>
      <c r="Q227" s="21">
        <f t="shared" si="43"/>
        <v>0</v>
      </c>
      <c r="R227" s="21">
        <f t="shared" si="44"/>
        <v>0</v>
      </c>
      <c r="S227" s="308">
        <f t="shared" si="35"/>
        <v>0</v>
      </c>
    </row>
    <row r="228" spans="1:19">
      <c r="A228" s="142"/>
      <c r="B228" s="52"/>
      <c r="C228" s="21">
        <f t="shared" si="36"/>
        <v>1</v>
      </c>
      <c r="D228" s="635"/>
      <c r="E228" s="21">
        <f t="shared" si="37"/>
        <v>1</v>
      </c>
      <c r="F228" s="635"/>
      <c r="G228" s="21">
        <f t="shared" si="38"/>
        <v>1</v>
      </c>
      <c r="H228" s="635"/>
      <c r="I228" s="21">
        <f t="shared" si="39"/>
        <v>1</v>
      </c>
      <c r="J228" s="635"/>
      <c r="K228" s="21">
        <f t="shared" si="40"/>
        <v>1</v>
      </c>
      <c r="L228" s="635"/>
      <c r="M228" s="21">
        <f t="shared" si="41"/>
        <v>1</v>
      </c>
      <c r="N228" s="635"/>
      <c r="O228" s="21">
        <f t="shared" si="42"/>
        <v>1</v>
      </c>
      <c r="P228" s="635"/>
      <c r="Q228" s="21">
        <f t="shared" si="43"/>
        <v>0</v>
      </c>
      <c r="R228" s="21">
        <f t="shared" si="44"/>
        <v>0</v>
      </c>
      <c r="S228" s="308">
        <f t="shared" si="35"/>
        <v>0</v>
      </c>
    </row>
    <row r="229" spans="1:19">
      <c r="A229" s="142"/>
      <c r="B229" s="52"/>
      <c r="C229" s="21">
        <f t="shared" si="36"/>
        <v>1</v>
      </c>
      <c r="D229" s="635"/>
      <c r="E229" s="21">
        <f t="shared" si="37"/>
        <v>1</v>
      </c>
      <c r="F229" s="635"/>
      <c r="G229" s="21">
        <f t="shared" si="38"/>
        <v>1</v>
      </c>
      <c r="H229" s="635"/>
      <c r="I229" s="21">
        <f t="shared" si="39"/>
        <v>1</v>
      </c>
      <c r="J229" s="635"/>
      <c r="K229" s="21">
        <f t="shared" si="40"/>
        <v>1</v>
      </c>
      <c r="L229" s="635"/>
      <c r="M229" s="21">
        <f t="shared" si="41"/>
        <v>1</v>
      </c>
      <c r="N229" s="635"/>
      <c r="O229" s="21">
        <f t="shared" si="42"/>
        <v>1</v>
      </c>
      <c r="P229" s="635"/>
      <c r="Q229" s="21">
        <f t="shared" si="43"/>
        <v>0</v>
      </c>
      <c r="R229" s="21">
        <f t="shared" si="44"/>
        <v>0</v>
      </c>
      <c r="S229" s="308">
        <f t="shared" si="35"/>
        <v>0</v>
      </c>
    </row>
    <row r="230" spans="1:19">
      <c r="A230" s="142"/>
      <c r="B230" s="52"/>
      <c r="C230" s="21">
        <f t="shared" si="36"/>
        <v>1</v>
      </c>
      <c r="D230" s="635"/>
      <c r="E230" s="21">
        <f t="shared" si="37"/>
        <v>1</v>
      </c>
      <c r="F230" s="635"/>
      <c r="G230" s="21">
        <f t="shared" si="38"/>
        <v>1</v>
      </c>
      <c r="H230" s="635"/>
      <c r="I230" s="21">
        <f t="shared" si="39"/>
        <v>1</v>
      </c>
      <c r="J230" s="635"/>
      <c r="K230" s="21">
        <f t="shared" si="40"/>
        <v>1</v>
      </c>
      <c r="L230" s="635"/>
      <c r="M230" s="21">
        <f t="shared" si="41"/>
        <v>1</v>
      </c>
      <c r="N230" s="635"/>
      <c r="O230" s="21">
        <f t="shared" si="42"/>
        <v>1</v>
      </c>
      <c r="P230" s="635"/>
      <c r="Q230" s="21">
        <f t="shared" si="43"/>
        <v>0</v>
      </c>
      <c r="R230" s="21">
        <f t="shared" si="44"/>
        <v>0</v>
      </c>
      <c r="S230" s="308">
        <f t="shared" si="35"/>
        <v>0</v>
      </c>
    </row>
    <row r="231" spans="1:19">
      <c r="A231" s="142"/>
      <c r="B231" s="52"/>
      <c r="C231" s="21">
        <f t="shared" si="36"/>
        <v>1</v>
      </c>
      <c r="D231" s="635"/>
      <c r="E231" s="21">
        <f t="shared" si="37"/>
        <v>1</v>
      </c>
      <c r="F231" s="635"/>
      <c r="G231" s="21">
        <f t="shared" si="38"/>
        <v>1</v>
      </c>
      <c r="H231" s="635"/>
      <c r="I231" s="21">
        <f t="shared" si="39"/>
        <v>1</v>
      </c>
      <c r="J231" s="635"/>
      <c r="K231" s="21">
        <f t="shared" si="40"/>
        <v>1</v>
      </c>
      <c r="L231" s="635"/>
      <c r="M231" s="21">
        <f t="shared" si="41"/>
        <v>1</v>
      </c>
      <c r="N231" s="635"/>
      <c r="O231" s="21">
        <f t="shared" si="42"/>
        <v>1</v>
      </c>
      <c r="P231" s="635"/>
      <c r="Q231" s="21">
        <f t="shared" si="43"/>
        <v>0</v>
      </c>
      <c r="R231" s="21">
        <f t="shared" si="44"/>
        <v>0</v>
      </c>
      <c r="S231" s="308">
        <f t="shared" si="35"/>
        <v>0</v>
      </c>
    </row>
    <row r="232" spans="1:19">
      <c r="A232" s="142"/>
      <c r="B232" s="52"/>
      <c r="C232" s="21">
        <f t="shared" si="36"/>
        <v>1</v>
      </c>
      <c r="D232" s="635"/>
      <c r="E232" s="21">
        <f t="shared" si="37"/>
        <v>1</v>
      </c>
      <c r="F232" s="635"/>
      <c r="G232" s="21">
        <f t="shared" si="38"/>
        <v>1</v>
      </c>
      <c r="H232" s="635"/>
      <c r="I232" s="21">
        <f t="shared" si="39"/>
        <v>1</v>
      </c>
      <c r="J232" s="635"/>
      <c r="K232" s="21">
        <f t="shared" si="40"/>
        <v>1</v>
      </c>
      <c r="L232" s="635"/>
      <c r="M232" s="21">
        <f t="shared" si="41"/>
        <v>1</v>
      </c>
      <c r="N232" s="635"/>
      <c r="O232" s="21">
        <f t="shared" si="42"/>
        <v>1</v>
      </c>
      <c r="P232" s="635"/>
      <c r="Q232" s="21">
        <f t="shared" si="43"/>
        <v>0</v>
      </c>
      <c r="R232" s="21">
        <f t="shared" si="44"/>
        <v>0</v>
      </c>
      <c r="S232" s="308">
        <f t="shared" si="35"/>
        <v>0</v>
      </c>
    </row>
    <row r="233" spans="1:19">
      <c r="A233" s="142"/>
      <c r="B233" s="52"/>
      <c r="C233" s="21">
        <f t="shared" si="36"/>
        <v>1</v>
      </c>
      <c r="D233" s="635"/>
      <c r="E233" s="21">
        <f t="shared" si="37"/>
        <v>1</v>
      </c>
      <c r="F233" s="635"/>
      <c r="G233" s="21">
        <f t="shared" si="38"/>
        <v>1</v>
      </c>
      <c r="H233" s="635"/>
      <c r="I233" s="21">
        <f t="shared" si="39"/>
        <v>1</v>
      </c>
      <c r="J233" s="635"/>
      <c r="K233" s="21">
        <f t="shared" si="40"/>
        <v>1</v>
      </c>
      <c r="L233" s="635"/>
      <c r="M233" s="21">
        <f t="shared" si="41"/>
        <v>1</v>
      </c>
      <c r="N233" s="635"/>
      <c r="O233" s="21">
        <f t="shared" si="42"/>
        <v>1</v>
      </c>
      <c r="P233" s="635"/>
      <c r="Q233" s="21">
        <f t="shared" si="43"/>
        <v>0</v>
      </c>
      <c r="R233" s="21">
        <f t="shared" si="44"/>
        <v>0</v>
      </c>
      <c r="S233" s="308">
        <f t="shared" si="35"/>
        <v>0</v>
      </c>
    </row>
    <row r="234" spans="1:19">
      <c r="A234" s="142"/>
      <c r="B234" s="52"/>
      <c r="C234" s="21">
        <f t="shared" si="36"/>
        <v>1</v>
      </c>
      <c r="D234" s="635"/>
      <c r="E234" s="21">
        <f t="shared" si="37"/>
        <v>1</v>
      </c>
      <c r="F234" s="635"/>
      <c r="G234" s="21">
        <f t="shared" si="38"/>
        <v>1</v>
      </c>
      <c r="H234" s="635"/>
      <c r="I234" s="21">
        <f t="shared" si="39"/>
        <v>1</v>
      </c>
      <c r="J234" s="635"/>
      <c r="K234" s="21">
        <f t="shared" si="40"/>
        <v>1</v>
      </c>
      <c r="L234" s="635"/>
      <c r="M234" s="21">
        <f t="shared" si="41"/>
        <v>1</v>
      </c>
      <c r="N234" s="635"/>
      <c r="O234" s="21">
        <f t="shared" si="42"/>
        <v>1</v>
      </c>
      <c r="P234" s="635"/>
      <c r="Q234" s="21">
        <f t="shared" si="43"/>
        <v>0</v>
      </c>
      <c r="R234" s="21">
        <f t="shared" si="44"/>
        <v>0</v>
      </c>
      <c r="S234" s="308">
        <f t="shared" si="35"/>
        <v>0</v>
      </c>
    </row>
    <row r="235" spans="1:19">
      <c r="A235" s="142"/>
      <c r="B235" s="52"/>
      <c r="C235" s="21">
        <f t="shared" si="36"/>
        <v>1</v>
      </c>
      <c r="D235" s="635"/>
      <c r="E235" s="21">
        <f t="shared" si="37"/>
        <v>1</v>
      </c>
      <c r="F235" s="635"/>
      <c r="G235" s="21">
        <f t="shared" si="38"/>
        <v>1</v>
      </c>
      <c r="H235" s="635"/>
      <c r="I235" s="21">
        <f t="shared" si="39"/>
        <v>1</v>
      </c>
      <c r="J235" s="635"/>
      <c r="K235" s="21">
        <f t="shared" si="40"/>
        <v>1</v>
      </c>
      <c r="L235" s="635"/>
      <c r="M235" s="21">
        <f t="shared" si="41"/>
        <v>1</v>
      </c>
      <c r="N235" s="635"/>
      <c r="O235" s="21">
        <f t="shared" si="42"/>
        <v>1</v>
      </c>
      <c r="P235" s="635"/>
      <c r="Q235" s="21">
        <f t="shared" si="43"/>
        <v>0</v>
      </c>
      <c r="R235" s="21">
        <f t="shared" si="44"/>
        <v>0</v>
      </c>
      <c r="S235" s="308">
        <f t="shared" si="35"/>
        <v>0</v>
      </c>
    </row>
    <row r="236" spans="1:19">
      <c r="A236" s="142"/>
      <c r="B236" s="52"/>
      <c r="C236" s="21">
        <f t="shared" si="36"/>
        <v>1</v>
      </c>
      <c r="D236" s="635"/>
      <c r="E236" s="21">
        <f t="shared" si="37"/>
        <v>1</v>
      </c>
      <c r="F236" s="635"/>
      <c r="G236" s="21">
        <f t="shared" si="38"/>
        <v>1</v>
      </c>
      <c r="H236" s="635"/>
      <c r="I236" s="21">
        <f t="shared" si="39"/>
        <v>1</v>
      </c>
      <c r="J236" s="635"/>
      <c r="K236" s="21">
        <f t="shared" si="40"/>
        <v>1</v>
      </c>
      <c r="L236" s="635"/>
      <c r="M236" s="21">
        <f t="shared" si="41"/>
        <v>1</v>
      </c>
      <c r="N236" s="635"/>
      <c r="O236" s="21">
        <f t="shared" si="42"/>
        <v>1</v>
      </c>
      <c r="P236" s="635"/>
      <c r="Q236" s="21">
        <f t="shared" si="43"/>
        <v>0</v>
      </c>
      <c r="R236" s="21">
        <f t="shared" si="44"/>
        <v>0</v>
      </c>
      <c r="S236" s="308">
        <f t="shared" si="35"/>
        <v>0</v>
      </c>
    </row>
    <row r="237" spans="1:19">
      <c r="A237" s="142"/>
      <c r="B237" s="52"/>
      <c r="C237" s="21">
        <f t="shared" si="36"/>
        <v>1</v>
      </c>
      <c r="D237" s="635"/>
      <c r="E237" s="21">
        <f t="shared" si="37"/>
        <v>1</v>
      </c>
      <c r="F237" s="635"/>
      <c r="G237" s="21">
        <f t="shared" si="38"/>
        <v>1</v>
      </c>
      <c r="H237" s="635"/>
      <c r="I237" s="21">
        <f t="shared" si="39"/>
        <v>1</v>
      </c>
      <c r="J237" s="635"/>
      <c r="K237" s="21">
        <f t="shared" si="40"/>
        <v>1</v>
      </c>
      <c r="L237" s="635"/>
      <c r="M237" s="21">
        <f t="shared" si="41"/>
        <v>1</v>
      </c>
      <c r="N237" s="635"/>
      <c r="O237" s="21">
        <f t="shared" si="42"/>
        <v>1</v>
      </c>
      <c r="P237" s="635"/>
      <c r="Q237" s="21">
        <f t="shared" si="43"/>
        <v>0</v>
      </c>
      <c r="R237" s="21">
        <f t="shared" si="44"/>
        <v>0</v>
      </c>
      <c r="S237" s="308">
        <f t="shared" si="35"/>
        <v>0</v>
      </c>
    </row>
    <row r="238" spans="1:19">
      <c r="A238" s="142"/>
      <c r="B238" s="52"/>
      <c r="C238" s="21">
        <f t="shared" si="36"/>
        <v>1</v>
      </c>
      <c r="D238" s="635"/>
      <c r="E238" s="21">
        <f t="shared" si="37"/>
        <v>1</v>
      </c>
      <c r="F238" s="635"/>
      <c r="G238" s="21">
        <f t="shared" si="38"/>
        <v>1</v>
      </c>
      <c r="H238" s="635"/>
      <c r="I238" s="21">
        <f t="shared" si="39"/>
        <v>1</v>
      </c>
      <c r="J238" s="635"/>
      <c r="K238" s="21">
        <f t="shared" si="40"/>
        <v>1</v>
      </c>
      <c r="L238" s="635"/>
      <c r="M238" s="21">
        <f t="shared" si="41"/>
        <v>1</v>
      </c>
      <c r="N238" s="635"/>
      <c r="O238" s="21">
        <f t="shared" si="42"/>
        <v>1</v>
      </c>
      <c r="P238" s="635"/>
      <c r="Q238" s="21">
        <f t="shared" si="43"/>
        <v>0</v>
      </c>
      <c r="R238" s="21">
        <f t="shared" si="44"/>
        <v>0</v>
      </c>
      <c r="S238" s="308">
        <f t="shared" si="35"/>
        <v>0</v>
      </c>
    </row>
    <row r="239" spans="1:19">
      <c r="A239" s="142"/>
      <c r="B239" s="52"/>
      <c r="C239" s="21">
        <f t="shared" si="36"/>
        <v>1</v>
      </c>
      <c r="D239" s="635"/>
      <c r="E239" s="21">
        <f t="shared" si="37"/>
        <v>1</v>
      </c>
      <c r="F239" s="635"/>
      <c r="G239" s="21">
        <f t="shared" si="38"/>
        <v>1</v>
      </c>
      <c r="H239" s="635"/>
      <c r="I239" s="21">
        <f t="shared" si="39"/>
        <v>1</v>
      </c>
      <c r="J239" s="635"/>
      <c r="K239" s="21">
        <f t="shared" si="40"/>
        <v>1</v>
      </c>
      <c r="L239" s="635"/>
      <c r="M239" s="21">
        <f t="shared" si="41"/>
        <v>1</v>
      </c>
      <c r="N239" s="635"/>
      <c r="O239" s="21">
        <f t="shared" si="42"/>
        <v>1</v>
      </c>
      <c r="P239" s="635"/>
      <c r="Q239" s="21">
        <f t="shared" si="43"/>
        <v>0</v>
      </c>
      <c r="R239" s="21">
        <f t="shared" si="44"/>
        <v>0</v>
      </c>
      <c r="S239" s="308">
        <f t="shared" si="35"/>
        <v>0</v>
      </c>
    </row>
    <row r="240" spans="1:19">
      <c r="A240" s="142"/>
      <c r="B240" s="52"/>
      <c r="C240" s="21">
        <f t="shared" si="36"/>
        <v>1</v>
      </c>
      <c r="D240" s="635"/>
      <c r="E240" s="21">
        <f t="shared" si="37"/>
        <v>1</v>
      </c>
      <c r="F240" s="635"/>
      <c r="G240" s="21">
        <f t="shared" si="38"/>
        <v>1</v>
      </c>
      <c r="H240" s="635"/>
      <c r="I240" s="21">
        <f t="shared" si="39"/>
        <v>1</v>
      </c>
      <c r="J240" s="635"/>
      <c r="K240" s="21">
        <f t="shared" si="40"/>
        <v>1</v>
      </c>
      <c r="L240" s="635"/>
      <c r="M240" s="21">
        <f t="shared" si="41"/>
        <v>1</v>
      </c>
      <c r="N240" s="635"/>
      <c r="O240" s="21">
        <f t="shared" si="42"/>
        <v>1</v>
      </c>
      <c r="P240" s="635"/>
      <c r="Q240" s="21">
        <f t="shared" si="43"/>
        <v>0</v>
      </c>
      <c r="R240" s="21">
        <f t="shared" si="44"/>
        <v>0</v>
      </c>
      <c r="S240" s="308">
        <f t="shared" si="35"/>
        <v>0</v>
      </c>
    </row>
    <row r="241" spans="1:19">
      <c r="A241" s="142"/>
      <c r="B241" s="52"/>
      <c r="C241" s="21">
        <f t="shared" si="36"/>
        <v>1</v>
      </c>
      <c r="D241" s="635"/>
      <c r="E241" s="21">
        <f t="shared" si="37"/>
        <v>1</v>
      </c>
      <c r="F241" s="635"/>
      <c r="G241" s="21">
        <f t="shared" si="38"/>
        <v>1</v>
      </c>
      <c r="H241" s="635"/>
      <c r="I241" s="21">
        <f t="shared" si="39"/>
        <v>1</v>
      </c>
      <c r="J241" s="635"/>
      <c r="K241" s="21">
        <f t="shared" si="40"/>
        <v>1</v>
      </c>
      <c r="L241" s="635"/>
      <c r="M241" s="21">
        <f t="shared" si="41"/>
        <v>1</v>
      </c>
      <c r="N241" s="635"/>
      <c r="O241" s="21">
        <f t="shared" si="42"/>
        <v>1</v>
      </c>
      <c r="P241" s="635"/>
      <c r="Q241" s="21">
        <f t="shared" si="43"/>
        <v>0</v>
      </c>
      <c r="R241" s="21">
        <f t="shared" si="44"/>
        <v>0</v>
      </c>
      <c r="S241" s="308">
        <f t="shared" si="35"/>
        <v>0</v>
      </c>
    </row>
    <row r="242" spans="1:19">
      <c r="A242" s="142"/>
      <c r="B242" s="52"/>
      <c r="C242" s="21">
        <f t="shared" si="36"/>
        <v>1</v>
      </c>
      <c r="D242" s="635"/>
      <c r="E242" s="21">
        <f t="shared" si="37"/>
        <v>1</v>
      </c>
      <c r="F242" s="635"/>
      <c r="G242" s="21">
        <f t="shared" si="38"/>
        <v>1</v>
      </c>
      <c r="H242" s="635"/>
      <c r="I242" s="21">
        <f t="shared" si="39"/>
        <v>1</v>
      </c>
      <c r="J242" s="635"/>
      <c r="K242" s="21">
        <f t="shared" si="40"/>
        <v>1</v>
      </c>
      <c r="L242" s="635"/>
      <c r="M242" s="21">
        <f t="shared" si="41"/>
        <v>1</v>
      </c>
      <c r="N242" s="635"/>
      <c r="O242" s="21">
        <f t="shared" si="42"/>
        <v>1</v>
      </c>
      <c r="P242" s="635"/>
      <c r="Q242" s="21">
        <f t="shared" si="43"/>
        <v>0</v>
      </c>
      <c r="R242" s="21">
        <f t="shared" si="44"/>
        <v>0</v>
      </c>
      <c r="S242" s="308">
        <f t="shared" si="35"/>
        <v>0</v>
      </c>
    </row>
    <row r="243" spans="1:19">
      <c r="A243" s="142"/>
      <c r="B243" s="52"/>
      <c r="C243" s="21">
        <f t="shared" si="36"/>
        <v>1</v>
      </c>
      <c r="D243" s="635"/>
      <c r="E243" s="21">
        <f t="shared" si="37"/>
        <v>1</v>
      </c>
      <c r="F243" s="635"/>
      <c r="G243" s="21">
        <f t="shared" si="38"/>
        <v>1</v>
      </c>
      <c r="H243" s="635"/>
      <c r="I243" s="21">
        <f t="shared" si="39"/>
        <v>1</v>
      </c>
      <c r="J243" s="635"/>
      <c r="K243" s="21">
        <f t="shared" si="40"/>
        <v>1</v>
      </c>
      <c r="L243" s="635"/>
      <c r="M243" s="21">
        <f t="shared" si="41"/>
        <v>1</v>
      </c>
      <c r="N243" s="635"/>
      <c r="O243" s="21">
        <f t="shared" si="42"/>
        <v>1</v>
      </c>
      <c r="P243" s="635"/>
      <c r="Q243" s="21">
        <f t="shared" si="43"/>
        <v>0</v>
      </c>
      <c r="R243" s="21">
        <f t="shared" si="44"/>
        <v>0</v>
      </c>
      <c r="S243" s="308">
        <f t="shared" si="35"/>
        <v>0</v>
      </c>
    </row>
    <row r="244" spans="1:19">
      <c r="A244" s="142"/>
      <c r="B244" s="52"/>
      <c r="C244" s="21">
        <f t="shared" si="36"/>
        <v>1</v>
      </c>
      <c r="D244" s="635"/>
      <c r="E244" s="21">
        <f t="shared" si="37"/>
        <v>1</v>
      </c>
      <c r="F244" s="635"/>
      <c r="G244" s="21">
        <f t="shared" si="38"/>
        <v>1</v>
      </c>
      <c r="H244" s="635"/>
      <c r="I244" s="21">
        <f t="shared" si="39"/>
        <v>1</v>
      </c>
      <c r="J244" s="635"/>
      <c r="K244" s="21">
        <f t="shared" si="40"/>
        <v>1</v>
      </c>
      <c r="L244" s="635"/>
      <c r="M244" s="21">
        <f t="shared" si="41"/>
        <v>1</v>
      </c>
      <c r="N244" s="635"/>
      <c r="O244" s="21">
        <f t="shared" si="42"/>
        <v>1</v>
      </c>
      <c r="P244" s="635"/>
      <c r="Q244" s="21">
        <f t="shared" si="43"/>
        <v>0</v>
      </c>
      <c r="R244" s="21">
        <f t="shared" si="44"/>
        <v>0</v>
      </c>
      <c r="S244" s="308">
        <f t="shared" si="35"/>
        <v>0</v>
      </c>
    </row>
    <row r="245" spans="1:19">
      <c r="A245" s="142"/>
      <c r="B245" s="52"/>
      <c r="C245" s="21">
        <f t="shared" si="36"/>
        <v>1</v>
      </c>
      <c r="D245" s="635"/>
      <c r="E245" s="21">
        <f t="shared" si="37"/>
        <v>1</v>
      </c>
      <c r="F245" s="635"/>
      <c r="G245" s="21">
        <f t="shared" si="38"/>
        <v>1</v>
      </c>
      <c r="H245" s="635"/>
      <c r="I245" s="21">
        <f t="shared" si="39"/>
        <v>1</v>
      </c>
      <c r="J245" s="635"/>
      <c r="K245" s="21">
        <f t="shared" si="40"/>
        <v>1</v>
      </c>
      <c r="L245" s="635"/>
      <c r="M245" s="21">
        <f t="shared" si="41"/>
        <v>1</v>
      </c>
      <c r="N245" s="635"/>
      <c r="O245" s="21">
        <f t="shared" si="42"/>
        <v>1</v>
      </c>
      <c r="P245" s="635"/>
      <c r="Q245" s="21">
        <f t="shared" si="43"/>
        <v>0</v>
      </c>
      <c r="R245" s="21">
        <f t="shared" si="44"/>
        <v>0</v>
      </c>
      <c r="S245" s="308">
        <f t="shared" si="35"/>
        <v>0</v>
      </c>
    </row>
    <row r="246" spans="1:19">
      <c r="A246" s="142"/>
      <c r="B246" s="52"/>
      <c r="C246" s="21">
        <f t="shared" si="36"/>
        <v>1</v>
      </c>
      <c r="D246" s="635"/>
      <c r="E246" s="21">
        <f t="shared" si="37"/>
        <v>1</v>
      </c>
      <c r="F246" s="635"/>
      <c r="G246" s="21">
        <f t="shared" si="38"/>
        <v>1</v>
      </c>
      <c r="H246" s="635"/>
      <c r="I246" s="21">
        <f t="shared" si="39"/>
        <v>1</v>
      </c>
      <c r="J246" s="635"/>
      <c r="K246" s="21">
        <f t="shared" si="40"/>
        <v>1</v>
      </c>
      <c r="L246" s="635"/>
      <c r="M246" s="21">
        <f t="shared" si="41"/>
        <v>1</v>
      </c>
      <c r="N246" s="635"/>
      <c r="O246" s="21">
        <f t="shared" si="42"/>
        <v>1</v>
      </c>
      <c r="P246" s="635"/>
      <c r="Q246" s="21">
        <f t="shared" si="43"/>
        <v>0</v>
      </c>
      <c r="R246" s="21">
        <f t="shared" si="44"/>
        <v>0</v>
      </c>
      <c r="S246" s="308">
        <f t="shared" si="35"/>
        <v>0</v>
      </c>
    </row>
    <row r="247" spans="1:19">
      <c r="A247" s="142"/>
      <c r="B247" s="52"/>
      <c r="C247" s="21">
        <f t="shared" si="36"/>
        <v>1</v>
      </c>
      <c r="D247" s="635"/>
      <c r="E247" s="21">
        <f t="shared" si="37"/>
        <v>1</v>
      </c>
      <c r="F247" s="635"/>
      <c r="G247" s="21">
        <f t="shared" si="38"/>
        <v>1</v>
      </c>
      <c r="H247" s="635"/>
      <c r="I247" s="21">
        <f t="shared" si="39"/>
        <v>1</v>
      </c>
      <c r="J247" s="635"/>
      <c r="K247" s="21">
        <f t="shared" si="40"/>
        <v>1</v>
      </c>
      <c r="L247" s="635"/>
      <c r="M247" s="21">
        <f t="shared" si="41"/>
        <v>1</v>
      </c>
      <c r="N247" s="635"/>
      <c r="O247" s="21">
        <f t="shared" si="42"/>
        <v>1</v>
      </c>
      <c r="P247" s="635"/>
      <c r="Q247" s="21">
        <f t="shared" si="43"/>
        <v>0</v>
      </c>
      <c r="R247" s="21">
        <f t="shared" si="44"/>
        <v>0</v>
      </c>
      <c r="S247" s="308">
        <f t="shared" si="35"/>
        <v>0</v>
      </c>
    </row>
    <row r="248" spans="1:19">
      <c r="A248" s="142"/>
      <c r="B248" s="52"/>
      <c r="C248" s="21">
        <f t="shared" si="36"/>
        <v>1</v>
      </c>
      <c r="D248" s="635"/>
      <c r="E248" s="21">
        <f t="shared" si="37"/>
        <v>1</v>
      </c>
      <c r="F248" s="635"/>
      <c r="G248" s="21">
        <f t="shared" si="38"/>
        <v>1</v>
      </c>
      <c r="H248" s="635"/>
      <c r="I248" s="21">
        <f t="shared" si="39"/>
        <v>1</v>
      </c>
      <c r="J248" s="635"/>
      <c r="K248" s="21">
        <f t="shared" si="40"/>
        <v>1</v>
      </c>
      <c r="L248" s="635"/>
      <c r="M248" s="21">
        <f t="shared" si="41"/>
        <v>1</v>
      </c>
      <c r="N248" s="635"/>
      <c r="O248" s="21">
        <f t="shared" si="42"/>
        <v>1</v>
      </c>
      <c r="P248" s="635"/>
      <c r="Q248" s="21">
        <f t="shared" si="43"/>
        <v>0</v>
      </c>
      <c r="R248" s="21">
        <f t="shared" si="44"/>
        <v>0</v>
      </c>
      <c r="S248" s="308">
        <f t="shared" si="35"/>
        <v>0</v>
      </c>
    </row>
    <row r="249" spans="1:19">
      <c r="A249" s="142"/>
      <c r="B249" s="52"/>
      <c r="C249" s="21">
        <f t="shared" si="36"/>
        <v>1</v>
      </c>
      <c r="D249" s="635"/>
      <c r="E249" s="21">
        <f t="shared" si="37"/>
        <v>1</v>
      </c>
      <c r="F249" s="635"/>
      <c r="G249" s="21">
        <f t="shared" si="38"/>
        <v>1</v>
      </c>
      <c r="H249" s="635"/>
      <c r="I249" s="21">
        <f t="shared" si="39"/>
        <v>1</v>
      </c>
      <c r="J249" s="635"/>
      <c r="K249" s="21">
        <f t="shared" si="40"/>
        <v>1</v>
      </c>
      <c r="L249" s="635"/>
      <c r="M249" s="21">
        <f t="shared" si="41"/>
        <v>1</v>
      </c>
      <c r="N249" s="635"/>
      <c r="O249" s="21">
        <f t="shared" si="42"/>
        <v>1</v>
      </c>
      <c r="P249" s="635"/>
      <c r="Q249" s="21">
        <f t="shared" si="43"/>
        <v>0</v>
      </c>
      <c r="R249" s="21">
        <f t="shared" si="44"/>
        <v>0</v>
      </c>
      <c r="S249" s="308">
        <f t="shared" si="35"/>
        <v>0</v>
      </c>
    </row>
    <row r="250" spans="1:19">
      <c r="A250" s="142"/>
      <c r="B250" s="52"/>
      <c r="C250" s="21">
        <f t="shared" si="36"/>
        <v>1</v>
      </c>
      <c r="D250" s="635"/>
      <c r="E250" s="21">
        <f t="shared" si="37"/>
        <v>1</v>
      </c>
      <c r="F250" s="635"/>
      <c r="G250" s="21">
        <f t="shared" si="38"/>
        <v>1</v>
      </c>
      <c r="H250" s="635"/>
      <c r="I250" s="21">
        <f t="shared" si="39"/>
        <v>1</v>
      </c>
      <c r="J250" s="635"/>
      <c r="K250" s="21">
        <f t="shared" si="40"/>
        <v>1</v>
      </c>
      <c r="L250" s="635"/>
      <c r="M250" s="21">
        <f t="shared" si="41"/>
        <v>1</v>
      </c>
      <c r="N250" s="635"/>
      <c r="O250" s="21">
        <f t="shared" si="42"/>
        <v>1</v>
      </c>
      <c r="P250" s="635"/>
      <c r="Q250" s="21">
        <f t="shared" si="43"/>
        <v>0</v>
      </c>
      <c r="R250" s="21">
        <f t="shared" si="44"/>
        <v>0</v>
      </c>
      <c r="S250" s="308">
        <f t="shared" si="35"/>
        <v>0</v>
      </c>
    </row>
    <row r="251" spans="1:19">
      <c r="A251" s="142"/>
      <c r="B251" s="52"/>
      <c r="C251" s="21">
        <f t="shared" si="36"/>
        <v>1</v>
      </c>
      <c r="D251" s="635"/>
      <c r="E251" s="21">
        <f t="shared" si="37"/>
        <v>1</v>
      </c>
      <c r="F251" s="635"/>
      <c r="G251" s="21">
        <f t="shared" si="38"/>
        <v>1</v>
      </c>
      <c r="H251" s="635"/>
      <c r="I251" s="21">
        <f t="shared" si="39"/>
        <v>1</v>
      </c>
      <c r="J251" s="635"/>
      <c r="K251" s="21">
        <f t="shared" si="40"/>
        <v>1</v>
      </c>
      <c r="L251" s="635"/>
      <c r="M251" s="21">
        <f t="shared" si="41"/>
        <v>1</v>
      </c>
      <c r="N251" s="635"/>
      <c r="O251" s="21">
        <f t="shared" si="42"/>
        <v>1</v>
      </c>
      <c r="P251" s="635"/>
      <c r="Q251" s="21">
        <f t="shared" si="43"/>
        <v>0</v>
      </c>
      <c r="R251" s="21">
        <f t="shared" si="44"/>
        <v>0</v>
      </c>
      <c r="S251" s="308">
        <f t="shared" si="35"/>
        <v>0</v>
      </c>
    </row>
    <row r="252" spans="1:19">
      <c r="A252" s="142"/>
      <c r="B252" s="52"/>
      <c r="C252" s="21">
        <f t="shared" si="36"/>
        <v>1</v>
      </c>
      <c r="D252" s="635"/>
      <c r="E252" s="21">
        <f t="shared" si="37"/>
        <v>1</v>
      </c>
      <c r="F252" s="635"/>
      <c r="G252" s="21">
        <f t="shared" si="38"/>
        <v>1</v>
      </c>
      <c r="H252" s="635"/>
      <c r="I252" s="21">
        <f t="shared" si="39"/>
        <v>1</v>
      </c>
      <c r="J252" s="635"/>
      <c r="K252" s="21">
        <f t="shared" si="40"/>
        <v>1</v>
      </c>
      <c r="L252" s="635"/>
      <c r="M252" s="21">
        <f t="shared" si="41"/>
        <v>1</v>
      </c>
      <c r="N252" s="635"/>
      <c r="O252" s="21">
        <f t="shared" si="42"/>
        <v>1</v>
      </c>
      <c r="P252" s="635"/>
      <c r="Q252" s="21">
        <f t="shared" si="43"/>
        <v>0</v>
      </c>
      <c r="R252" s="21">
        <f t="shared" si="44"/>
        <v>0</v>
      </c>
      <c r="S252" s="308">
        <f t="shared" si="35"/>
        <v>0</v>
      </c>
    </row>
    <row r="253" spans="1:19">
      <c r="A253" s="142"/>
      <c r="B253" s="52"/>
      <c r="C253" s="21">
        <f t="shared" si="36"/>
        <v>1</v>
      </c>
      <c r="D253" s="635"/>
      <c r="E253" s="21">
        <f t="shared" si="37"/>
        <v>1</v>
      </c>
      <c r="F253" s="635"/>
      <c r="G253" s="21">
        <f t="shared" si="38"/>
        <v>1</v>
      </c>
      <c r="H253" s="635"/>
      <c r="I253" s="21">
        <f t="shared" si="39"/>
        <v>1</v>
      </c>
      <c r="J253" s="635"/>
      <c r="K253" s="21">
        <f t="shared" si="40"/>
        <v>1</v>
      </c>
      <c r="L253" s="635"/>
      <c r="M253" s="21">
        <f t="shared" si="41"/>
        <v>1</v>
      </c>
      <c r="N253" s="635"/>
      <c r="O253" s="21">
        <f t="shared" si="42"/>
        <v>1</v>
      </c>
      <c r="P253" s="635"/>
      <c r="Q253" s="21">
        <f t="shared" si="43"/>
        <v>0</v>
      </c>
      <c r="R253" s="21">
        <f t="shared" si="44"/>
        <v>0</v>
      </c>
      <c r="S253" s="308">
        <f t="shared" si="35"/>
        <v>0</v>
      </c>
    </row>
    <row r="254" spans="1:19">
      <c r="A254" s="142"/>
      <c r="B254" s="52"/>
      <c r="C254" s="21">
        <f t="shared" si="36"/>
        <v>1</v>
      </c>
      <c r="D254" s="635"/>
      <c r="E254" s="21">
        <f t="shared" si="37"/>
        <v>1</v>
      </c>
      <c r="F254" s="635"/>
      <c r="G254" s="21">
        <f t="shared" si="38"/>
        <v>1</v>
      </c>
      <c r="H254" s="635"/>
      <c r="I254" s="21">
        <f t="shared" si="39"/>
        <v>1</v>
      </c>
      <c r="J254" s="635"/>
      <c r="K254" s="21">
        <f t="shared" si="40"/>
        <v>1</v>
      </c>
      <c r="L254" s="635"/>
      <c r="M254" s="21">
        <f t="shared" si="41"/>
        <v>1</v>
      </c>
      <c r="N254" s="635"/>
      <c r="O254" s="21">
        <f t="shared" si="42"/>
        <v>1</v>
      </c>
      <c r="P254" s="635"/>
      <c r="Q254" s="21">
        <f t="shared" si="43"/>
        <v>0</v>
      </c>
      <c r="R254" s="21">
        <f t="shared" si="44"/>
        <v>0</v>
      </c>
      <c r="S254" s="308">
        <f t="shared" si="35"/>
        <v>0</v>
      </c>
    </row>
    <row r="255" spans="1:19">
      <c r="A255" s="142"/>
      <c r="B255" s="52"/>
      <c r="C255" s="21">
        <f t="shared" si="36"/>
        <v>1</v>
      </c>
      <c r="D255" s="635"/>
      <c r="E255" s="21">
        <f t="shared" si="37"/>
        <v>1</v>
      </c>
      <c r="F255" s="635"/>
      <c r="G255" s="21">
        <f t="shared" si="38"/>
        <v>1</v>
      </c>
      <c r="H255" s="635"/>
      <c r="I255" s="21">
        <f t="shared" si="39"/>
        <v>1</v>
      </c>
      <c r="J255" s="635"/>
      <c r="K255" s="21">
        <f t="shared" si="40"/>
        <v>1</v>
      </c>
      <c r="L255" s="635"/>
      <c r="M255" s="21">
        <f t="shared" si="41"/>
        <v>1</v>
      </c>
      <c r="N255" s="635"/>
      <c r="O255" s="21">
        <f t="shared" si="42"/>
        <v>1</v>
      </c>
      <c r="P255" s="635"/>
      <c r="Q255" s="21">
        <f t="shared" si="43"/>
        <v>0</v>
      </c>
      <c r="R255" s="21">
        <f t="shared" si="44"/>
        <v>0</v>
      </c>
      <c r="S255" s="308">
        <f t="shared" si="35"/>
        <v>0</v>
      </c>
    </row>
    <row r="256" spans="1:19">
      <c r="A256" s="142"/>
      <c r="B256" s="52"/>
      <c r="C256" s="21">
        <f t="shared" si="36"/>
        <v>1</v>
      </c>
      <c r="D256" s="635"/>
      <c r="E256" s="21">
        <f t="shared" si="37"/>
        <v>1</v>
      </c>
      <c r="F256" s="635"/>
      <c r="G256" s="21">
        <f t="shared" si="38"/>
        <v>1</v>
      </c>
      <c r="H256" s="635"/>
      <c r="I256" s="21">
        <f t="shared" si="39"/>
        <v>1</v>
      </c>
      <c r="J256" s="635"/>
      <c r="K256" s="21">
        <f t="shared" si="40"/>
        <v>1</v>
      </c>
      <c r="L256" s="635"/>
      <c r="M256" s="21">
        <f t="shared" si="41"/>
        <v>1</v>
      </c>
      <c r="N256" s="635"/>
      <c r="O256" s="21">
        <f t="shared" si="42"/>
        <v>1</v>
      </c>
      <c r="P256" s="635"/>
      <c r="Q256" s="21">
        <f t="shared" si="43"/>
        <v>0</v>
      </c>
      <c r="R256" s="21">
        <f t="shared" si="44"/>
        <v>0</v>
      </c>
      <c r="S256" s="308">
        <f t="shared" si="35"/>
        <v>0</v>
      </c>
    </row>
    <row r="257" spans="1:19">
      <c r="A257" s="142"/>
      <c r="B257" s="52"/>
      <c r="C257" s="21">
        <f t="shared" si="36"/>
        <v>1</v>
      </c>
      <c r="D257" s="635"/>
      <c r="E257" s="21">
        <f t="shared" si="37"/>
        <v>1</v>
      </c>
      <c r="F257" s="635"/>
      <c r="G257" s="21">
        <f t="shared" si="38"/>
        <v>1</v>
      </c>
      <c r="H257" s="635"/>
      <c r="I257" s="21">
        <f t="shared" si="39"/>
        <v>1</v>
      </c>
      <c r="J257" s="635"/>
      <c r="K257" s="21">
        <f t="shared" si="40"/>
        <v>1</v>
      </c>
      <c r="L257" s="635"/>
      <c r="M257" s="21">
        <f t="shared" si="41"/>
        <v>1</v>
      </c>
      <c r="N257" s="635"/>
      <c r="O257" s="21">
        <f t="shared" si="42"/>
        <v>1</v>
      </c>
      <c r="P257" s="635"/>
      <c r="Q257" s="21">
        <f t="shared" si="43"/>
        <v>0</v>
      </c>
      <c r="R257" s="21">
        <f t="shared" si="44"/>
        <v>0</v>
      </c>
      <c r="S257" s="308">
        <f t="shared" si="35"/>
        <v>0</v>
      </c>
    </row>
    <row r="258" spans="1:19">
      <c r="A258" s="142"/>
      <c r="B258" s="52"/>
      <c r="C258" s="21">
        <f t="shared" si="36"/>
        <v>1</v>
      </c>
      <c r="D258" s="635"/>
      <c r="E258" s="21">
        <f t="shared" si="37"/>
        <v>1</v>
      </c>
      <c r="F258" s="635"/>
      <c r="G258" s="21">
        <f t="shared" si="38"/>
        <v>1</v>
      </c>
      <c r="H258" s="635"/>
      <c r="I258" s="21">
        <f t="shared" si="39"/>
        <v>1</v>
      </c>
      <c r="J258" s="635"/>
      <c r="K258" s="21">
        <f t="shared" si="40"/>
        <v>1</v>
      </c>
      <c r="L258" s="635"/>
      <c r="M258" s="21">
        <f t="shared" si="41"/>
        <v>1</v>
      </c>
      <c r="N258" s="635"/>
      <c r="O258" s="21">
        <f t="shared" si="42"/>
        <v>1</v>
      </c>
      <c r="P258" s="635"/>
      <c r="Q258" s="21">
        <f t="shared" si="43"/>
        <v>0</v>
      </c>
      <c r="R258" s="21">
        <f t="shared" si="44"/>
        <v>0</v>
      </c>
      <c r="S258" s="308">
        <f t="shared" si="35"/>
        <v>0</v>
      </c>
    </row>
    <row r="259" spans="1:19">
      <c r="A259" s="142"/>
      <c r="B259" s="52"/>
      <c r="C259" s="21">
        <f t="shared" si="36"/>
        <v>1</v>
      </c>
      <c r="D259" s="635"/>
      <c r="E259" s="21">
        <f t="shared" si="37"/>
        <v>1</v>
      </c>
      <c r="F259" s="635"/>
      <c r="G259" s="21">
        <f t="shared" si="38"/>
        <v>1</v>
      </c>
      <c r="H259" s="635"/>
      <c r="I259" s="21">
        <f t="shared" si="39"/>
        <v>1</v>
      </c>
      <c r="J259" s="635"/>
      <c r="K259" s="21">
        <f t="shared" si="40"/>
        <v>1</v>
      </c>
      <c r="L259" s="635"/>
      <c r="M259" s="21">
        <f t="shared" si="41"/>
        <v>1</v>
      </c>
      <c r="N259" s="635"/>
      <c r="O259" s="21">
        <f t="shared" si="42"/>
        <v>1</v>
      </c>
      <c r="P259" s="635"/>
      <c r="Q259" s="21">
        <f t="shared" si="43"/>
        <v>0</v>
      </c>
      <c r="R259" s="21">
        <f t="shared" si="44"/>
        <v>0</v>
      </c>
      <c r="S259" s="308">
        <f t="shared" si="35"/>
        <v>0</v>
      </c>
    </row>
    <row r="260" spans="1:19">
      <c r="A260" s="142"/>
      <c r="B260" s="52"/>
      <c r="C260" s="21">
        <f t="shared" si="36"/>
        <v>1</v>
      </c>
      <c r="D260" s="635"/>
      <c r="E260" s="21">
        <f t="shared" si="37"/>
        <v>1</v>
      </c>
      <c r="F260" s="635"/>
      <c r="G260" s="21">
        <f t="shared" si="38"/>
        <v>1</v>
      </c>
      <c r="H260" s="635"/>
      <c r="I260" s="21">
        <f t="shared" si="39"/>
        <v>1</v>
      </c>
      <c r="J260" s="635"/>
      <c r="K260" s="21">
        <f t="shared" si="40"/>
        <v>1</v>
      </c>
      <c r="L260" s="635"/>
      <c r="M260" s="21">
        <f t="shared" si="41"/>
        <v>1</v>
      </c>
      <c r="N260" s="635"/>
      <c r="O260" s="21">
        <f t="shared" si="42"/>
        <v>1</v>
      </c>
      <c r="P260" s="635"/>
      <c r="Q260" s="21">
        <f t="shared" si="43"/>
        <v>0</v>
      </c>
      <c r="R260" s="21">
        <f t="shared" si="44"/>
        <v>0</v>
      </c>
      <c r="S260" s="308">
        <f t="shared" si="35"/>
        <v>0</v>
      </c>
    </row>
    <row r="261" spans="1:19">
      <c r="A261" s="142"/>
      <c r="B261" s="52"/>
      <c r="C261" s="21">
        <f t="shared" si="36"/>
        <v>1</v>
      </c>
      <c r="D261" s="635"/>
      <c r="E261" s="21">
        <f t="shared" si="37"/>
        <v>1</v>
      </c>
      <c r="F261" s="635"/>
      <c r="G261" s="21">
        <f t="shared" si="38"/>
        <v>1</v>
      </c>
      <c r="H261" s="635"/>
      <c r="I261" s="21">
        <f t="shared" si="39"/>
        <v>1</v>
      </c>
      <c r="J261" s="635"/>
      <c r="K261" s="21">
        <f t="shared" si="40"/>
        <v>1</v>
      </c>
      <c r="L261" s="635"/>
      <c r="M261" s="21">
        <f t="shared" si="41"/>
        <v>1</v>
      </c>
      <c r="N261" s="635"/>
      <c r="O261" s="21">
        <f t="shared" si="42"/>
        <v>1</v>
      </c>
      <c r="P261" s="635"/>
      <c r="Q261" s="21">
        <f t="shared" si="43"/>
        <v>0</v>
      </c>
      <c r="R261" s="21">
        <f t="shared" si="44"/>
        <v>0</v>
      </c>
      <c r="S261" s="308">
        <f t="shared" si="35"/>
        <v>0</v>
      </c>
    </row>
    <row r="262" spans="1:19">
      <c r="A262" s="142"/>
      <c r="B262" s="52"/>
      <c r="C262" s="21">
        <f t="shared" si="36"/>
        <v>1</v>
      </c>
      <c r="D262" s="635"/>
      <c r="E262" s="21">
        <f t="shared" si="37"/>
        <v>1</v>
      </c>
      <c r="F262" s="635"/>
      <c r="G262" s="21">
        <f t="shared" si="38"/>
        <v>1</v>
      </c>
      <c r="H262" s="635"/>
      <c r="I262" s="21">
        <f t="shared" si="39"/>
        <v>1</v>
      </c>
      <c r="J262" s="635"/>
      <c r="K262" s="21">
        <f t="shared" si="40"/>
        <v>1</v>
      </c>
      <c r="L262" s="635"/>
      <c r="M262" s="21">
        <f t="shared" si="41"/>
        <v>1</v>
      </c>
      <c r="N262" s="635"/>
      <c r="O262" s="21">
        <f t="shared" si="42"/>
        <v>1</v>
      </c>
      <c r="P262" s="635"/>
      <c r="Q262" s="21">
        <f t="shared" si="43"/>
        <v>0</v>
      </c>
      <c r="R262" s="21">
        <f t="shared" si="44"/>
        <v>0</v>
      </c>
      <c r="S262" s="308">
        <f t="shared" si="35"/>
        <v>0</v>
      </c>
    </row>
    <row r="263" spans="1:19">
      <c r="A263" s="142"/>
      <c r="B263" s="52"/>
      <c r="C263" s="21">
        <f t="shared" si="36"/>
        <v>1</v>
      </c>
      <c r="D263" s="635"/>
      <c r="E263" s="21">
        <f t="shared" si="37"/>
        <v>1</v>
      </c>
      <c r="F263" s="635"/>
      <c r="G263" s="21">
        <f t="shared" si="38"/>
        <v>1</v>
      </c>
      <c r="H263" s="635"/>
      <c r="I263" s="21">
        <f t="shared" si="39"/>
        <v>1</v>
      </c>
      <c r="J263" s="635"/>
      <c r="K263" s="21">
        <f t="shared" si="40"/>
        <v>1</v>
      </c>
      <c r="L263" s="635"/>
      <c r="M263" s="21">
        <f t="shared" si="41"/>
        <v>1</v>
      </c>
      <c r="N263" s="635"/>
      <c r="O263" s="21">
        <f t="shared" si="42"/>
        <v>1</v>
      </c>
      <c r="P263" s="635"/>
      <c r="Q263" s="21">
        <f t="shared" si="43"/>
        <v>0</v>
      </c>
      <c r="R263" s="21">
        <f t="shared" si="44"/>
        <v>0</v>
      </c>
      <c r="S263" s="308">
        <f t="shared" si="35"/>
        <v>0</v>
      </c>
    </row>
    <row r="264" spans="1:19">
      <c r="A264" s="142"/>
      <c r="B264" s="52"/>
      <c r="C264" s="21">
        <f t="shared" si="36"/>
        <v>1</v>
      </c>
      <c r="D264" s="635"/>
      <c r="E264" s="21">
        <f t="shared" si="37"/>
        <v>1</v>
      </c>
      <c r="F264" s="635"/>
      <c r="G264" s="21">
        <f t="shared" si="38"/>
        <v>1</v>
      </c>
      <c r="H264" s="635"/>
      <c r="I264" s="21">
        <f t="shared" si="39"/>
        <v>1</v>
      </c>
      <c r="J264" s="635"/>
      <c r="K264" s="21">
        <f t="shared" si="40"/>
        <v>1</v>
      </c>
      <c r="L264" s="635"/>
      <c r="M264" s="21">
        <f t="shared" si="41"/>
        <v>1</v>
      </c>
      <c r="N264" s="635"/>
      <c r="O264" s="21">
        <f t="shared" si="42"/>
        <v>1</v>
      </c>
      <c r="P264" s="635"/>
      <c r="Q264" s="21">
        <f t="shared" si="43"/>
        <v>0</v>
      </c>
      <c r="R264" s="21">
        <f t="shared" si="44"/>
        <v>0</v>
      </c>
      <c r="S264" s="308">
        <f t="shared" si="35"/>
        <v>0</v>
      </c>
    </row>
    <row r="265" spans="1:19">
      <c r="A265" s="142"/>
      <c r="B265" s="52"/>
      <c r="C265" s="21">
        <f t="shared" si="36"/>
        <v>1</v>
      </c>
      <c r="D265" s="635"/>
      <c r="E265" s="21">
        <f t="shared" si="37"/>
        <v>1</v>
      </c>
      <c r="F265" s="635"/>
      <c r="G265" s="21">
        <f t="shared" si="38"/>
        <v>1</v>
      </c>
      <c r="H265" s="635"/>
      <c r="I265" s="21">
        <f t="shared" si="39"/>
        <v>1</v>
      </c>
      <c r="J265" s="635"/>
      <c r="K265" s="21">
        <f t="shared" si="40"/>
        <v>1</v>
      </c>
      <c r="L265" s="635"/>
      <c r="M265" s="21">
        <f t="shared" si="41"/>
        <v>1</v>
      </c>
      <c r="N265" s="635"/>
      <c r="O265" s="21">
        <f t="shared" si="42"/>
        <v>1</v>
      </c>
      <c r="P265" s="635"/>
      <c r="Q265" s="21">
        <f t="shared" si="43"/>
        <v>0</v>
      </c>
      <c r="R265" s="21">
        <f t="shared" si="44"/>
        <v>0</v>
      </c>
      <c r="S265" s="308">
        <f t="shared" si="35"/>
        <v>0</v>
      </c>
    </row>
    <row r="266" spans="1:19">
      <c r="A266" s="142"/>
      <c r="B266" s="52"/>
      <c r="C266" s="21">
        <f t="shared" si="36"/>
        <v>1</v>
      </c>
      <c r="D266" s="635"/>
      <c r="E266" s="21">
        <f t="shared" si="37"/>
        <v>1</v>
      </c>
      <c r="F266" s="635"/>
      <c r="G266" s="21">
        <f t="shared" si="38"/>
        <v>1</v>
      </c>
      <c r="H266" s="635"/>
      <c r="I266" s="21">
        <f t="shared" si="39"/>
        <v>1</v>
      </c>
      <c r="J266" s="635"/>
      <c r="K266" s="21">
        <f t="shared" si="40"/>
        <v>1</v>
      </c>
      <c r="L266" s="635"/>
      <c r="M266" s="21">
        <f t="shared" si="41"/>
        <v>1</v>
      </c>
      <c r="N266" s="635"/>
      <c r="O266" s="21">
        <f t="shared" si="42"/>
        <v>1</v>
      </c>
      <c r="P266" s="635"/>
      <c r="Q266" s="21">
        <f t="shared" si="43"/>
        <v>0</v>
      </c>
      <c r="R266" s="21">
        <f t="shared" si="44"/>
        <v>0</v>
      </c>
      <c r="S266" s="308">
        <f t="shared" si="35"/>
        <v>0</v>
      </c>
    </row>
    <row r="267" spans="1:19">
      <c r="A267" s="142"/>
      <c r="B267" s="52"/>
      <c r="C267" s="21">
        <f t="shared" si="36"/>
        <v>1</v>
      </c>
      <c r="D267" s="635"/>
      <c r="E267" s="21">
        <f t="shared" si="37"/>
        <v>1</v>
      </c>
      <c r="F267" s="635"/>
      <c r="G267" s="21">
        <f t="shared" si="38"/>
        <v>1</v>
      </c>
      <c r="H267" s="635"/>
      <c r="I267" s="21">
        <f t="shared" si="39"/>
        <v>1</v>
      </c>
      <c r="J267" s="635"/>
      <c r="K267" s="21">
        <f t="shared" si="40"/>
        <v>1</v>
      </c>
      <c r="L267" s="635"/>
      <c r="M267" s="21">
        <f t="shared" si="41"/>
        <v>1</v>
      </c>
      <c r="N267" s="635"/>
      <c r="O267" s="21">
        <f t="shared" si="42"/>
        <v>1</v>
      </c>
      <c r="P267" s="635"/>
      <c r="Q267" s="21">
        <f t="shared" si="43"/>
        <v>0</v>
      </c>
      <c r="R267" s="21">
        <f t="shared" si="44"/>
        <v>0</v>
      </c>
      <c r="S267" s="308">
        <f t="shared" si="35"/>
        <v>0</v>
      </c>
    </row>
    <row r="268" spans="1:19">
      <c r="A268" s="142"/>
      <c r="B268" s="52"/>
      <c r="C268" s="21">
        <f t="shared" si="36"/>
        <v>1</v>
      </c>
      <c r="D268" s="635"/>
      <c r="E268" s="21">
        <f t="shared" si="37"/>
        <v>1</v>
      </c>
      <c r="F268" s="635"/>
      <c r="G268" s="21">
        <f t="shared" si="38"/>
        <v>1</v>
      </c>
      <c r="H268" s="635"/>
      <c r="I268" s="21">
        <f t="shared" si="39"/>
        <v>1</v>
      </c>
      <c r="J268" s="635"/>
      <c r="K268" s="21">
        <f t="shared" si="40"/>
        <v>1</v>
      </c>
      <c r="L268" s="635"/>
      <c r="M268" s="21">
        <f t="shared" si="41"/>
        <v>1</v>
      </c>
      <c r="N268" s="635"/>
      <c r="O268" s="21">
        <f t="shared" si="42"/>
        <v>1</v>
      </c>
      <c r="P268" s="635"/>
      <c r="Q268" s="21">
        <f t="shared" si="43"/>
        <v>0</v>
      </c>
      <c r="R268" s="21">
        <f t="shared" si="44"/>
        <v>0</v>
      </c>
      <c r="S268" s="308">
        <f t="shared" si="35"/>
        <v>0</v>
      </c>
    </row>
    <row r="269" spans="1:19">
      <c r="A269" s="142"/>
      <c r="B269" s="52"/>
      <c r="C269" s="21">
        <f t="shared" si="36"/>
        <v>1</v>
      </c>
      <c r="D269" s="635"/>
      <c r="E269" s="21">
        <f t="shared" si="37"/>
        <v>1</v>
      </c>
      <c r="F269" s="635"/>
      <c r="G269" s="21">
        <f t="shared" si="38"/>
        <v>1</v>
      </c>
      <c r="H269" s="635"/>
      <c r="I269" s="21">
        <f t="shared" si="39"/>
        <v>1</v>
      </c>
      <c r="J269" s="635"/>
      <c r="K269" s="21">
        <f t="shared" si="40"/>
        <v>1</v>
      </c>
      <c r="L269" s="635"/>
      <c r="M269" s="21">
        <f t="shared" si="41"/>
        <v>1</v>
      </c>
      <c r="N269" s="635"/>
      <c r="O269" s="21">
        <f t="shared" si="42"/>
        <v>1</v>
      </c>
      <c r="P269" s="635"/>
      <c r="Q269" s="21">
        <f t="shared" si="43"/>
        <v>0</v>
      </c>
      <c r="R269" s="21">
        <f t="shared" si="44"/>
        <v>0</v>
      </c>
      <c r="S269" s="308">
        <f t="shared" si="35"/>
        <v>0</v>
      </c>
    </row>
    <row r="270" spans="1:19">
      <c r="A270" s="142"/>
      <c r="B270" s="52"/>
      <c r="C270" s="21">
        <f t="shared" si="36"/>
        <v>1</v>
      </c>
      <c r="D270" s="635"/>
      <c r="E270" s="21">
        <f t="shared" si="37"/>
        <v>1</v>
      </c>
      <c r="F270" s="635"/>
      <c r="G270" s="21">
        <f t="shared" si="38"/>
        <v>1</v>
      </c>
      <c r="H270" s="635"/>
      <c r="I270" s="21">
        <f t="shared" si="39"/>
        <v>1</v>
      </c>
      <c r="J270" s="635"/>
      <c r="K270" s="21">
        <f t="shared" si="40"/>
        <v>1</v>
      </c>
      <c r="L270" s="635"/>
      <c r="M270" s="21">
        <f t="shared" si="41"/>
        <v>1</v>
      </c>
      <c r="N270" s="635"/>
      <c r="O270" s="21">
        <f t="shared" si="42"/>
        <v>1</v>
      </c>
      <c r="P270" s="635"/>
      <c r="Q270" s="21">
        <f t="shared" si="43"/>
        <v>0</v>
      </c>
      <c r="R270" s="21">
        <f t="shared" si="44"/>
        <v>0</v>
      </c>
      <c r="S270" s="308">
        <f t="shared" si="35"/>
        <v>0</v>
      </c>
    </row>
    <row r="271" spans="1:19">
      <c r="A271" s="142"/>
      <c r="B271" s="52"/>
      <c r="C271" s="21">
        <f t="shared" si="36"/>
        <v>1</v>
      </c>
      <c r="D271" s="635"/>
      <c r="E271" s="21">
        <f t="shared" si="37"/>
        <v>1</v>
      </c>
      <c r="F271" s="635"/>
      <c r="G271" s="21">
        <f t="shared" si="38"/>
        <v>1</v>
      </c>
      <c r="H271" s="635"/>
      <c r="I271" s="21">
        <f t="shared" si="39"/>
        <v>1</v>
      </c>
      <c r="J271" s="635"/>
      <c r="K271" s="21">
        <f t="shared" si="40"/>
        <v>1</v>
      </c>
      <c r="L271" s="635"/>
      <c r="M271" s="21">
        <f t="shared" si="41"/>
        <v>1</v>
      </c>
      <c r="N271" s="635"/>
      <c r="O271" s="21">
        <f t="shared" si="42"/>
        <v>1</v>
      </c>
      <c r="P271" s="635"/>
      <c r="Q271" s="21">
        <f t="shared" si="43"/>
        <v>0</v>
      </c>
      <c r="R271" s="21">
        <f t="shared" si="44"/>
        <v>0</v>
      </c>
      <c r="S271" s="308">
        <f t="shared" si="35"/>
        <v>0</v>
      </c>
    </row>
    <row r="272" spans="1:19">
      <c r="A272" s="142"/>
      <c r="B272" s="52"/>
      <c r="C272" s="21">
        <f t="shared" si="36"/>
        <v>1</v>
      </c>
      <c r="D272" s="635"/>
      <c r="E272" s="21">
        <f t="shared" si="37"/>
        <v>1</v>
      </c>
      <c r="F272" s="635"/>
      <c r="G272" s="21">
        <f t="shared" si="38"/>
        <v>1</v>
      </c>
      <c r="H272" s="635"/>
      <c r="I272" s="21">
        <f t="shared" si="39"/>
        <v>1</v>
      </c>
      <c r="J272" s="635"/>
      <c r="K272" s="21">
        <f t="shared" si="40"/>
        <v>1</v>
      </c>
      <c r="L272" s="635"/>
      <c r="M272" s="21">
        <f t="shared" si="41"/>
        <v>1</v>
      </c>
      <c r="N272" s="635"/>
      <c r="O272" s="21">
        <f t="shared" si="42"/>
        <v>1</v>
      </c>
      <c r="P272" s="635"/>
      <c r="Q272" s="21">
        <f t="shared" si="43"/>
        <v>0</v>
      </c>
      <c r="R272" s="21">
        <f t="shared" si="44"/>
        <v>0</v>
      </c>
      <c r="S272" s="308">
        <f t="shared" si="35"/>
        <v>0</v>
      </c>
    </row>
    <row r="273" spans="1:19">
      <c r="A273" s="142"/>
      <c r="B273" s="52"/>
      <c r="C273" s="21">
        <f t="shared" si="36"/>
        <v>1</v>
      </c>
      <c r="D273" s="635"/>
      <c r="E273" s="21">
        <f t="shared" si="37"/>
        <v>1</v>
      </c>
      <c r="F273" s="635"/>
      <c r="G273" s="21">
        <f t="shared" si="38"/>
        <v>1</v>
      </c>
      <c r="H273" s="635"/>
      <c r="I273" s="21">
        <f t="shared" si="39"/>
        <v>1</v>
      </c>
      <c r="J273" s="635"/>
      <c r="K273" s="21">
        <f t="shared" si="40"/>
        <v>1</v>
      </c>
      <c r="L273" s="635"/>
      <c r="M273" s="21">
        <f t="shared" si="41"/>
        <v>1</v>
      </c>
      <c r="N273" s="635"/>
      <c r="O273" s="21">
        <f t="shared" si="42"/>
        <v>1</v>
      </c>
      <c r="P273" s="635"/>
      <c r="Q273" s="21">
        <f t="shared" si="43"/>
        <v>0</v>
      </c>
      <c r="R273" s="21">
        <f t="shared" si="44"/>
        <v>0</v>
      </c>
      <c r="S273" s="308">
        <f t="shared" si="35"/>
        <v>0</v>
      </c>
    </row>
    <row r="274" spans="1:19">
      <c r="A274" s="142"/>
      <c r="B274" s="52"/>
      <c r="C274" s="21">
        <f t="shared" si="36"/>
        <v>1</v>
      </c>
      <c r="D274" s="635"/>
      <c r="E274" s="21">
        <f t="shared" si="37"/>
        <v>1</v>
      </c>
      <c r="F274" s="635"/>
      <c r="G274" s="21">
        <f t="shared" si="38"/>
        <v>1</v>
      </c>
      <c r="H274" s="635"/>
      <c r="I274" s="21">
        <f t="shared" si="39"/>
        <v>1</v>
      </c>
      <c r="J274" s="635"/>
      <c r="K274" s="21">
        <f t="shared" si="40"/>
        <v>1</v>
      </c>
      <c r="L274" s="635"/>
      <c r="M274" s="21">
        <f t="shared" si="41"/>
        <v>1</v>
      </c>
      <c r="N274" s="635"/>
      <c r="O274" s="21">
        <f t="shared" si="42"/>
        <v>1</v>
      </c>
      <c r="P274" s="635"/>
      <c r="Q274" s="21">
        <f t="shared" si="43"/>
        <v>0</v>
      </c>
      <c r="R274" s="21">
        <f t="shared" si="44"/>
        <v>0</v>
      </c>
      <c r="S274" s="308">
        <f t="shared" si="35"/>
        <v>0</v>
      </c>
    </row>
    <row r="275" spans="1:19">
      <c r="A275" s="142"/>
      <c r="B275" s="52"/>
      <c r="C275" s="21">
        <f t="shared" si="36"/>
        <v>1</v>
      </c>
      <c r="D275" s="635"/>
      <c r="E275" s="21">
        <f t="shared" si="37"/>
        <v>1</v>
      </c>
      <c r="F275" s="635"/>
      <c r="G275" s="21">
        <f t="shared" si="38"/>
        <v>1</v>
      </c>
      <c r="H275" s="635"/>
      <c r="I275" s="21">
        <f t="shared" si="39"/>
        <v>1</v>
      </c>
      <c r="J275" s="635"/>
      <c r="K275" s="21">
        <f t="shared" si="40"/>
        <v>1</v>
      </c>
      <c r="L275" s="635"/>
      <c r="M275" s="21">
        <f t="shared" si="41"/>
        <v>1</v>
      </c>
      <c r="N275" s="635"/>
      <c r="O275" s="21">
        <f t="shared" si="42"/>
        <v>1</v>
      </c>
      <c r="P275" s="635"/>
      <c r="Q275" s="21">
        <f t="shared" si="43"/>
        <v>0</v>
      </c>
      <c r="R275" s="21">
        <f t="shared" si="44"/>
        <v>0</v>
      </c>
      <c r="S275" s="308">
        <f t="shared" si="35"/>
        <v>0</v>
      </c>
    </row>
    <row r="276" spans="1:19">
      <c r="A276" s="142"/>
      <c r="B276" s="52"/>
      <c r="C276" s="21">
        <f t="shared" si="36"/>
        <v>1</v>
      </c>
      <c r="D276" s="635"/>
      <c r="E276" s="21">
        <f t="shared" si="37"/>
        <v>1</v>
      </c>
      <c r="F276" s="635"/>
      <c r="G276" s="21">
        <f t="shared" si="38"/>
        <v>1</v>
      </c>
      <c r="H276" s="635"/>
      <c r="I276" s="21">
        <f t="shared" si="39"/>
        <v>1</v>
      </c>
      <c r="J276" s="635"/>
      <c r="K276" s="21">
        <f t="shared" si="40"/>
        <v>1</v>
      </c>
      <c r="L276" s="635"/>
      <c r="M276" s="21">
        <f t="shared" si="41"/>
        <v>1</v>
      </c>
      <c r="N276" s="635"/>
      <c r="O276" s="21">
        <f t="shared" si="42"/>
        <v>1</v>
      </c>
      <c r="P276" s="635"/>
      <c r="Q276" s="21">
        <f t="shared" si="43"/>
        <v>0</v>
      </c>
      <c r="R276" s="21">
        <f t="shared" si="44"/>
        <v>0</v>
      </c>
      <c r="S276" s="308">
        <f t="shared" si="35"/>
        <v>0</v>
      </c>
    </row>
    <row r="277" spans="1:19">
      <c r="A277" s="142"/>
      <c r="B277" s="52"/>
      <c r="C277" s="21">
        <f t="shared" si="36"/>
        <v>1</v>
      </c>
      <c r="D277" s="635"/>
      <c r="E277" s="21">
        <f t="shared" si="37"/>
        <v>1</v>
      </c>
      <c r="F277" s="635"/>
      <c r="G277" s="21">
        <f t="shared" si="38"/>
        <v>1</v>
      </c>
      <c r="H277" s="635"/>
      <c r="I277" s="21">
        <f t="shared" si="39"/>
        <v>1</v>
      </c>
      <c r="J277" s="635"/>
      <c r="K277" s="21">
        <f t="shared" si="40"/>
        <v>1</v>
      </c>
      <c r="L277" s="635"/>
      <c r="M277" s="21">
        <f t="shared" si="41"/>
        <v>1</v>
      </c>
      <c r="N277" s="635"/>
      <c r="O277" s="21">
        <f t="shared" si="42"/>
        <v>1</v>
      </c>
      <c r="P277" s="635"/>
      <c r="Q277" s="21">
        <f t="shared" si="43"/>
        <v>0</v>
      </c>
      <c r="R277" s="21">
        <f t="shared" si="44"/>
        <v>0</v>
      </c>
      <c r="S277" s="308">
        <f t="shared" si="35"/>
        <v>0</v>
      </c>
    </row>
    <row r="278" spans="1:19">
      <c r="A278" s="142"/>
      <c r="B278" s="52"/>
      <c r="C278" s="21">
        <f t="shared" si="36"/>
        <v>1</v>
      </c>
      <c r="D278" s="635"/>
      <c r="E278" s="21">
        <f t="shared" si="37"/>
        <v>1</v>
      </c>
      <c r="F278" s="635"/>
      <c r="G278" s="21">
        <f t="shared" si="38"/>
        <v>1</v>
      </c>
      <c r="H278" s="635"/>
      <c r="I278" s="21">
        <f t="shared" si="39"/>
        <v>1</v>
      </c>
      <c r="J278" s="635"/>
      <c r="K278" s="21">
        <f t="shared" si="40"/>
        <v>1</v>
      </c>
      <c r="L278" s="635"/>
      <c r="M278" s="21">
        <f t="shared" si="41"/>
        <v>1</v>
      </c>
      <c r="N278" s="635"/>
      <c r="O278" s="21">
        <f t="shared" si="42"/>
        <v>1</v>
      </c>
      <c r="P278" s="635"/>
      <c r="Q278" s="21">
        <f t="shared" si="43"/>
        <v>0</v>
      </c>
      <c r="R278" s="21">
        <f t="shared" si="44"/>
        <v>0</v>
      </c>
      <c r="S278" s="308">
        <f t="shared" si="35"/>
        <v>0</v>
      </c>
    </row>
    <row r="279" spans="1:19">
      <c r="A279" s="142"/>
      <c r="B279" s="52"/>
      <c r="C279" s="21">
        <f t="shared" si="36"/>
        <v>1</v>
      </c>
      <c r="D279" s="635"/>
      <c r="E279" s="21">
        <f t="shared" si="37"/>
        <v>1</v>
      </c>
      <c r="F279" s="635"/>
      <c r="G279" s="21">
        <f t="shared" si="38"/>
        <v>1</v>
      </c>
      <c r="H279" s="635"/>
      <c r="I279" s="21">
        <f t="shared" si="39"/>
        <v>1</v>
      </c>
      <c r="J279" s="635"/>
      <c r="K279" s="21">
        <f t="shared" si="40"/>
        <v>1</v>
      </c>
      <c r="L279" s="635"/>
      <c r="M279" s="21">
        <f t="shared" si="41"/>
        <v>1</v>
      </c>
      <c r="N279" s="635"/>
      <c r="O279" s="21">
        <f t="shared" si="42"/>
        <v>1</v>
      </c>
      <c r="P279" s="635"/>
      <c r="Q279" s="21">
        <f t="shared" si="43"/>
        <v>0</v>
      </c>
      <c r="R279" s="21">
        <f t="shared" si="44"/>
        <v>0</v>
      </c>
      <c r="S279" s="308">
        <f t="shared" si="35"/>
        <v>0</v>
      </c>
    </row>
    <row r="280" spans="1:19">
      <c r="A280" s="142"/>
      <c r="B280" s="52"/>
      <c r="C280" s="21">
        <f t="shared" si="36"/>
        <v>1</v>
      </c>
      <c r="D280" s="635"/>
      <c r="E280" s="21">
        <f t="shared" si="37"/>
        <v>1</v>
      </c>
      <c r="F280" s="635"/>
      <c r="G280" s="21">
        <f t="shared" si="38"/>
        <v>1</v>
      </c>
      <c r="H280" s="635"/>
      <c r="I280" s="21">
        <f t="shared" si="39"/>
        <v>1</v>
      </c>
      <c r="J280" s="635"/>
      <c r="K280" s="21">
        <f t="shared" si="40"/>
        <v>1</v>
      </c>
      <c r="L280" s="635"/>
      <c r="M280" s="21">
        <f t="shared" si="41"/>
        <v>1</v>
      </c>
      <c r="N280" s="635"/>
      <c r="O280" s="21">
        <f t="shared" si="42"/>
        <v>1</v>
      </c>
      <c r="P280" s="635"/>
      <c r="Q280" s="21">
        <f t="shared" si="43"/>
        <v>0</v>
      </c>
      <c r="R280" s="21">
        <f t="shared" si="44"/>
        <v>0</v>
      </c>
      <c r="S280" s="308">
        <f t="shared" ref="S280:S343" si="45">ROUND(R280*B280/10000,0)</f>
        <v>0</v>
      </c>
    </row>
    <row r="281" spans="1:19">
      <c r="A281" s="142"/>
      <c r="B281" s="52"/>
      <c r="C281" s="21">
        <f t="shared" si="36"/>
        <v>1</v>
      </c>
      <c r="D281" s="635"/>
      <c r="E281" s="21">
        <f t="shared" si="37"/>
        <v>1</v>
      </c>
      <c r="F281" s="635"/>
      <c r="G281" s="21">
        <f t="shared" si="38"/>
        <v>1</v>
      </c>
      <c r="H281" s="635"/>
      <c r="I281" s="21">
        <f t="shared" si="39"/>
        <v>1</v>
      </c>
      <c r="J281" s="635"/>
      <c r="K281" s="21">
        <f t="shared" si="40"/>
        <v>1</v>
      </c>
      <c r="L281" s="635"/>
      <c r="M281" s="21">
        <f t="shared" si="41"/>
        <v>1</v>
      </c>
      <c r="N281" s="635"/>
      <c r="O281" s="21">
        <f t="shared" si="42"/>
        <v>1</v>
      </c>
      <c r="P281" s="635"/>
      <c r="Q281" s="21">
        <f t="shared" si="43"/>
        <v>0</v>
      </c>
      <c r="R281" s="21">
        <f t="shared" si="44"/>
        <v>0</v>
      </c>
      <c r="S281" s="308">
        <f t="shared" si="45"/>
        <v>0</v>
      </c>
    </row>
    <row r="282" spans="1:19">
      <c r="A282" s="142"/>
      <c r="B282" s="52"/>
      <c r="C282" s="21">
        <f t="shared" ref="C282:C345" si="46">IF(B282="",1,(LOOKUP(B282,$3:$3,$4:$4)-LOOKUP($B$24,$3:$3,$4:$4)+100)/100)</f>
        <v>1</v>
      </c>
      <c r="D282" s="635"/>
      <c r="E282" s="21">
        <f t="shared" ref="E282:E345" si="47">(SUMIF($5:$5,D282,$6:$6)-SUMIF($5:$5,$D$24,$6:$6)+100)/100</f>
        <v>1</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0</v>
      </c>
      <c r="R282" s="21">
        <f t="shared" ref="R282:R345" si="54">IF(B282="",0,ROUND($R$24*C282*E282*G282*I282*K282*M282*O282*Q282,0))</f>
        <v>0</v>
      </c>
      <c r="S282" s="308">
        <f t="shared" si="45"/>
        <v>0</v>
      </c>
    </row>
    <row r="283" spans="1:19">
      <c r="A283" s="142"/>
      <c r="B283" s="52"/>
      <c r="C283" s="21">
        <f t="shared" si="46"/>
        <v>1</v>
      </c>
      <c r="D283" s="635"/>
      <c r="E283" s="21">
        <f t="shared" si="47"/>
        <v>1</v>
      </c>
      <c r="F283" s="635"/>
      <c r="G283" s="21">
        <f t="shared" si="48"/>
        <v>1</v>
      </c>
      <c r="H283" s="635"/>
      <c r="I283" s="21">
        <f t="shared" si="49"/>
        <v>1</v>
      </c>
      <c r="J283" s="635"/>
      <c r="K283" s="21">
        <f t="shared" si="50"/>
        <v>1</v>
      </c>
      <c r="L283" s="635"/>
      <c r="M283" s="21">
        <f t="shared" si="51"/>
        <v>1</v>
      </c>
      <c r="N283" s="635"/>
      <c r="O283" s="21">
        <f t="shared" si="52"/>
        <v>1</v>
      </c>
      <c r="P283" s="635"/>
      <c r="Q283" s="21">
        <f t="shared" si="53"/>
        <v>0</v>
      </c>
      <c r="R283" s="21">
        <f t="shared" si="54"/>
        <v>0</v>
      </c>
      <c r="S283" s="308">
        <f t="shared" si="45"/>
        <v>0</v>
      </c>
    </row>
    <row r="284" spans="1:19">
      <c r="A284" s="142"/>
      <c r="B284" s="52"/>
      <c r="C284" s="21">
        <f t="shared" si="46"/>
        <v>1</v>
      </c>
      <c r="D284" s="635"/>
      <c r="E284" s="21">
        <f t="shared" si="47"/>
        <v>1</v>
      </c>
      <c r="F284" s="635"/>
      <c r="G284" s="21">
        <f t="shared" si="48"/>
        <v>1</v>
      </c>
      <c r="H284" s="635"/>
      <c r="I284" s="21">
        <f t="shared" si="49"/>
        <v>1</v>
      </c>
      <c r="J284" s="635"/>
      <c r="K284" s="21">
        <f t="shared" si="50"/>
        <v>1</v>
      </c>
      <c r="L284" s="635"/>
      <c r="M284" s="21">
        <f t="shared" si="51"/>
        <v>1</v>
      </c>
      <c r="N284" s="635"/>
      <c r="O284" s="21">
        <f t="shared" si="52"/>
        <v>1</v>
      </c>
      <c r="P284" s="635"/>
      <c r="Q284" s="21">
        <f t="shared" si="53"/>
        <v>0</v>
      </c>
      <c r="R284" s="21">
        <f t="shared" si="54"/>
        <v>0</v>
      </c>
      <c r="S284" s="308">
        <f t="shared" si="45"/>
        <v>0</v>
      </c>
    </row>
    <row r="285" spans="1:19">
      <c r="A285" s="142"/>
      <c r="B285" s="52"/>
      <c r="C285" s="21">
        <f t="shared" si="46"/>
        <v>1</v>
      </c>
      <c r="D285" s="635"/>
      <c r="E285" s="21">
        <f t="shared" si="47"/>
        <v>1</v>
      </c>
      <c r="F285" s="635"/>
      <c r="G285" s="21">
        <f t="shared" si="48"/>
        <v>1</v>
      </c>
      <c r="H285" s="635"/>
      <c r="I285" s="21">
        <f t="shared" si="49"/>
        <v>1</v>
      </c>
      <c r="J285" s="635"/>
      <c r="K285" s="21">
        <f t="shared" si="50"/>
        <v>1</v>
      </c>
      <c r="L285" s="635"/>
      <c r="M285" s="21">
        <f t="shared" si="51"/>
        <v>1</v>
      </c>
      <c r="N285" s="635"/>
      <c r="O285" s="21">
        <f t="shared" si="52"/>
        <v>1</v>
      </c>
      <c r="P285" s="635"/>
      <c r="Q285" s="21">
        <f t="shared" si="53"/>
        <v>0</v>
      </c>
      <c r="R285" s="21">
        <f t="shared" si="54"/>
        <v>0</v>
      </c>
      <c r="S285" s="308">
        <f t="shared" si="45"/>
        <v>0</v>
      </c>
    </row>
    <row r="286" spans="1:19">
      <c r="A286" s="142"/>
      <c r="B286" s="52"/>
      <c r="C286" s="21">
        <f t="shared" si="46"/>
        <v>1</v>
      </c>
      <c r="D286" s="635"/>
      <c r="E286" s="21">
        <f t="shared" si="47"/>
        <v>1</v>
      </c>
      <c r="F286" s="635"/>
      <c r="G286" s="21">
        <f t="shared" si="48"/>
        <v>1</v>
      </c>
      <c r="H286" s="635"/>
      <c r="I286" s="21">
        <f t="shared" si="49"/>
        <v>1</v>
      </c>
      <c r="J286" s="635"/>
      <c r="K286" s="21">
        <f t="shared" si="50"/>
        <v>1</v>
      </c>
      <c r="L286" s="635"/>
      <c r="M286" s="21">
        <f t="shared" si="51"/>
        <v>1</v>
      </c>
      <c r="N286" s="635"/>
      <c r="O286" s="21">
        <f t="shared" si="52"/>
        <v>1</v>
      </c>
      <c r="P286" s="635"/>
      <c r="Q286" s="21">
        <f t="shared" si="53"/>
        <v>0</v>
      </c>
      <c r="R286" s="21">
        <f t="shared" si="54"/>
        <v>0</v>
      </c>
      <c r="S286" s="308">
        <f t="shared" si="45"/>
        <v>0</v>
      </c>
    </row>
    <row r="287" spans="1:19">
      <c r="A287" s="142"/>
      <c r="B287" s="52"/>
      <c r="C287" s="21">
        <f t="shared" si="46"/>
        <v>1</v>
      </c>
      <c r="D287" s="635"/>
      <c r="E287" s="21">
        <f t="shared" si="47"/>
        <v>1</v>
      </c>
      <c r="F287" s="635"/>
      <c r="G287" s="21">
        <f t="shared" si="48"/>
        <v>1</v>
      </c>
      <c r="H287" s="635"/>
      <c r="I287" s="21">
        <f t="shared" si="49"/>
        <v>1</v>
      </c>
      <c r="J287" s="635"/>
      <c r="K287" s="21">
        <f t="shared" si="50"/>
        <v>1</v>
      </c>
      <c r="L287" s="635"/>
      <c r="M287" s="21">
        <f t="shared" si="51"/>
        <v>1</v>
      </c>
      <c r="N287" s="635"/>
      <c r="O287" s="21">
        <f t="shared" si="52"/>
        <v>1</v>
      </c>
      <c r="P287" s="635"/>
      <c r="Q287" s="21">
        <f t="shared" si="53"/>
        <v>0</v>
      </c>
      <c r="R287" s="21">
        <f t="shared" si="54"/>
        <v>0</v>
      </c>
      <c r="S287" s="308">
        <f t="shared" si="45"/>
        <v>0</v>
      </c>
    </row>
    <row r="288" spans="1:19">
      <c r="A288" s="142"/>
      <c r="B288" s="52"/>
      <c r="C288" s="21">
        <f t="shared" si="46"/>
        <v>1</v>
      </c>
      <c r="D288" s="635"/>
      <c r="E288" s="21">
        <f t="shared" si="47"/>
        <v>1</v>
      </c>
      <c r="F288" s="635"/>
      <c r="G288" s="21">
        <f t="shared" si="48"/>
        <v>1</v>
      </c>
      <c r="H288" s="635"/>
      <c r="I288" s="21">
        <f t="shared" si="49"/>
        <v>1</v>
      </c>
      <c r="J288" s="635"/>
      <c r="K288" s="21">
        <f t="shared" si="50"/>
        <v>1</v>
      </c>
      <c r="L288" s="635"/>
      <c r="M288" s="21">
        <f t="shared" si="51"/>
        <v>1</v>
      </c>
      <c r="N288" s="635"/>
      <c r="O288" s="21">
        <f t="shared" si="52"/>
        <v>1</v>
      </c>
      <c r="P288" s="635"/>
      <c r="Q288" s="21">
        <f t="shared" si="53"/>
        <v>0</v>
      </c>
      <c r="R288" s="21">
        <f t="shared" si="54"/>
        <v>0</v>
      </c>
      <c r="S288" s="308">
        <f t="shared" si="45"/>
        <v>0</v>
      </c>
    </row>
    <row r="289" spans="1:19">
      <c r="A289" s="142"/>
      <c r="B289" s="52"/>
      <c r="C289" s="21">
        <f t="shared" si="46"/>
        <v>1</v>
      </c>
      <c r="D289" s="635"/>
      <c r="E289" s="21">
        <f t="shared" si="47"/>
        <v>1</v>
      </c>
      <c r="F289" s="635"/>
      <c r="G289" s="21">
        <f t="shared" si="48"/>
        <v>1</v>
      </c>
      <c r="H289" s="635"/>
      <c r="I289" s="21">
        <f t="shared" si="49"/>
        <v>1</v>
      </c>
      <c r="J289" s="635"/>
      <c r="K289" s="21">
        <f t="shared" si="50"/>
        <v>1</v>
      </c>
      <c r="L289" s="635"/>
      <c r="M289" s="21">
        <f t="shared" si="51"/>
        <v>1</v>
      </c>
      <c r="N289" s="635"/>
      <c r="O289" s="21">
        <f t="shared" si="52"/>
        <v>1</v>
      </c>
      <c r="P289" s="635"/>
      <c r="Q289" s="21">
        <f t="shared" si="53"/>
        <v>0</v>
      </c>
      <c r="R289" s="21">
        <f t="shared" si="54"/>
        <v>0</v>
      </c>
      <c r="S289" s="308">
        <f t="shared" si="45"/>
        <v>0</v>
      </c>
    </row>
    <row r="290" spans="1:19">
      <c r="A290" s="142"/>
      <c r="B290" s="52"/>
      <c r="C290" s="21">
        <f t="shared" si="46"/>
        <v>1</v>
      </c>
      <c r="D290" s="635"/>
      <c r="E290" s="21">
        <f t="shared" si="47"/>
        <v>1</v>
      </c>
      <c r="F290" s="635"/>
      <c r="G290" s="21">
        <f t="shared" si="48"/>
        <v>1</v>
      </c>
      <c r="H290" s="635"/>
      <c r="I290" s="21">
        <f t="shared" si="49"/>
        <v>1</v>
      </c>
      <c r="J290" s="635"/>
      <c r="K290" s="21">
        <f t="shared" si="50"/>
        <v>1</v>
      </c>
      <c r="L290" s="635"/>
      <c r="M290" s="21">
        <f t="shared" si="51"/>
        <v>1</v>
      </c>
      <c r="N290" s="635"/>
      <c r="O290" s="21">
        <f t="shared" si="52"/>
        <v>1</v>
      </c>
      <c r="P290" s="635"/>
      <c r="Q290" s="21">
        <f t="shared" si="53"/>
        <v>0</v>
      </c>
      <c r="R290" s="21">
        <f t="shared" si="54"/>
        <v>0</v>
      </c>
      <c r="S290" s="308">
        <f t="shared" si="45"/>
        <v>0</v>
      </c>
    </row>
    <row r="291" spans="1:19">
      <c r="A291" s="142"/>
      <c r="B291" s="52"/>
      <c r="C291" s="21">
        <f t="shared" si="46"/>
        <v>1</v>
      </c>
      <c r="D291" s="635"/>
      <c r="E291" s="21">
        <f t="shared" si="47"/>
        <v>1</v>
      </c>
      <c r="F291" s="635"/>
      <c r="G291" s="21">
        <f t="shared" si="48"/>
        <v>1</v>
      </c>
      <c r="H291" s="635"/>
      <c r="I291" s="21">
        <f t="shared" si="49"/>
        <v>1</v>
      </c>
      <c r="J291" s="635"/>
      <c r="K291" s="21">
        <f t="shared" si="50"/>
        <v>1</v>
      </c>
      <c r="L291" s="635"/>
      <c r="M291" s="21">
        <f t="shared" si="51"/>
        <v>1</v>
      </c>
      <c r="N291" s="635"/>
      <c r="O291" s="21">
        <f t="shared" si="52"/>
        <v>1</v>
      </c>
      <c r="P291" s="635"/>
      <c r="Q291" s="21">
        <f t="shared" si="53"/>
        <v>0</v>
      </c>
      <c r="R291" s="21">
        <f t="shared" si="54"/>
        <v>0</v>
      </c>
      <c r="S291" s="308">
        <f t="shared" si="45"/>
        <v>0</v>
      </c>
    </row>
    <row r="292" spans="1:19">
      <c r="A292" s="142"/>
      <c r="B292" s="52"/>
      <c r="C292" s="21">
        <f t="shared" si="46"/>
        <v>1</v>
      </c>
      <c r="D292" s="635"/>
      <c r="E292" s="21">
        <f t="shared" si="47"/>
        <v>1</v>
      </c>
      <c r="F292" s="635"/>
      <c r="G292" s="21">
        <f t="shared" si="48"/>
        <v>1</v>
      </c>
      <c r="H292" s="635"/>
      <c r="I292" s="21">
        <f t="shared" si="49"/>
        <v>1</v>
      </c>
      <c r="J292" s="635"/>
      <c r="K292" s="21">
        <f t="shared" si="50"/>
        <v>1</v>
      </c>
      <c r="L292" s="635"/>
      <c r="M292" s="21">
        <f t="shared" si="51"/>
        <v>1</v>
      </c>
      <c r="N292" s="635"/>
      <c r="O292" s="21">
        <f t="shared" si="52"/>
        <v>1</v>
      </c>
      <c r="P292" s="635"/>
      <c r="Q292" s="21">
        <f t="shared" si="53"/>
        <v>0</v>
      </c>
      <c r="R292" s="21">
        <f t="shared" si="54"/>
        <v>0</v>
      </c>
      <c r="S292" s="308">
        <f t="shared" si="45"/>
        <v>0</v>
      </c>
    </row>
    <row r="293" spans="1:19">
      <c r="A293" s="142"/>
      <c r="B293" s="52"/>
      <c r="C293" s="21">
        <f t="shared" si="46"/>
        <v>1</v>
      </c>
      <c r="D293" s="635"/>
      <c r="E293" s="21">
        <f t="shared" si="47"/>
        <v>1</v>
      </c>
      <c r="F293" s="635"/>
      <c r="G293" s="21">
        <f t="shared" si="48"/>
        <v>1</v>
      </c>
      <c r="H293" s="635"/>
      <c r="I293" s="21">
        <f t="shared" si="49"/>
        <v>1</v>
      </c>
      <c r="J293" s="635"/>
      <c r="K293" s="21">
        <f t="shared" si="50"/>
        <v>1</v>
      </c>
      <c r="L293" s="635"/>
      <c r="M293" s="21">
        <f t="shared" si="51"/>
        <v>1</v>
      </c>
      <c r="N293" s="635"/>
      <c r="O293" s="21">
        <f t="shared" si="52"/>
        <v>1</v>
      </c>
      <c r="P293" s="635"/>
      <c r="Q293" s="21">
        <f t="shared" si="53"/>
        <v>0</v>
      </c>
      <c r="R293" s="21">
        <f t="shared" si="54"/>
        <v>0</v>
      </c>
      <c r="S293" s="308">
        <f t="shared" si="45"/>
        <v>0</v>
      </c>
    </row>
    <row r="294" spans="1:19">
      <c r="A294" s="142"/>
      <c r="B294" s="52"/>
      <c r="C294" s="21">
        <f t="shared" si="46"/>
        <v>1</v>
      </c>
      <c r="D294" s="635"/>
      <c r="E294" s="21">
        <f t="shared" si="47"/>
        <v>1</v>
      </c>
      <c r="F294" s="635"/>
      <c r="G294" s="21">
        <f t="shared" si="48"/>
        <v>1</v>
      </c>
      <c r="H294" s="635"/>
      <c r="I294" s="21">
        <f t="shared" si="49"/>
        <v>1</v>
      </c>
      <c r="J294" s="635"/>
      <c r="K294" s="21">
        <f t="shared" si="50"/>
        <v>1</v>
      </c>
      <c r="L294" s="635"/>
      <c r="M294" s="21">
        <f t="shared" si="51"/>
        <v>1</v>
      </c>
      <c r="N294" s="635"/>
      <c r="O294" s="21">
        <f t="shared" si="52"/>
        <v>1</v>
      </c>
      <c r="P294" s="635"/>
      <c r="Q294" s="21">
        <f t="shared" si="53"/>
        <v>0</v>
      </c>
      <c r="R294" s="21">
        <f t="shared" si="54"/>
        <v>0</v>
      </c>
      <c r="S294" s="308">
        <f t="shared" si="45"/>
        <v>0</v>
      </c>
    </row>
    <row r="295" spans="1:19">
      <c r="A295" s="142"/>
      <c r="B295" s="52"/>
      <c r="C295" s="21">
        <f t="shared" si="46"/>
        <v>1</v>
      </c>
      <c r="D295" s="635"/>
      <c r="E295" s="21">
        <f t="shared" si="47"/>
        <v>1</v>
      </c>
      <c r="F295" s="635"/>
      <c r="G295" s="21">
        <f t="shared" si="48"/>
        <v>1</v>
      </c>
      <c r="H295" s="635"/>
      <c r="I295" s="21">
        <f t="shared" si="49"/>
        <v>1</v>
      </c>
      <c r="J295" s="635"/>
      <c r="K295" s="21">
        <f t="shared" si="50"/>
        <v>1</v>
      </c>
      <c r="L295" s="635"/>
      <c r="M295" s="21">
        <f t="shared" si="51"/>
        <v>1</v>
      </c>
      <c r="N295" s="635"/>
      <c r="O295" s="21">
        <f t="shared" si="52"/>
        <v>1</v>
      </c>
      <c r="P295" s="635"/>
      <c r="Q295" s="21">
        <f t="shared" si="53"/>
        <v>0</v>
      </c>
      <c r="R295" s="21">
        <f t="shared" si="54"/>
        <v>0</v>
      </c>
      <c r="S295" s="308">
        <f t="shared" si="45"/>
        <v>0</v>
      </c>
    </row>
    <row r="296" spans="1:19">
      <c r="A296" s="142"/>
      <c r="B296" s="52"/>
      <c r="C296" s="21">
        <f t="shared" si="46"/>
        <v>1</v>
      </c>
      <c r="D296" s="635"/>
      <c r="E296" s="21">
        <f t="shared" si="47"/>
        <v>1</v>
      </c>
      <c r="F296" s="635"/>
      <c r="G296" s="21">
        <f t="shared" si="48"/>
        <v>1</v>
      </c>
      <c r="H296" s="635"/>
      <c r="I296" s="21">
        <f t="shared" si="49"/>
        <v>1</v>
      </c>
      <c r="J296" s="635"/>
      <c r="K296" s="21">
        <f t="shared" si="50"/>
        <v>1</v>
      </c>
      <c r="L296" s="635"/>
      <c r="M296" s="21">
        <f t="shared" si="51"/>
        <v>1</v>
      </c>
      <c r="N296" s="635"/>
      <c r="O296" s="21">
        <f t="shared" si="52"/>
        <v>1</v>
      </c>
      <c r="P296" s="635"/>
      <c r="Q296" s="21">
        <f t="shared" si="53"/>
        <v>0</v>
      </c>
      <c r="R296" s="21">
        <f t="shared" si="54"/>
        <v>0</v>
      </c>
      <c r="S296" s="308">
        <f t="shared" si="45"/>
        <v>0</v>
      </c>
    </row>
    <row r="297" spans="1:19">
      <c r="A297" s="142"/>
      <c r="B297" s="52"/>
      <c r="C297" s="21">
        <f t="shared" si="46"/>
        <v>1</v>
      </c>
      <c r="D297" s="635"/>
      <c r="E297" s="21">
        <f t="shared" si="47"/>
        <v>1</v>
      </c>
      <c r="F297" s="635"/>
      <c r="G297" s="21">
        <f t="shared" si="48"/>
        <v>1</v>
      </c>
      <c r="H297" s="635"/>
      <c r="I297" s="21">
        <f t="shared" si="49"/>
        <v>1</v>
      </c>
      <c r="J297" s="635"/>
      <c r="K297" s="21">
        <f t="shared" si="50"/>
        <v>1</v>
      </c>
      <c r="L297" s="635"/>
      <c r="M297" s="21">
        <f t="shared" si="51"/>
        <v>1</v>
      </c>
      <c r="N297" s="635"/>
      <c r="O297" s="21">
        <f t="shared" si="52"/>
        <v>1</v>
      </c>
      <c r="P297" s="635"/>
      <c r="Q297" s="21">
        <f t="shared" si="53"/>
        <v>0</v>
      </c>
      <c r="R297" s="21">
        <f t="shared" si="54"/>
        <v>0</v>
      </c>
      <c r="S297" s="308">
        <f t="shared" si="45"/>
        <v>0</v>
      </c>
    </row>
    <row r="298" spans="1:19">
      <c r="A298" s="142"/>
      <c r="B298" s="52"/>
      <c r="C298" s="21">
        <f t="shared" si="46"/>
        <v>1</v>
      </c>
      <c r="D298" s="635"/>
      <c r="E298" s="21">
        <f t="shared" si="47"/>
        <v>1</v>
      </c>
      <c r="F298" s="635"/>
      <c r="G298" s="21">
        <f t="shared" si="48"/>
        <v>1</v>
      </c>
      <c r="H298" s="635"/>
      <c r="I298" s="21">
        <f t="shared" si="49"/>
        <v>1</v>
      </c>
      <c r="J298" s="635"/>
      <c r="K298" s="21">
        <f t="shared" si="50"/>
        <v>1</v>
      </c>
      <c r="L298" s="635"/>
      <c r="M298" s="21">
        <f t="shared" si="51"/>
        <v>1</v>
      </c>
      <c r="N298" s="635"/>
      <c r="O298" s="21">
        <f t="shared" si="52"/>
        <v>1</v>
      </c>
      <c r="P298" s="635"/>
      <c r="Q298" s="21">
        <f t="shared" si="53"/>
        <v>0</v>
      </c>
      <c r="R298" s="21">
        <f t="shared" si="54"/>
        <v>0</v>
      </c>
      <c r="S298" s="308">
        <f t="shared" si="45"/>
        <v>0</v>
      </c>
    </row>
    <row r="299" spans="1:19">
      <c r="A299" s="142"/>
      <c r="B299" s="52"/>
      <c r="C299" s="21">
        <f t="shared" si="46"/>
        <v>1</v>
      </c>
      <c r="D299" s="635"/>
      <c r="E299" s="21">
        <f t="shared" si="47"/>
        <v>1</v>
      </c>
      <c r="F299" s="635"/>
      <c r="G299" s="21">
        <f t="shared" si="48"/>
        <v>1</v>
      </c>
      <c r="H299" s="635"/>
      <c r="I299" s="21">
        <f t="shared" si="49"/>
        <v>1</v>
      </c>
      <c r="J299" s="635"/>
      <c r="K299" s="21">
        <f t="shared" si="50"/>
        <v>1</v>
      </c>
      <c r="L299" s="635"/>
      <c r="M299" s="21">
        <f t="shared" si="51"/>
        <v>1</v>
      </c>
      <c r="N299" s="635"/>
      <c r="O299" s="21">
        <f t="shared" si="52"/>
        <v>1</v>
      </c>
      <c r="P299" s="635"/>
      <c r="Q299" s="21">
        <f t="shared" si="53"/>
        <v>0</v>
      </c>
      <c r="R299" s="21">
        <f t="shared" si="54"/>
        <v>0</v>
      </c>
      <c r="S299" s="308">
        <f t="shared" si="45"/>
        <v>0</v>
      </c>
    </row>
    <row r="300" spans="1:19">
      <c r="A300" s="142"/>
      <c r="B300" s="52"/>
      <c r="C300" s="21">
        <f t="shared" si="46"/>
        <v>1</v>
      </c>
      <c r="D300" s="635"/>
      <c r="E300" s="21">
        <f t="shared" si="47"/>
        <v>1</v>
      </c>
      <c r="F300" s="635"/>
      <c r="G300" s="21">
        <f t="shared" si="48"/>
        <v>1</v>
      </c>
      <c r="H300" s="635"/>
      <c r="I300" s="21">
        <f t="shared" si="49"/>
        <v>1</v>
      </c>
      <c r="J300" s="635"/>
      <c r="K300" s="21">
        <f t="shared" si="50"/>
        <v>1</v>
      </c>
      <c r="L300" s="635"/>
      <c r="M300" s="21">
        <f t="shared" si="51"/>
        <v>1</v>
      </c>
      <c r="N300" s="635"/>
      <c r="O300" s="21">
        <f t="shared" si="52"/>
        <v>1</v>
      </c>
      <c r="P300" s="635"/>
      <c r="Q300" s="21">
        <f t="shared" si="53"/>
        <v>0</v>
      </c>
      <c r="R300" s="21">
        <f t="shared" si="54"/>
        <v>0</v>
      </c>
      <c r="S300" s="308">
        <f t="shared" si="45"/>
        <v>0</v>
      </c>
    </row>
    <row r="301" spans="1:19">
      <c r="A301" s="142"/>
      <c r="B301" s="52"/>
      <c r="C301" s="21">
        <f t="shared" si="46"/>
        <v>1</v>
      </c>
      <c r="D301" s="635"/>
      <c r="E301" s="21">
        <f t="shared" si="47"/>
        <v>1</v>
      </c>
      <c r="F301" s="635"/>
      <c r="G301" s="21">
        <f t="shared" si="48"/>
        <v>1</v>
      </c>
      <c r="H301" s="635"/>
      <c r="I301" s="21">
        <f t="shared" si="49"/>
        <v>1</v>
      </c>
      <c r="J301" s="635"/>
      <c r="K301" s="21">
        <f t="shared" si="50"/>
        <v>1</v>
      </c>
      <c r="L301" s="635"/>
      <c r="M301" s="21">
        <f t="shared" si="51"/>
        <v>1</v>
      </c>
      <c r="N301" s="635"/>
      <c r="O301" s="21">
        <f t="shared" si="52"/>
        <v>1</v>
      </c>
      <c r="P301" s="635"/>
      <c r="Q301" s="21">
        <f t="shared" si="53"/>
        <v>0</v>
      </c>
      <c r="R301" s="21">
        <f t="shared" si="54"/>
        <v>0</v>
      </c>
      <c r="S301" s="308">
        <f t="shared" si="45"/>
        <v>0</v>
      </c>
    </row>
    <row r="302" spans="1:19">
      <c r="A302" s="142"/>
      <c r="B302" s="52"/>
      <c r="C302" s="21">
        <f t="shared" si="46"/>
        <v>1</v>
      </c>
      <c r="D302" s="635"/>
      <c r="E302" s="21">
        <f t="shared" si="47"/>
        <v>1</v>
      </c>
      <c r="F302" s="635"/>
      <c r="G302" s="21">
        <f t="shared" si="48"/>
        <v>1</v>
      </c>
      <c r="H302" s="635"/>
      <c r="I302" s="21">
        <f t="shared" si="49"/>
        <v>1</v>
      </c>
      <c r="J302" s="635"/>
      <c r="K302" s="21">
        <f t="shared" si="50"/>
        <v>1</v>
      </c>
      <c r="L302" s="635"/>
      <c r="M302" s="21">
        <f t="shared" si="51"/>
        <v>1</v>
      </c>
      <c r="N302" s="635"/>
      <c r="O302" s="21">
        <f t="shared" si="52"/>
        <v>1</v>
      </c>
      <c r="P302" s="635"/>
      <c r="Q302" s="21">
        <f t="shared" si="53"/>
        <v>0</v>
      </c>
      <c r="R302" s="21">
        <f t="shared" si="54"/>
        <v>0</v>
      </c>
      <c r="S302" s="308">
        <f t="shared" si="45"/>
        <v>0</v>
      </c>
    </row>
    <row r="303" spans="1:19">
      <c r="A303" s="142"/>
      <c r="B303" s="52"/>
      <c r="C303" s="21">
        <f t="shared" si="46"/>
        <v>1</v>
      </c>
      <c r="D303" s="635"/>
      <c r="E303" s="21">
        <f t="shared" si="47"/>
        <v>1</v>
      </c>
      <c r="F303" s="635"/>
      <c r="G303" s="21">
        <f t="shared" si="48"/>
        <v>1</v>
      </c>
      <c r="H303" s="635"/>
      <c r="I303" s="21">
        <f t="shared" si="49"/>
        <v>1</v>
      </c>
      <c r="J303" s="635"/>
      <c r="K303" s="21">
        <f t="shared" si="50"/>
        <v>1</v>
      </c>
      <c r="L303" s="635"/>
      <c r="M303" s="21">
        <f t="shared" si="51"/>
        <v>1</v>
      </c>
      <c r="N303" s="635"/>
      <c r="O303" s="21">
        <f t="shared" si="52"/>
        <v>1</v>
      </c>
      <c r="P303" s="635"/>
      <c r="Q303" s="21">
        <f t="shared" si="53"/>
        <v>0</v>
      </c>
      <c r="R303" s="21">
        <f t="shared" si="54"/>
        <v>0</v>
      </c>
      <c r="S303" s="308">
        <f t="shared" si="45"/>
        <v>0</v>
      </c>
    </row>
    <row r="304" spans="1:19">
      <c r="A304" s="142"/>
      <c r="B304" s="52"/>
      <c r="C304" s="21">
        <f t="shared" si="46"/>
        <v>1</v>
      </c>
      <c r="D304" s="635"/>
      <c r="E304" s="21">
        <f t="shared" si="47"/>
        <v>1</v>
      </c>
      <c r="F304" s="635"/>
      <c r="G304" s="21">
        <f t="shared" si="48"/>
        <v>1</v>
      </c>
      <c r="H304" s="635"/>
      <c r="I304" s="21">
        <f t="shared" si="49"/>
        <v>1</v>
      </c>
      <c r="J304" s="635"/>
      <c r="K304" s="21">
        <f t="shared" si="50"/>
        <v>1</v>
      </c>
      <c r="L304" s="635"/>
      <c r="M304" s="21">
        <f t="shared" si="51"/>
        <v>1</v>
      </c>
      <c r="N304" s="635"/>
      <c r="O304" s="21">
        <f t="shared" si="52"/>
        <v>1</v>
      </c>
      <c r="P304" s="635"/>
      <c r="Q304" s="21">
        <f t="shared" si="53"/>
        <v>0</v>
      </c>
      <c r="R304" s="21">
        <f t="shared" si="54"/>
        <v>0</v>
      </c>
      <c r="S304" s="308">
        <f t="shared" si="45"/>
        <v>0</v>
      </c>
    </row>
    <row r="305" spans="1:19">
      <c r="A305" s="142"/>
      <c r="B305" s="52"/>
      <c r="C305" s="21">
        <f t="shared" si="46"/>
        <v>1</v>
      </c>
      <c r="D305" s="635"/>
      <c r="E305" s="21">
        <f t="shared" si="47"/>
        <v>1</v>
      </c>
      <c r="F305" s="635"/>
      <c r="G305" s="21">
        <f t="shared" si="48"/>
        <v>1</v>
      </c>
      <c r="H305" s="635"/>
      <c r="I305" s="21">
        <f t="shared" si="49"/>
        <v>1</v>
      </c>
      <c r="J305" s="635"/>
      <c r="K305" s="21">
        <f t="shared" si="50"/>
        <v>1</v>
      </c>
      <c r="L305" s="635"/>
      <c r="M305" s="21">
        <f t="shared" si="51"/>
        <v>1</v>
      </c>
      <c r="N305" s="635"/>
      <c r="O305" s="21">
        <f t="shared" si="52"/>
        <v>1</v>
      </c>
      <c r="P305" s="635"/>
      <c r="Q305" s="21">
        <f t="shared" si="53"/>
        <v>0</v>
      </c>
      <c r="R305" s="21">
        <f t="shared" si="54"/>
        <v>0</v>
      </c>
      <c r="S305" s="308">
        <f t="shared" si="45"/>
        <v>0</v>
      </c>
    </row>
    <row r="306" spans="1:19">
      <c r="A306" s="142"/>
      <c r="B306" s="52"/>
      <c r="C306" s="21">
        <f t="shared" si="46"/>
        <v>1</v>
      </c>
      <c r="D306" s="635"/>
      <c r="E306" s="21">
        <f t="shared" si="47"/>
        <v>1</v>
      </c>
      <c r="F306" s="635"/>
      <c r="G306" s="21">
        <f t="shared" si="48"/>
        <v>1</v>
      </c>
      <c r="H306" s="635"/>
      <c r="I306" s="21">
        <f t="shared" si="49"/>
        <v>1</v>
      </c>
      <c r="J306" s="635"/>
      <c r="K306" s="21">
        <f t="shared" si="50"/>
        <v>1</v>
      </c>
      <c r="L306" s="635"/>
      <c r="M306" s="21">
        <f t="shared" si="51"/>
        <v>1</v>
      </c>
      <c r="N306" s="635"/>
      <c r="O306" s="21">
        <f t="shared" si="52"/>
        <v>1</v>
      </c>
      <c r="P306" s="635"/>
      <c r="Q306" s="21">
        <f t="shared" si="53"/>
        <v>0</v>
      </c>
      <c r="R306" s="21">
        <f t="shared" si="54"/>
        <v>0</v>
      </c>
      <c r="S306" s="308">
        <f t="shared" si="45"/>
        <v>0</v>
      </c>
    </row>
    <row r="307" spans="1:19">
      <c r="A307" s="142"/>
      <c r="B307" s="52"/>
      <c r="C307" s="21">
        <f t="shared" si="46"/>
        <v>1</v>
      </c>
      <c r="D307" s="635"/>
      <c r="E307" s="21">
        <f t="shared" si="47"/>
        <v>1</v>
      </c>
      <c r="F307" s="635"/>
      <c r="G307" s="21">
        <f t="shared" si="48"/>
        <v>1</v>
      </c>
      <c r="H307" s="635"/>
      <c r="I307" s="21">
        <f t="shared" si="49"/>
        <v>1</v>
      </c>
      <c r="J307" s="635"/>
      <c r="K307" s="21">
        <f t="shared" si="50"/>
        <v>1</v>
      </c>
      <c r="L307" s="635"/>
      <c r="M307" s="21">
        <f t="shared" si="51"/>
        <v>1</v>
      </c>
      <c r="N307" s="635"/>
      <c r="O307" s="21">
        <f t="shared" si="52"/>
        <v>1</v>
      </c>
      <c r="P307" s="635"/>
      <c r="Q307" s="21">
        <f t="shared" si="53"/>
        <v>0</v>
      </c>
      <c r="R307" s="21">
        <f t="shared" si="54"/>
        <v>0</v>
      </c>
      <c r="S307" s="308">
        <f t="shared" si="45"/>
        <v>0</v>
      </c>
    </row>
    <row r="308" spans="1:19">
      <c r="A308" s="142"/>
      <c r="B308" s="52"/>
      <c r="C308" s="21">
        <f t="shared" si="46"/>
        <v>1</v>
      </c>
      <c r="D308" s="635"/>
      <c r="E308" s="21">
        <f t="shared" si="47"/>
        <v>1</v>
      </c>
      <c r="F308" s="635"/>
      <c r="G308" s="21">
        <f t="shared" si="48"/>
        <v>1</v>
      </c>
      <c r="H308" s="635"/>
      <c r="I308" s="21">
        <f t="shared" si="49"/>
        <v>1</v>
      </c>
      <c r="J308" s="635"/>
      <c r="K308" s="21">
        <f t="shared" si="50"/>
        <v>1</v>
      </c>
      <c r="L308" s="635"/>
      <c r="M308" s="21">
        <f t="shared" si="51"/>
        <v>1</v>
      </c>
      <c r="N308" s="635"/>
      <c r="O308" s="21">
        <f t="shared" si="52"/>
        <v>1</v>
      </c>
      <c r="P308" s="635"/>
      <c r="Q308" s="21">
        <f t="shared" si="53"/>
        <v>0</v>
      </c>
      <c r="R308" s="21">
        <f t="shared" si="54"/>
        <v>0</v>
      </c>
      <c r="S308" s="308">
        <f t="shared" si="45"/>
        <v>0</v>
      </c>
    </row>
    <row r="309" spans="1:19">
      <c r="A309" s="142"/>
      <c r="B309" s="52"/>
      <c r="C309" s="21">
        <f t="shared" si="46"/>
        <v>1</v>
      </c>
      <c r="D309" s="635"/>
      <c r="E309" s="21">
        <f t="shared" si="47"/>
        <v>1</v>
      </c>
      <c r="F309" s="635"/>
      <c r="G309" s="21">
        <f t="shared" si="48"/>
        <v>1</v>
      </c>
      <c r="H309" s="635"/>
      <c r="I309" s="21">
        <f t="shared" si="49"/>
        <v>1</v>
      </c>
      <c r="J309" s="635"/>
      <c r="K309" s="21">
        <f t="shared" si="50"/>
        <v>1</v>
      </c>
      <c r="L309" s="635"/>
      <c r="M309" s="21">
        <f t="shared" si="51"/>
        <v>1</v>
      </c>
      <c r="N309" s="635"/>
      <c r="O309" s="21">
        <f t="shared" si="52"/>
        <v>1</v>
      </c>
      <c r="P309" s="635"/>
      <c r="Q309" s="21">
        <f t="shared" si="53"/>
        <v>0</v>
      </c>
      <c r="R309" s="21">
        <f t="shared" si="54"/>
        <v>0</v>
      </c>
      <c r="S309" s="308">
        <f t="shared" si="45"/>
        <v>0</v>
      </c>
    </row>
    <row r="310" spans="1:19">
      <c r="A310" s="142"/>
      <c r="B310" s="52"/>
      <c r="C310" s="21">
        <f t="shared" si="46"/>
        <v>1</v>
      </c>
      <c r="D310" s="635"/>
      <c r="E310" s="21">
        <f t="shared" si="47"/>
        <v>1</v>
      </c>
      <c r="F310" s="635"/>
      <c r="G310" s="21">
        <f t="shared" si="48"/>
        <v>1</v>
      </c>
      <c r="H310" s="635"/>
      <c r="I310" s="21">
        <f t="shared" si="49"/>
        <v>1</v>
      </c>
      <c r="J310" s="635"/>
      <c r="K310" s="21">
        <f t="shared" si="50"/>
        <v>1</v>
      </c>
      <c r="L310" s="635"/>
      <c r="M310" s="21">
        <f t="shared" si="51"/>
        <v>1</v>
      </c>
      <c r="N310" s="635"/>
      <c r="O310" s="21">
        <f t="shared" si="52"/>
        <v>1</v>
      </c>
      <c r="P310" s="635"/>
      <c r="Q310" s="21">
        <f t="shared" si="53"/>
        <v>0</v>
      </c>
      <c r="R310" s="21">
        <f t="shared" si="54"/>
        <v>0</v>
      </c>
      <c r="S310" s="308">
        <f t="shared" si="45"/>
        <v>0</v>
      </c>
    </row>
    <row r="311" spans="1:19">
      <c r="A311" s="142"/>
      <c r="B311" s="52"/>
      <c r="C311" s="21">
        <f t="shared" si="46"/>
        <v>1</v>
      </c>
      <c r="D311" s="635"/>
      <c r="E311" s="21">
        <f t="shared" si="47"/>
        <v>1</v>
      </c>
      <c r="F311" s="635"/>
      <c r="G311" s="21">
        <f t="shared" si="48"/>
        <v>1</v>
      </c>
      <c r="H311" s="635"/>
      <c r="I311" s="21">
        <f t="shared" si="49"/>
        <v>1</v>
      </c>
      <c r="J311" s="635"/>
      <c r="K311" s="21">
        <f t="shared" si="50"/>
        <v>1</v>
      </c>
      <c r="L311" s="635"/>
      <c r="M311" s="21">
        <f t="shared" si="51"/>
        <v>1</v>
      </c>
      <c r="N311" s="635"/>
      <c r="O311" s="21">
        <f t="shared" si="52"/>
        <v>1</v>
      </c>
      <c r="P311" s="635"/>
      <c r="Q311" s="21">
        <f t="shared" si="53"/>
        <v>0</v>
      </c>
      <c r="R311" s="21">
        <f t="shared" si="54"/>
        <v>0</v>
      </c>
      <c r="S311" s="308">
        <f t="shared" si="45"/>
        <v>0</v>
      </c>
    </row>
    <row r="312" spans="1:19">
      <c r="A312" s="142"/>
      <c r="B312" s="52"/>
      <c r="C312" s="21">
        <f t="shared" si="46"/>
        <v>1</v>
      </c>
      <c r="D312" s="635"/>
      <c r="E312" s="21">
        <f t="shared" si="47"/>
        <v>1</v>
      </c>
      <c r="F312" s="635"/>
      <c r="G312" s="21">
        <f t="shared" si="48"/>
        <v>1</v>
      </c>
      <c r="H312" s="635"/>
      <c r="I312" s="21">
        <f t="shared" si="49"/>
        <v>1</v>
      </c>
      <c r="J312" s="635"/>
      <c r="K312" s="21">
        <f t="shared" si="50"/>
        <v>1</v>
      </c>
      <c r="L312" s="635"/>
      <c r="M312" s="21">
        <f t="shared" si="51"/>
        <v>1</v>
      </c>
      <c r="N312" s="635"/>
      <c r="O312" s="21">
        <f t="shared" si="52"/>
        <v>1</v>
      </c>
      <c r="P312" s="635"/>
      <c r="Q312" s="21">
        <f t="shared" si="53"/>
        <v>0</v>
      </c>
      <c r="R312" s="21">
        <f t="shared" si="54"/>
        <v>0</v>
      </c>
      <c r="S312" s="308">
        <f t="shared" si="45"/>
        <v>0</v>
      </c>
    </row>
    <row r="313" spans="1:19">
      <c r="A313" s="142"/>
      <c r="B313" s="52"/>
      <c r="C313" s="21">
        <f t="shared" si="46"/>
        <v>1</v>
      </c>
      <c r="D313" s="635"/>
      <c r="E313" s="21">
        <f t="shared" si="47"/>
        <v>1</v>
      </c>
      <c r="F313" s="635"/>
      <c r="G313" s="21">
        <f t="shared" si="48"/>
        <v>1</v>
      </c>
      <c r="H313" s="635"/>
      <c r="I313" s="21">
        <f t="shared" si="49"/>
        <v>1</v>
      </c>
      <c r="J313" s="635"/>
      <c r="K313" s="21">
        <f t="shared" si="50"/>
        <v>1</v>
      </c>
      <c r="L313" s="635"/>
      <c r="M313" s="21">
        <f t="shared" si="51"/>
        <v>1</v>
      </c>
      <c r="N313" s="635"/>
      <c r="O313" s="21">
        <f t="shared" si="52"/>
        <v>1</v>
      </c>
      <c r="P313" s="635"/>
      <c r="Q313" s="21">
        <f t="shared" si="53"/>
        <v>0</v>
      </c>
      <c r="R313" s="21">
        <f t="shared" si="54"/>
        <v>0</v>
      </c>
      <c r="S313" s="308">
        <f t="shared" si="45"/>
        <v>0</v>
      </c>
    </row>
    <row r="314" spans="1:19">
      <c r="A314" s="142"/>
      <c r="B314" s="52"/>
      <c r="C314" s="21">
        <f t="shared" si="46"/>
        <v>1</v>
      </c>
      <c r="D314" s="635"/>
      <c r="E314" s="21">
        <f t="shared" si="47"/>
        <v>1</v>
      </c>
      <c r="F314" s="635"/>
      <c r="G314" s="21">
        <f t="shared" si="48"/>
        <v>1</v>
      </c>
      <c r="H314" s="635"/>
      <c r="I314" s="21">
        <f t="shared" si="49"/>
        <v>1</v>
      </c>
      <c r="J314" s="635"/>
      <c r="K314" s="21">
        <f t="shared" si="50"/>
        <v>1</v>
      </c>
      <c r="L314" s="635"/>
      <c r="M314" s="21">
        <f t="shared" si="51"/>
        <v>1</v>
      </c>
      <c r="N314" s="635"/>
      <c r="O314" s="21">
        <f t="shared" si="52"/>
        <v>1</v>
      </c>
      <c r="P314" s="635"/>
      <c r="Q314" s="21">
        <f t="shared" si="53"/>
        <v>0</v>
      </c>
      <c r="R314" s="21">
        <f t="shared" si="54"/>
        <v>0</v>
      </c>
      <c r="S314" s="308">
        <f t="shared" si="45"/>
        <v>0</v>
      </c>
    </row>
    <row r="315" spans="1:19">
      <c r="A315" s="142"/>
      <c r="B315" s="52"/>
      <c r="C315" s="21">
        <f t="shared" si="46"/>
        <v>1</v>
      </c>
      <c r="D315" s="635"/>
      <c r="E315" s="21">
        <f t="shared" si="47"/>
        <v>1</v>
      </c>
      <c r="F315" s="635"/>
      <c r="G315" s="21">
        <f t="shared" si="48"/>
        <v>1</v>
      </c>
      <c r="H315" s="635"/>
      <c r="I315" s="21">
        <f t="shared" si="49"/>
        <v>1</v>
      </c>
      <c r="J315" s="635"/>
      <c r="K315" s="21">
        <f t="shared" si="50"/>
        <v>1</v>
      </c>
      <c r="L315" s="635"/>
      <c r="M315" s="21">
        <f t="shared" si="51"/>
        <v>1</v>
      </c>
      <c r="N315" s="635"/>
      <c r="O315" s="21">
        <f t="shared" si="52"/>
        <v>1</v>
      </c>
      <c r="P315" s="635"/>
      <c r="Q315" s="21">
        <f t="shared" si="53"/>
        <v>0</v>
      </c>
      <c r="R315" s="21">
        <f t="shared" si="54"/>
        <v>0</v>
      </c>
      <c r="S315" s="308">
        <f t="shared" si="45"/>
        <v>0</v>
      </c>
    </row>
    <row r="316" spans="1:19">
      <c r="A316" s="142"/>
      <c r="B316" s="52"/>
      <c r="C316" s="21">
        <f t="shared" si="46"/>
        <v>1</v>
      </c>
      <c r="D316" s="635"/>
      <c r="E316" s="21">
        <f t="shared" si="47"/>
        <v>1</v>
      </c>
      <c r="F316" s="635"/>
      <c r="G316" s="21">
        <f t="shared" si="48"/>
        <v>1</v>
      </c>
      <c r="H316" s="635"/>
      <c r="I316" s="21">
        <f t="shared" si="49"/>
        <v>1</v>
      </c>
      <c r="J316" s="635"/>
      <c r="K316" s="21">
        <f t="shared" si="50"/>
        <v>1</v>
      </c>
      <c r="L316" s="635"/>
      <c r="M316" s="21">
        <f t="shared" si="51"/>
        <v>1</v>
      </c>
      <c r="N316" s="635"/>
      <c r="O316" s="21">
        <f t="shared" si="52"/>
        <v>1</v>
      </c>
      <c r="P316" s="635"/>
      <c r="Q316" s="21">
        <f t="shared" si="53"/>
        <v>0</v>
      </c>
      <c r="R316" s="21">
        <f t="shared" si="54"/>
        <v>0</v>
      </c>
      <c r="S316" s="308">
        <f t="shared" si="45"/>
        <v>0</v>
      </c>
    </row>
    <row r="317" spans="1:19">
      <c r="A317" s="142"/>
      <c r="B317" s="52"/>
      <c r="C317" s="21">
        <f t="shared" si="46"/>
        <v>1</v>
      </c>
      <c r="D317" s="635"/>
      <c r="E317" s="21">
        <f t="shared" si="47"/>
        <v>1</v>
      </c>
      <c r="F317" s="635"/>
      <c r="G317" s="21">
        <f t="shared" si="48"/>
        <v>1</v>
      </c>
      <c r="H317" s="635"/>
      <c r="I317" s="21">
        <f t="shared" si="49"/>
        <v>1</v>
      </c>
      <c r="J317" s="635"/>
      <c r="K317" s="21">
        <f t="shared" si="50"/>
        <v>1</v>
      </c>
      <c r="L317" s="635"/>
      <c r="M317" s="21">
        <f t="shared" si="51"/>
        <v>1</v>
      </c>
      <c r="N317" s="635"/>
      <c r="O317" s="21">
        <f t="shared" si="52"/>
        <v>1</v>
      </c>
      <c r="P317" s="635"/>
      <c r="Q317" s="21">
        <f t="shared" si="53"/>
        <v>0</v>
      </c>
      <c r="R317" s="21">
        <f t="shared" si="54"/>
        <v>0</v>
      </c>
      <c r="S317" s="308">
        <f t="shared" si="45"/>
        <v>0</v>
      </c>
    </row>
    <row r="318" spans="1:19">
      <c r="A318" s="142"/>
      <c r="B318" s="52"/>
      <c r="C318" s="21">
        <f t="shared" si="46"/>
        <v>1</v>
      </c>
      <c r="D318" s="635"/>
      <c r="E318" s="21">
        <f t="shared" si="47"/>
        <v>1</v>
      </c>
      <c r="F318" s="635"/>
      <c r="G318" s="21">
        <f t="shared" si="48"/>
        <v>1</v>
      </c>
      <c r="H318" s="635"/>
      <c r="I318" s="21">
        <f t="shared" si="49"/>
        <v>1</v>
      </c>
      <c r="J318" s="635"/>
      <c r="K318" s="21">
        <f t="shared" si="50"/>
        <v>1</v>
      </c>
      <c r="L318" s="635"/>
      <c r="M318" s="21">
        <f t="shared" si="51"/>
        <v>1</v>
      </c>
      <c r="N318" s="635"/>
      <c r="O318" s="21">
        <f t="shared" si="52"/>
        <v>1</v>
      </c>
      <c r="P318" s="635"/>
      <c r="Q318" s="21">
        <f t="shared" si="53"/>
        <v>0</v>
      </c>
      <c r="R318" s="21">
        <f t="shared" si="54"/>
        <v>0</v>
      </c>
      <c r="S318" s="308">
        <f t="shared" si="45"/>
        <v>0</v>
      </c>
    </row>
    <row r="319" spans="1:19">
      <c r="A319" s="142"/>
      <c r="B319" s="52"/>
      <c r="C319" s="21">
        <f t="shared" si="46"/>
        <v>1</v>
      </c>
      <c r="D319" s="635"/>
      <c r="E319" s="21">
        <f t="shared" si="47"/>
        <v>1</v>
      </c>
      <c r="F319" s="635"/>
      <c r="G319" s="21">
        <f t="shared" si="48"/>
        <v>1</v>
      </c>
      <c r="H319" s="635"/>
      <c r="I319" s="21">
        <f t="shared" si="49"/>
        <v>1</v>
      </c>
      <c r="J319" s="635"/>
      <c r="K319" s="21">
        <f t="shared" si="50"/>
        <v>1</v>
      </c>
      <c r="L319" s="635"/>
      <c r="M319" s="21">
        <f t="shared" si="51"/>
        <v>1</v>
      </c>
      <c r="N319" s="635"/>
      <c r="O319" s="21">
        <f t="shared" si="52"/>
        <v>1</v>
      </c>
      <c r="P319" s="635"/>
      <c r="Q319" s="21">
        <f t="shared" si="53"/>
        <v>0</v>
      </c>
      <c r="R319" s="21">
        <f t="shared" si="54"/>
        <v>0</v>
      </c>
      <c r="S319" s="308">
        <f t="shared" si="45"/>
        <v>0</v>
      </c>
    </row>
    <row r="320" spans="1:19">
      <c r="A320" s="142"/>
      <c r="B320" s="52"/>
      <c r="C320" s="21">
        <f t="shared" si="46"/>
        <v>1</v>
      </c>
      <c r="D320" s="635"/>
      <c r="E320" s="21">
        <f t="shared" si="47"/>
        <v>1</v>
      </c>
      <c r="F320" s="635"/>
      <c r="G320" s="21">
        <f t="shared" si="48"/>
        <v>1</v>
      </c>
      <c r="H320" s="635"/>
      <c r="I320" s="21">
        <f t="shared" si="49"/>
        <v>1</v>
      </c>
      <c r="J320" s="635"/>
      <c r="K320" s="21">
        <f t="shared" si="50"/>
        <v>1</v>
      </c>
      <c r="L320" s="635"/>
      <c r="M320" s="21">
        <f t="shared" si="51"/>
        <v>1</v>
      </c>
      <c r="N320" s="635"/>
      <c r="O320" s="21">
        <f t="shared" si="52"/>
        <v>1</v>
      </c>
      <c r="P320" s="635"/>
      <c r="Q320" s="21">
        <f t="shared" si="53"/>
        <v>0</v>
      </c>
      <c r="R320" s="21">
        <f t="shared" si="54"/>
        <v>0</v>
      </c>
      <c r="S320" s="308">
        <f t="shared" si="45"/>
        <v>0</v>
      </c>
    </row>
    <row r="321" spans="1:19">
      <c r="A321" s="142"/>
      <c r="B321" s="52"/>
      <c r="C321" s="21">
        <f t="shared" si="46"/>
        <v>1</v>
      </c>
      <c r="D321" s="635"/>
      <c r="E321" s="21">
        <f t="shared" si="47"/>
        <v>1</v>
      </c>
      <c r="F321" s="635"/>
      <c r="G321" s="21">
        <f t="shared" si="48"/>
        <v>1</v>
      </c>
      <c r="H321" s="635"/>
      <c r="I321" s="21">
        <f t="shared" si="49"/>
        <v>1</v>
      </c>
      <c r="J321" s="635"/>
      <c r="K321" s="21">
        <f t="shared" si="50"/>
        <v>1</v>
      </c>
      <c r="L321" s="635"/>
      <c r="M321" s="21">
        <f t="shared" si="51"/>
        <v>1</v>
      </c>
      <c r="N321" s="635"/>
      <c r="O321" s="21">
        <f t="shared" si="52"/>
        <v>1</v>
      </c>
      <c r="P321" s="635"/>
      <c r="Q321" s="21">
        <f t="shared" si="53"/>
        <v>0</v>
      </c>
      <c r="R321" s="21">
        <f t="shared" si="54"/>
        <v>0</v>
      </c>
      <c r="S321" s="308">
        <f t="shared" si="45"/>
        <v>0</v>
      </c>
    </row>
    <row r="322" spans="1:19">
      <c r="A322" s="142"/>
      <c r="B322" s="52"/>
      <c r="C322" s="21">
        <f t="shared" si="46"/>
        <v>1</v>
      </c>
      <c r="D322" s="635"/>
      <c r="E322" s="21">
        <f t="shared" si="47"/>
        <v>1</v>
      </c>
      <c r="F322" s="635"/>
      <c r="G322" s="21">
        <f t="shared" si="48"/>
        <v>1</v>
      </c>
      <c r="H322" s="635"/>
      <c r="I322" s="21">
        <f t="shared" si="49"/>
        <v>1</v>
      </c>
      <c r="J322" s="635"/>
      <c r="K322" s="21">
        <f t="shared" si="50"/>
        <v>1</v>
      </c>
      <c r="L322" s="635"/>
      <c r="M322" s="21">
        <f t="shared" si="51"/>
        <v>1</v>
      </c>
      <c r="N322" s="635"/>
      <c r="O322" s="21">
        <f t="shared" si="52"/>
        <v>1</v>
      </c>
      <c r="P322" s="635"/>
      <c r="Q322" s="21">
        <f t="shared" si="53"/>
        <v>0</v>
      </c>
      <c r="R322" s="21">
        <f t="shared" si="54"/>
        <v>0</v>
      </c>
      <c r="S322" s="308">
        <f t="shared" si="45"/>
        <v>0</v>
      </c>
    </row>
    <row r="323" spans="1:19">
      <c r="A323" s="142"/>
      <c r="B323" s="52"/>
      <c r="C323" s="21">
        <f t="shared" si="46"/>
        <v>1</v>
      </c>
      <c r="D323" s="635"/>
      <c r="E323" s="21">
        <f t="shared" si="47"/>
        <v>1</v>
      </c>
      <c r="F323" s="635"/>
      <c r="G323" s="21">
        <f t="shared" si="48"/>
        <v>1</v>
      </c>
      <c r="H323" s="635"/>
      <c r="I323" s="21">
        <f t="shared" si="49"/>
        <v>1</v>
      </c>
      <c r="J323" s="635"/>
      <c r="K323" s="21">
        <f t="shared" si="50"/>
        <v>1</v>
      </c>
      <c r="L323" s="635"/>
      <c r="M323" s="21">
        <f t="shared" si="51"/>
        <v>1</v>
      </c>
      <c r="N323" s="635"/>
      <c r="O323" s="21">
        <f t="shared" si="52"/>
        <v>1</v>
      </c>
      <c r="P323" s="635"/>
      <c r="Q323" s="21">
        <f t="shared" si="53"/>
        <v>0</v>
      </c>
      <c r="R323" s="21">
        <f t="shared" si="54"/>
        <v>0</v>
      </c>
      <c r="S323" s="308">
        <f t="shared" si="45"/>
        <v>0</v>
      </c>
    </row>
    <row r="324" spans="1:19">
      <c r="A324" s="142"/>
      <c r="B324" s="52"/>
      <c r="C324" s="21">
        <f t="shared" si="46"/>
        <v>1</v>
      </c>
      <c r="D324" s="635"/>
      <c r="E324" s="21">
        <f t="shared" si="47"/>
        <v>1</v>
      </c>
      <c r="F324" s="635"/>
      <c r="G324" s="21">
        <f t="shared" si="48"/>
        <v>1</v>
      </c>
      <c r="H324" s="635"/>
      <c r="I324" s="21">
        <f t="shared" si="49"/>
        <v>1</v>
      </c>
      <c r="J324" s="635"/>
      <c r="K324" s="21">
        <f t="shared" si="50"/>
        <v>1</v>
      </c>
      <c r="L324" s="635"/>
      <c r="M324" s="21">
        <f t="shared" si="51"/>
        <v>1</v>
      </c>
      <c r="N324" s="635"/>
      <c r="O324" s="21">
        <f t="shared" si="52"/>
        <v>1</v>
      </c>
      <c r="P324" s="635"/>
      <c r="Q324" s="21">
        <f t="shared" si="53"/>
        <v>0</v>
      </c>
      <c r="R324" s="21">
        <f t="shared" si="54"/>
        <v>0</v>
      </c>
      <c r="S324" s="308">
        <f t="shared" si="45"/>
        <v>0</v>
      </c>
    </row>
    <row r="325" spans="1:19">
      <c r="A325" s="142"/>
      <c r="B325" s="52"/>
      <c r="C325" s="21">
        <f t="shared" si="46"/>
        <v>1</v>
      </c>
      <c r="D325" s="635"/>
      <c r="E325" s="21">
        <f t="shared" si="47"/>
        <v>1</v>
      </c>
      <c r="F325" s="635"/>
      <c r="G325" s="21">
        <f t="shared" si="48"/>
        <v>1</v>
      </c>
      <c r="H325" s="635"/>
      <c r="I325" s="21">
        <f t="shared" si="49"/>
        <v>1</v>
      </c>
      <c r="J325" s="635"/>
      <c r="K325" s="21">
        <f t="shared" si="50"/>
        <v>1</v>
      </c>
      <c r="L325" s="635"/>
      <c r="M325" s="21">
        <f t="shared" si="51"/>
        <v>1</v>
      </c>
      <c r="N325" s="635"/>
      <c r="O325" s="21">
        <f t="shared" si="52"/>
        <v>1</v>
      </c>
      <c r="P325" s="635"/>
      <c r="Q325" s="21">
        <f t="shared" si="53"/>
        <v>0</v>
      </c>
      <c r="R325" s="21">
        <f t="shared" si="54"/>
        <v>0</v>
      </c>
      <c r="S325" s="308">
        <f t="shared" si="45"/>
        <v>0</v>
      </c>
    </row>
    <row r="326" spans="1:19">
      <c r="A326" s="142"/>
      <c r="B326" s="52"/>
      <c r="C326" s="21">
        <f t="shared" si="46"/>
        <v>1</v>
      </c>
      <c r="D326" s="635"/>
      <c r="E326" s="21">
        <f t="shared" si="47"/>
        <v>1</v>
      </c>
      <c r="F326" s="635"/>
      <c r="G326" s="21">
        <f t="shared" si="48"/>
        <v>1</v>
      </c>
      <c r="H326" s="635"/>
      <c r="I326" s="21">
        <f t="shared" si="49"/>
        <v>1</v>
      </c>
      <c r="J326" s="635"/>
      <c r="K326" s="21">
        <f t="shared" si="50"/>
        <v>1</v>
      </c>
      <c r="L326" s="635"/>
      <c r="M326" s="21">
        <f t="shared" si="51"/>
        <v>1</v>
      </c>
      <c r="N326" s="635"/>
      <c r="O326" s="21">
        <f t="shared" si="52"/>
        <v>1</v>
      </c>
      <c r="P326" s="635"/>
      <c r="Q326" s="21">
        <f t="shared" si="53"/>
        <v>0</v>
      </c>
      <c r="R326" s="21">
        <f t="shared" si="54"/>
        <v>0</v>
      </c>
      <c r="S326" s="308">
        <f t="shared" si="45"/>
        <v>0</v>
      </c>
    </row>
    <row r="327" spans="1:19">
      <c r="A327" s="142"/>
      <c r="B327" s="52"/>
      <c r="C327" s="21">
        <f t="shared" si="46"/>
        <v>1</v>
      </c>
      <c r="D327" s="635"/>
      <c r="E327" s="21">
        <f t="shared" si="47"/>
        <v>1</v>
      </c>
      <c r="F327" s="635"/>
      <c r="G327" s="21">
        <f t="shared" si="48"/>
        <v>1</v>
      </c>
      <c r="H327" s="635"/>
      <c r="I327" s="21">
        <f t="shared" si="49"/>
        <v>1</v>
      </c>
      <c r="J327" s="635"/>
      <c r="K327" s="21">
        <f t="shared" si="50"/>
        <v>1</v>
      </c>
      <c r="L327" s="635"/>
      <c r="M327" s="21">
        <f t="shared" si="51"/>
        <v>1</v>
      </c>
      <c r="N327" s="635"/>
      <c r="O327" s="21">
        <f t="shared" si="52"/>
        <v>1</v>
      </c>
      <c r="P327" s="635"/>
      <c r="Q327" s="21">
        <f t="shared" si="53"/>
        <v>0</v>
      </c>
      <c r="R327" s="21">
        <f t="shared" si="54"/>
        <v>0</v>
      </c>
      <c r="S327" s="308">
        <f t="shared" si="45"/>
        <v>0</v>
      </c>
    </row>
    <row r="328" spans="1:19">
      <c r="A328" s="142"/>
      <c r="B328" s="52"/>
      <c r="C328" s="21">
        <f t="shared" si="46"/>
        <v>1</v>
      </c>
      <c r="D328" s="635"/>
      <c r="E328" s="21">
        <f t="shared" si="47"/>
        <v>1</v>
      </c>
      <c r="F328" s="635"/>
      <c r="G328" s="21">
        <f t="shared" si="48"/>
        <v>1</v>
      </c>
      <c r="H328" s="635"/>
      <c r="I328" s="21">
        <f t="shared" si="49"/>
        <v>1</v>
      </c>
      <c r="J328" s="635"/>
      <c r="K328" s="21">
        <f t="shared" si="50"/>
        <v>1</v>
      </c>
      <c r="L328" s="635"/>
      <c r="M328" s="21">
        <f t="shared" si="51"/>
        <v>1</v>
      </c>
      <c r="N328" s="635"/>
      <c r="O328" s="21">
        <f t="shared" si="52"/>
        <v>1</v>
      </c>
      <c r="P328" s="635"/>
      <c r="Q328" s="21">
        <f t="shared" si="53"/>
        <v>0</v>
      </c>
      <c r="R328" s="21">
        <f t="shared" si="54"/>
        <v>0</v>
      </c>
      <c r="S328" s="308">
        <f t="shared" si="45"/>
        <v>0</v>
      </c>
    </row>
    <row r="329" spans="1:19">
      <c r="A329" s="142"/>
      <c r="B329" s="52"/>
      <c r="C329" s="21">
        <f t="shared" si="46"/>
        <v>1</v>
      </c>
      <c r="D329" s="635"/>
      <c r="E329" s="21">
        <f t="shared" si="47"/>
        <v>1</v>
      </c>
      <c r="F329" s="635"/>
      <c r="G329" s="21">
        <f t="shared" si="48"/>
        <v>1</v>
      </c>
      <c r="H329" s="635"/>
      <c r="I329" s="21">
        <f t="shared" si="49"/>
        <v>1</v>
      </c>
      <c r="J329" s="635"/>
      <c r="K329" s="21">
        <f t="shared" si="50"/>
        <v>1</v>
      </c>
      <c r="L329" s="635"/>
      <c r="M329" s="21">
        <f t="shared" si="51"/>
        <v>1</v>
      </c>
      <c r="N329" s="635"/>
      <c r="O329" s="21">
        <f t="shared" si="52"/>
        <v>1</v>
      </c>
      <c r="P329" s="635"/>
      <c r="Q329" s="21">
        <f t="shared" si="53"/>
        <v>0</v>
      </c>
      <c r="R329" s="21">
        <f t="shared" si="54"/>
        <v>0</v>
      </c>
      <c r="S329" s="308">
        <f t="shared" si="45"/>
        <v>0</v>
      </c>
    </row>
    <row r="330" spans="1:19">
      <c r="A330" s="142"/>
      <c r="B330" s="52"/>
      <c r="C330" s="21">
        <f t="shared" si="46"/>
        <v>1</v>
      </c>
      <c r="D330" s="635"/>
      <c r="E330" s="21">
        <f t="shared" si="47"/>
        <v>1</v>
      </c>
      <c r="F330" s="635"/>
      <c r="G330" s="21">
        <f t="shared" si="48"/>
        <v>1</v>
      </c>
      <c r="H330" s="635"/>
      <c r="I330" s="21">
        <f t="shared" si="49"/>
        <v>1</v>
      </c>
      <c r="J330" s="635"/>
      <c r="K330" s="21">
        <f t="shared" si="50"/>
        <v>1</v>
      </c>
      <c r="L330" s="635"/>
      <c r="M330" s="21">
        <f t="shared" si="51"/>
        <v>1</v>
      </c>
      <c r="N330" s="635"/>
      <c r="O330" s="21">
        <f t="shared" si="52"/>
        <v>1</v>
      </c>
      <c r="P330" s="635"/>
      <c r="Q330" s="21">
        <f t="shared" si="53"/>
        <v>0</v>
      </c>
      <c r="R330" s="21">
        <f t="shared" si="54"/>
        <v>0</v>
      </c>
      <c r="S330" s="308">
        <f t="shared" si="45"/>
        <v>0</v>
      </c>
    </row>
    <row r="331" spans="1:19">
      <c r="A331" s="142"/>
      <c r="B331" s="52"/>
      <c r="C331" s="21">
        <f t="shared" si="46"/>
        <v>1</v>
      </c>
      <c r="D331" s="635"/>
      <c r="E331" s="21">
        <f t="shared" si="47"/>
        <v>1</v>
      </c>
      <c r="F331" s="635"/>
      <c r="G331" s="21">
        <f t="shared" si="48"/>
        <v>1</v>
      </c>
      <c r="H331" s="635"/>
      <c r="I331" s="21">
        <f t="shared" si="49"/>
        <v>1</v>
      </c>
      <c r="J331" s="635"/>
      <c r="K331" s="21">
        <f t="shared" si="50"/>
        <v>1</v>
      </c>
      <c r="L331" s="635"/>
      <c r="M331" s="21">
        <f t="shared" si="51"/>
        <v>1</v>
      </c>
      <c r="N331" s="635"/>
      <c r="O331" s="21">
        <f t="shared" si="52"/>
        <v>1</v>
      </c>
      <c r="P331" s="635"/>
      <c r="Q331" s="21">
        <f t="shared" si="53"/>
        <v>0</v>
      </c>
      <c r="R331" s="21">
        <f t="shared" si="54"/>
        <v>0</v>
      </c>
      <c r="S331" s="308">
        <f t="shared" si="45"/>
        <v>0</v>
      </c>
    </row>
    <row r="332" spans="1:19">
      <c r="A332" s="142"/>
      <c r="B332" s="52"/>
      <c r="C332" s="21">
        <f t="shared" si="46"/>
        <v>1</v>
      </c>
      <c r="D332" s="635"/>
      <c r="E332" s="21">
        <f t="shared" si="47"/>
        <v>1</v>
      </c>
      <c r="F332" s="635"/>
      <c r="G332" s="21">
        <f t="shared" si="48"/>
        <v>1</v>
      </c>
      <c r="H332" s="635"/>
      <c r="I332" s="21">
        <f t="shared" si="49"/>
        <v>1</v>
      </c>
      <c r="J332" s="635"/>
      <c r="K332" s="21">
        <f t="shared" si="50"/>
        <v>1</v>
      </c>
      <c r="L332" s="635"/>
      <c r="M332" s="21">
        <f t="shared" si="51"/>
        <v>1</v>
      </c>
      <c r="N332" s="635"/>
      <c r="O332" s="21">
        <f t="shared" si="52"/>
        <v>1</v>
      </c>
      <c r="P332" s="635"/>
      <c r="Q332" s="21">
        <f t="shared" si="53"/>
        <v>0</v>
      </c>
      <c r="R332" s="21">
        <f t="shared" si="54"/>
        <v>0</v>
      </c>
      <c r="S332" s="308">
        <f t="shared" si="45"/>
        <v>0</v>
      </c>
    </row>
    <row r="333" spans="1:19">
      <c r="A333" s="142"/>
      <c r="B333" s="52"/>
      <c r="C333" s="21">
        <f t="shared" si="46"/>
        <v>1</v>
      </c>
      <c r="D333" s="635"/>
      <c r="E333" s="21">
        <f t="shared" si="47"/>
        <v>1</v>
      </c>
      <c r="F333" s="635"/>
      <c r="G333" s="21">
        <f t="shared" si="48"/>
        <v>1</v>
      </c>
      <c r="H333" s="635"/>
      <c r="I333" s="21">
        <f t="shared" si="49"/>
        <v>1</v>
      </c>
      <c r="J333" s="635"/>
      <c r="K333" s="21">
        <f t="shared" si="50"/>
        <v>1</v>
      </c>
      <c r="L333" s="635"/>
      <c r="M333" s="21">
        <f t="shared" si="51"/>
        <v>1</v>
      </c>
      <c r="N333" s="635"/>
      <c r="O333" s="21">
        <f t="shared" si="52"/>
        <v>1</v>
      </c>
      <c r="P333" s="635"/>
      <c r="Q333" s="21">
        <f t="shared" si="53"/>
        <v>0</v>
      </c>
      <c r="R333" s="21">
        <f t="shared" si="54"/>
        <v>0</v>
      </c>
      <c r="S333" s="308">
        <f t="shared" si="45"/>
        <v>0</v>
      </c>
    </row>
    <row r="334" spans="1:19">
      <c r="A334" s="142"/>
      <c r="B334" s="52"/>
      <c r="C334" s="21">
        <f t="shared" si="46"/>
        <v>1</v>
      </c>
      <c r="D334" s="635"/>
      <c r="E334" s="21">
        <f t="shared" si="47"/>
        <v>1</v>
      </c>
      <c r="F334" s="635"/>
      <c r="G334" s="21">
        <f t="shared" si="48"/>
        <v>1</v>
      </c>
      <c r="H334" s="635"/>
      <c r="I334" s="21">
        <f t="shared" si="49"/>
        <v>1</v>
      </c>
      <c r="J334" s="635"/>
      <c r="K334" s="21">
        <f t="shared" si="50"/>
        <v>1</v>
      </c>
      <c r="L334" s="635"/>
      <c r="M334" s="21">
        <f t="shared" si="51"/>
        <v>1</v>
      </c>
      <c r="N334" s="635"/>
      <c r="O334" s="21">
        <f t="shared" si="52"/>
        <v>1</v>
      </c>
      <c r="P334" s="635"/>
      <c r="Q334" s="21">
        <f t="shared" si="53"/>
        <v>0</v>
      </c>
      <c r="R334" s="21">
        <f t="shared" si="54"/>
        <v>0</v>
      </c>
      <c r="S334" s="308">
        <f t="shared" si="45"/>
        <v>0</v>
      </c>
    </row>
    <row r="335" spans="1:19">
      <c r="A335" s="142"/>
      <c r="B335" s="52"/>
      <c r="C335" s="21">
        <f t="shared" si="46"/>
        <v>1</v>
      </c>
      <c r="D335" s="635"/>
      <c r="E335" s="21">
        <f t="shared" si="47"/>
        <v>1</v>
      </c>
      <c r="F335" s="635"/>
      <c r="G335" s="21">
        <f t="shared" si="48"/>
        <v>1</v>
      </c>
      <c r="H335" s="635"/>
      <c r="I335" s="21">
        <f t="shared" si="49"/>
        <v>1</v>
      </c>
      <c r="J335" s="635"/>
      <c r="K335" s="21">
        <f t="shared" si="50"/>
        <v>1</v>
      </c>
      <c r="L335" s="635"/>
      <c r="M335" s="21">
        <f t="shared" si="51"/>
        <v>1</v>
      </c>
      <c r="N335" s="635"/>
      <c r="O335" s="21">
        <f t="shared" si="52"/>
        <v>1</v>
      </c>
      <c r="P335" s="635"/>
      <c r="Q335" s="21">
        <f t="shared" si="53"/>
        <v>0</v>
      </c>
      <c r="R335" s="21">
        <f t="shared" si="54"/>
        <v>0</v>
      </c>
      <c r="S335" s="308">
        <f t="shared" si="45"/>
        <v>0</v>
      </c>
    </row>
    <row r="336" spans="1:19">
      <c r="A336" s="142"/>
      <c r="B336" s="52"/>
      <c r="C336" s="21">
        <f t="shared" si="46"/>
        <v>1</v>
      </c>
      <c r="D336" s="635"/>
      <c r="E336" s="21">
        <f t="shared" si="47"/>
        <v>1</v>
      </c>
      <c r="F336" s="635"/>
      <c r="G336" s="21">
        <f t="shared" si="48"/>
        <v>1</v>
      </c>
      <c r="H336" s="635"/>
      <c r="I336" s="21">
        <f t="shared" si="49"/>
        <v>1</v>
      </c>
      <c r="J336" s="635"/>
      <c r="K336" s="21">
        <f t="shared" si="50"/>
        <v>1</v>
      </c>
      <c r="L336" s="635"/>
      <c r="M336" s="21">
        <f t="shared" si="51"/>
        <v>1</v>
      </c>
      <c r="N336" s="635"/>
      <c r="O336" s="21">
        <f t="shared" si="52"/>
        <v>1</v>
      </c>
      <c r="P336" s="635"/>
      <c r="Q336" s="21">
        <f t="shared" si="53"/>
        <v>0</v>
      </c>
      <c r="R336" s="21">
        <f t="shared" si="54"/>
        <v>0</v>
      </c>
      <c r="S336" s="308">
        <f t="shared" si="45"/>
        <v>0</v>
      </c>
    </row>
    <row r="337" spans="1:19">
      <c r="A337" s="142"/>
      <c r="B337" s="52"/>
      <c r="C337" s="21">
        <f t="shared" si="46"/>
        <v>1</v>
      </c>
      <c r="D337" s="635"/>
      <c r="E337" s="21">
        <f t="shared" si="47"/>
        <v>1</v>
      </c>
      <c r="F337" s="635"/>
      <c r="G337" s="21">
        <f t="shared" si="48"/>
        <v>1</v>
      </c>
      <c r="H337" s="635"/>
      <c r="I337" s="21">
        <f t="shared" si="49"/>
        <v>1</v>
      </c>
      <c r="J337" s="635"/>
      <c r="K337" s="21">
        <f t="shared" si="50"/>
        <v>1</v>
      </c>
      <c r="L337" s="635"/>
      <c r="M337" s="21">
        <f t="shared" si="51"/>
        <v>1</v>
      </c>
      <c r="N337" s="635"/>
      <c r="O337" s="21">
        <f t="shared" si="52"/>
        <v>1</v>
      </c>
      <c r="P337" s="635"/>
      <c r="Q337" s="21">
        <f t="shared" si="53"/>
        <v>0</v>
      </c>
      <c r="R337" s="21">
        <f t="shared" si="54"/>
        <v>0</v>
      </c>
      <c r="S337" s="308">
        <f t="shared" si="45"/>
        <v>0</v>
      </c>
    </row>
    <row r="338" spans="1:19">
      <c r="A338" s="142"/>
      <c r="B338" s="52"/>
      <c r="C338" s="21">
        <f t="shared" si="46"/>
        <v>1</v>
      </c>
      <c r="D338" s="635"/>
      <c r="E338" s="21">
        <f t="shared" si="47"/>
        <v>1</v>
      </c>
      <c r="F338" s="635"/>
      <c r="G338" s="21">
        <f t="shared" si="48"/>
        <v>1</v>
      </c>
      <c r="H338" s="635"/>
      <c r="I338" s="21">
        <f t="shared" si="49"/>
        <v>1</v>
      </c>
      <c r="J338" s="635"/>
      <c r="K338" s="21">
        <f t="shared" si="50"/>
        <v>1</v>
      </c>
      <c r="L338" s="635"/>
      <c r="M338" s="21">
        <f t="shared" si="51"/>
        <v>1</v>
      </c>
      <c r="N338" s="635"/>
      <c r="O338" s="21">
        <f t="shared" si="52"/>
        <v>1</v>
      </c>
      <c r="P338" s="635"/>
      <c r="Q338" s="21">
        <f t="shared" si="53"/>
        <v>0</v>
      </c>
      <c r="R338" s="21">
        <f t="shared" si="54"/>
        <v>0</v>
      </c>
      <c r="S338" s="308">
        <f t="shared" si="45"/>
        <v>0</v>
      </c>
    </row>
    <row r="339" spans="1:19">
      <c r="A339" s="142"/>
      <c r="B339" s="52"/>
      <c r="C339" s="21">
        <f t="shared" si="46"/>
        <v>1</v>
      </c>
      <c r="D339" s="635"/>
      <c r="E339" s="21">
        <f t="shared" si="47"/>
        <v>1</v>
      </c>
      <c r="F339" s="635"/>
      <c r="G339" s="21">
        <f t="shared" si="48"/>
        <v>1</v>
      </c>
      <c r="H339" s="635"/>
      <c r="I339" s="21">
        <f t="shared" si="49"/>
        <v>1</v>
      </c>
      <c r="J339" s="635"/>
      <c r="K339" s="21">
        <f t="shared" si="50"/>
        <v>1</v>
      </c>
      <c r="L339" s="635"/>
      <c r="M339" s="21">
        <f t="shared" si="51"/>
        <v>1</v>
      </c>
      <c r="N339" s="635"/>
      <c r="O339" s="21">
        <f t="shared" si="52"/>
        <v>1</v>
      </c>
      <c r="P339" s="635"/>
      <c r="Q339" s="21">
        <f t="shared" si="53"/>
        <v>0</v>
      </c>
      <c r="R339" s="21">
        <f t="shared" si="54"/>
        <v>0</v>
      </c>
      <c r="S339" s="308">
        <f t="shared" si="45"/>
        <v>0</v>
      </c>
    </row>
    <row r="340" spans="1:19">
      <c r="A340" s="142"/>
      <c r="B340" s="52"/>
      <c r="C340" s="21">
        <f t="shared" si="46"/>
        <v>1</v>
      </c>
      <c r="D340" s="635"/>
      <c r="E340" s="21">
        <f t="shared" si="47"/>
        <v>1</v>
      </c>
      <c r="F340" s="635"/>
      <c r="G340" s="21">
        <f t="shared" si="48"/>
        <v>1</v>
      </c>
      <c r="H340" s="635"/>
      <c r="I340" s="21">
        <f t="shared" si="49"/>
        <v>1</v>
      </c>
      <c r="J340" s="635"/>
      <c r="K340" s="21">
        <f t="shared" si="50"/>
        <v>1</v>
      </c>
      <c r="L340" s="635"/>
      <c r="M340" s="21">
        <f t="shared" si="51"/>
        <v>1</v>
      </c>
      <c r="N340" s="635"/>
      <c r="O340" s="21">
        <f t="shared" si="52"/>
        <v>1</v>
      </c>
      <c r="P340" s="635"/>
      <c r="Q340" s="21">
        <f t="shared" si="53"/>
        <v>0</v>
      </c>
      <c r="R340" s="21">
        <f t="shared" si="54"/>
        <v>0</v>
      </c>
      <c r="S340" s="308">
        <f t="shared" si="45"/>
        <v>0</v>
      </c>
    </row>
    <row r="341" spans="1:19">
      <c r="A341" s="142"/>
      <c r="B341" s="52"/>
      <c r="C341" s="21">
        <f t="shared" si="46"/>
        <v>1</v>
      </c>
      <c r="D341" s="635"/>
      <c r="E341" s="21">
        <f t="shared" si="47"/>
        <v>1</v>
      </c>
      <c r="F341" s="635"/>
      <c r="G341" s="21">
        <f t="shared" si="48"/>
        <v>1</v>
      </c>
      <c r="H341" s="635"/>
      <c r="I341" s="21">
        <f t="shared" si="49"/>
        <v>1</v>
      </c>
      <c r="J341" s="635"/>
      <c r="K341" s="21">
        <f t="shared" si="50"/>
        <v>1</v>
      </c>
      <c r="L341" s="635"/>
      <c r="M341" s="21">
        <f t="shared" si="51"/>
        <v>1</v>
      </c>
      <c r="N341" s="635"/>
      <c r="O341" s="21">
        <f t="shared" si="52"/>
        <v>1</v>
      </c>
      <c r="P341" s="635"/>
      <c r="Q341" s="21">
        <f t="shared" si="53"/>
        <v>0</v>
      </c>
      <c r="R341" s="21">
        <f t="shared" si="54"/>
        <v>0</v>
      </c>
      <c r="S341" s="308">
        <f t="shared" si="45"/>
        <v>0</v>
      </c>
    </row>
    <row r="342" spans="1:19">
      <c r="A342" s="142"/>
      <c r="B342" s="52"/>
      <c r="C342" s="21">
        <f t="shared" si="46"/>
        <v>1</v>
      </c>
      <c r="D342" s="635"/>
      <c r="E342" s="21">
        <f t="shared" si="47"/>
        <v>1</v>
      </c>
      <c r="F342" s="635"/>
      <c r="G342" s="21">
        <f t="shared" si="48"/>
        <v>1</v>
      </c>
      <c r="H342" s="635"/>
      <c r="I342" s="21">
        <f t="shared" si="49"/>
        <v>1</v>
      </c>
      <c r="J342" s="635"/>
      <c r="K342" s="21">
        <f t="shared" si="50"/>
        <v>1</v>
      </c>
      <c r="L342" s="635"/>
      <c r="M342" s="21">
        <f t="shared" si="51"/>
        <v>1</v>
      </c>
      <c r="N342" s="635"/>
      <c r="O342" s="21">
        <f t="shared" si="52"/>
        <v>1</v>
      </c>
      <c r="P342" s="635"/>
      <c r="Q342" s="21">
        <f t="shared" si="53"/>
        <v>0</v>
      </c>
      <c r="R342" s="21">
        <f t="shared" si="54"/>
        <v>0</v>
      </c>
      <c r="S342" s="308">
        <f t="shared" si="45"/>
        <v>0</v>
      </c>
    </row>
    <row r="343" spans="1:19">
      <c r="A343" s="142"/>
      <c r="B343" s="52"/>
      <c r="C343" s="21">
        <f t="shared" si="46"/>
        <v>1</v>
      </c>
      <c r="D343" s="635"/>
      <c r="E343" s="21">
        <f t="shared" si="47"/>
        <v>1</v>
      </c>
      <c r="F343" s="635"/>
      <c r="G343" s="21">
        <f t="shared" si="48"/>
        <v>1</v>
      </c>
      <c r="H343" s="635"/>
      <c r="I343" s="21">
        <f t="shared" si="49"/>
        <v>1</v>
      </c>
      <c r="J343" s="635"/>
      <c r="K343" s="21">
        <f t="shared" si="50"/>
        <v>1</v>
      </c>
      <c r="L343" s="635"/>
      <c r="M343" s="21">
        <f t="shared" si="51"/>
        <v>1</v>
      </c>
      <c r="N343" s="635"/>
      <c r="O343" s="21">
        <f t="shared" si="52"/>
        <v>1</v>
      </c>
      <c r="P343" s="635"/>
      <c r="Q343" s="21">
        <f t="shared" si="53"/>
        <v>0</v>
      </c>
      <c r="R343" s="21">
        <f t="shared" si="54"/>
        <v>0</v>
      </c>
      <c r="S343" s="308">
        <f t="shared" si="45"/>
        <v>0</v>
      </c>
    </row>
    <row r="344" spans="1:19">
      <c r="A344" s="142"/>
      <c r="B344" s="52"/>
      <c r="C344" s="21">
        <f t="shared" si="46"/>
        <v>1</v>
      </c>
      <c r="D344" s="635"/>
      <c r="E344" s="21">
        <f t="shared" si="47"/>
        <v>1</v>
      </c>
      <c r="F344" s="635"/>
      <c r="G344" s="21">
        <f t="shared" si="48"/>
        <v>1</v>
      </c>
      <c r="H344" s="635"/>
      <c r="I344" s="21">
        <f t="shared" si="49"/>
        <v>1</v>
      </c>
      <c r="J344" s="635"/>
      <c r="K344" s="21">
        <f t="shared" si="50"/>
        <v>1</v>
      </c>
      <c r="L344" s="635"/>
      <c r="M344" s="21">
        <f t="shared" si="51"/>
        <v>1</v>
      </c>
      <c r="N344" s="635"/>
      <c r="O344" s="21">
        <f t="shared" si="52"/>
        <v>1</v>
      </c>
      <c r="P344" s="635"/>
      <c r="Q344" s="21">
        <f t="shared" si="53"/>
        <v>0</v>
      </c>
      <c r="R344" s="21">
        <f t="shared" si="54"/>
        <v>0</v>
      </c>
      <c r="S344" s="308">
        <f t="shared" ref="S344:S407" si="55">ROUND(R344*B344/10000,0)</f>
        <v>0</v>
      </c>
    </row>
    <row r="345" spans="1:19">
      <c r="A345" s="142"/>
      <c r="B345" s="52"/>
      <c r="C345" s="21">
        <f t="shared" si="46"/>
        <v>1</v>
      </c>
      <c r="D345" s="635"/>
      <c r="E345" s="21">
        <f t="shared" si="47"/>
        <v>1</v>
      </c>
      <c r="F345" s="635"/>
      <c r="G345" s="21">
        <f t="shared" si="48"/>
        <v>1</v>
      </c>
      <c r="H345" s="635"/>
      <c r="I345" s="21">
        <f t="shared" si="49"/>
        <v>1</v>
      </c>
      <c r="J345" s="635"/>
      <c r="K345" s="21">
        <f t="shared" si="50"/>
        <v>1</v>
      </c>
      <c r="L345" s="635"/>
      <c r="M345" s="21">
        <f t="shared" si="51"/>
        <v>1</v>
      </c>
      <c r="N345" s="635"/>
      <c r="O345" s="21">
        <f t="shared" si="52"/>
        <v>1</v>
      </c>
      <c r="P345" s="635"/>
      <c r="Q345" s="21">
        <f t="shared" si="53"/>
        <v>0</v>
      </c>
      <c r="R345" s="21">
        <f t="shared" si="54"/>
        <v>0</v>
      </c>
      <c r="S345" s="308">
        <f t="shared" si="55"/>
        <v>0</v>
      </c>
    </row>
    <row r="346" spans="1:19">
      <c r="A346" s="142"/>
      <c r="B346" s="52"/>
      <c r="C346" s="21">
        <f t="shared" ref="C346:C409" si="56">IF(B346="",1,(LOOKUP(B346,$3:$3,$4:$4)-LOOKUP($B$24,$3:$3,$4:$4)+100)/100)</f>
        <v>1</v>
      </c>
      <c r="D346" s="635"/>
      <c r="E346" s="21">
        <f t="shared" ref="E346:E409" si="57">(SUMIF($5:$5,D346,$6:$6)-SUMIF($5:$5,$D$24,$6:$6)+100)/100</f>
        <v>1</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0</v>
      </c>
      <c r="R346" s="21">
        <f t="shared" ref="R346:R409" si="64">IF(B346="",0,ROUND($R$24*C346*E346*G346*I346*K346*M346*O346*Q346,0))</f>
        <v>0</v>
      </c>
      <c r="S346" s="308">
        <f t="shared" si="55"/>
        <v>0</v>
      </c>
    </row>
    <row r="347" spans="1:19">
      <c r="A347" s="142"/>
      <c r="B347" s="52"/>
      <c r="C347" s="21">
        <f t="shared" si="56"/>
        <v>1</v>
      </c>
      <c r="D347" s="635"/>
      <c r="E347" s="21">
        <f t="shared" si="57"/>
        <v>1</v>
      </c>
      <c r="F347" s="635"/>
      <c r="G347" s="21">
        <f t="shared" si="58"/>
        <v>1</v>
      </c>
      <c r="H347" s="635"/>
      <c r="I347" s="21">
        <f t="shared" si="59"/>
        <v>1</v>
      </c>
      <c r="J347" s="635"/>
      <c r="K347" s="21">
        <f t="shared" si="60"/>
        <v>1</v>
      </c>
      <c r="L347" s="635"/>
      <c r="M347" s="21">
        <f t="shared" si="61"/>
        <v>1</v>
      </c>
      <c r="N347" s="635"/>
      <c r="O347" s="21">
        <f t="shared" si="62"/>
        <v>1</v>
      </c>
      <c r="P347" s="635"/>
      <c r="Q347" s="21">
        <f t="shared" si="63"/>
        <v>0</v>
      </c>
      <c r="R347" s="21">
        <f t="shared" si="64"/>
        <v>0</v>
      </c>
      <c r="S347" s="308">
        <f t="shared" si="55"/>
        <v>0</v>
      </c>
    </row>
    <row r="348" spans="1:19">
      <c r="A348" s="142"/>
      <c r="B348" s="52"/>
      <c r="C348" s="21">
        <f t="shared" si="56"/>
        <v>1</v>
      </c>
      <c r="D348" s="635"/>
      <c r="E348" s="21">
        <f t="shared" si="57"/>
        <v>1</v>
      </c>
      <c r="F348" s="635"/>
      <c r="G348" s="21">
        <f t="shared" si="58"/>
        <v>1</v>
      </c>
      <c r="H348" s="635"/>
      <c r="I348" s="21">
        <f t="shared" si="59"/>
        <v>1</v>
      </c>
      <c r="J348" s="635"/>
      <c r="K348" s="21">
        <f t="shared" si="60"/>
        <v>1</v>
      </c>
      <c r="L348" s="635"/>
      <c r="M348" s="21">
        <f t="shared" si="61"/>
        <v>1</v>
      </c>
      <c r="N348" s="635"/>
      <c r="O348" s="21">
        <f t="shared" si="62"/>
        <v>1</v>
      </c>
      <c r="P348" s="635"/>
      <c r="Q348" s="21">
        <f t="shared" si="63"/>
        <v>0</v>
      </c>
      <c r="R348" s="21">
        <f t="shared" si="64"/>
        <v>0</v>
      </c>
      <c r="S348" s="308">
        <f t="shared" si="55"/>
        <v>0</v>
      </c>
    </row>
    <row r="349" spans="1:19">
      <c r="A349" s="142"/>
      <c r="B349" s="52"/>
      <c r="C349" s="21">
        <f t="shared" si="56"/>
        <v>1</v>
      </c>
      <c r="D349" s="635"/>
      <c r="E349" s="21">
        <f t="shared" si="57"/>
        <v>1</v>
      </c>
      <c r="F349" s="635"/>
      <c r="G349" s="21">
        <f t="shared" si="58"/>
        <v>1</v>
      </c>
      <c r="H349" s="635"/>
      <c r="I349" s="21">
        <f t="shared" si="59"/>
        <v>1</v>
      </c>
      <c r="J349" s="635"/>
      <c r="K349" s="21">
        <f t="shared" si="60"/>
        <v>1</v>
      </c>
      <c r="L349" s="635"/>
      <c r="M349" s="21">
        <f t="shared" si="61"/>
        <v>1</v>
      </c>
      <c r="N349" s="635"/>
      <c r="O349" s="21">
        <f t="shared" si="62"/>
        <v>1</v>
      </c>
      <c r="P349" s="635"/>
      <c r="Q349" s="21">
        <f t="shared" si="63"/>
        <v>0</v>
      </c>
      <c r="R349" s="21">
        <f t="shared" si="64"/>
        <v>0</v>
      </c>
      <c r="S349" s="308">
        <f t="shared" si="55"/>
        <v>0</v>
      </c>
    </row>
    <row r="350" spans="1:19">
      <c r="A350" s="142"/>
      <c r="B350" s="52"/>
      <c r="C350" s="21">
        <f t="shared" si="56"/>
        <v>1</v>
      </c>
      <c r="D350" s="635"/>
      <c r="E350" s="21">
        <f t="shared" si="57"/>
        <v>1</v>
      </c>
      <c r="F350" s="635"/>
      <c r="G350" s="21">
        <f t="shared" si="58"/>
        <v>1</v>
      </c>
      <c r="H350" s="635"/>
      <c r="I350" s="21">
        <f t="shared" si="59"/>
        <v>1</v>
      </c>
      <c r="J350" s="635"/>
      <c r="K350" s="21">
        <f t="shared" si="60"/>
        <v>1</v>
      </c>
      <c r="L350" s="635"/>
      <c r="M350" s="21">
        <f t="shared" si="61"/>
        <v>1</v>
      </c>
      <c r="N350" s="635"/>
      <c r="O350" s="21">
        <f t="shared" si="62"/>
        <v>1</v>
      </c>
      <c r="P350" s="635"/>
      <c r="Q350" s="21">
        <f t="shared" si="63"/>
        <v>0</v>
      </c>
      <c r="R350" s="21">
        <f t="shared" si="64"/>
        <v>0</v>
      </c>
      <c r="S350" s="308">
        <f t="shared" si="55"/>
        <v>0</v>
      </c>
    </row>
    <row r="351" spans="1:19">
      <c r="A351" s="142"/>
      <c r="B351" s="52"/>
      <c r="C351" s="21">
        <f t="shared" si="56"/>
        <v>1</v>
      </c>
      <c r="D351" s="635"/>
      <c r="E351" s="21">
        <f t="shared" si="57"/>
        <v>1</v>
      </c>
      <c r="F351" s="635"/>
      <c r="G351" s="21">
        <f t="shared" si="58"/>
        <v>1</v>
      </c>
      <c r="H351" s="635"/>
      <c r="I351" s="21">
        <f t="shared" si="59"/>
        <v>1</v>
      </c>
      <c r="J351" s="635"/>
      <c r="K351" s="21">
        <f t="shared" si="60"/>
        <v>1</v>
      </c>
      <c r="L351" s="635"/>
      <c r="M351" s="21">
        <f t="shared" si="61"/>
        <v>1</v>
      </c>
      <c r="N351" s="635"/>
      <c r="O351" s="21">
        <f t="shared" si="62"/>
        <v>1</v>
      </c>
      <c r="P351" s="635"/>
      <c r="Q351" s="21">
        <f t="shared" si="63"/>
        <v>0</v>
      </c>
      <c r="R351" s="21">
        <f t="shared" si="64"/>
        <v>0</v>
      </c>
      <c r="S351" s="308">
        <f t="shared" si="55"/>
        <v>0</v>
      </c>
    </row>
    <row r="352" spans="1:19">
      <c r="A352" s="142"/>
      <c r="B352" s="52"/>
      <c r="C352" s="21">
        <f t="shared" si="56"/>
        <v>1</v>
      </c>
      <c r="D352" s="635"/>
      <c r="E352" s="21">
        <f t="shared" si="57"/>
        <v>1</v>
      </c>
      <c r="F352" s="635"/>
      <c r="G352" s="21">
        <f t="shared" si="58"/>
        <v>1</v>
      </c>
      <c r="H352" s="635"/>
      <c r="I352" s="21">
        <f t="shared" si="59"/>
        <v>1</v>
      </c>
      <c r="J352" s="635"/>
      <c r="K352" s="21">
        <f t="shared" si="60"/>
        <v>1</v>
      </c>
      <c r="L352" s="635"/>
      <c r="M352" s="21">
        <f t="shared" si="61"/>
        <v>1</v>
      </c>
      <c r="N352" s="635"/>
      <c r="O352" s="21">
        <f t="shared" si="62"/>
        <v>1</v>
      </c>
      <c r="P352" s="635"/>
      <c r="Q352" s="21">
        <f t="shared" si="63"/>
        <v>0</v>
      </c>
      <c r="R352" s="21">
        <f t="shared" si="64"/>
        <v>0</v>
      </c>
      <c r="S352" s="308">
        <f t="shared" si="55"/>
        <v>0</v>
      </c>
    </row>
    <row r="353" spans="1:19">
      <c r="A353" s="142"/>
      <c r="B353" s="52"/>
      <c r="C353" s="21">
        <f t="shared" si="56"/>
        <v>1</v>
      </c>
      <c r="D353" s="635"/>
      <c r="E353" s="21">
        <f t="shared" si="57"/>
        <v>1</v>
      </c>
      <c r="F353" s="635"/>
      <c r="G353" s="21">
        <f t="shared" si="58"/>
        <v>1</v>
      </c>
      <c r="H353" s="635"/>
      <c r="I353" s="21">
        <f t="shared" si="59"/>
        <v>1</v>
      </c>
      <c r="J353" s="635"/>
      <c r="K353" s="21">
        <f t="shared" si="60"/>
        <v>1</v>
      </c>
      <c r="L353" s="635"/>
      <c r="M353" s="21">
        <f t="shared" si="61"/>
        <v>1</v>
      </c>
      <c r="N353" s="635"/>
      <c r="O353" s="21">
        <f t="shared" si="62"/>
        <v>1</v>
      </c>
      <c r="P353" s="635"/>
      <c r="Q353" s="21">
        <f t="shared" si="63"/>
        <v>0</v>
      </c>
      <c r="R353" s="21">
        <f t="shared" si="64"/>
        <v>0</v>
      </c>
      <c r="S353" s="308">
        <f t="shared" si="55"/>
        <v>0</v>
      </c>
    </row>
    <row r="354" spans="1:19">
      <c r="A354" s="142"/>
      <c r="B354" s="52"/>
      <c r="C354" s="21">
        <f t="shared" si="56"/>
        <v>1</v>
      </c>
      <c r="D354" s="635"/>
      <c r="E354" s="21">
        <f t="shared" si="57"/>
        <v>1</v>
      </c>
      <c r="F354" s="635"/>
      <c r="G354" s="21">
        <f t="shared" si="58"/>
        <v>1</v>
      </c>
      <c r="H354" s="635"/>
      <c r="I354" s="21">
        <f t="shared" si="59"/>
        <v>1</v>
      </c>
      <c r="J354" s="635"/>
      <c r="K354" s="21">
        <f t="shared" si="60"/>
        <v>1</v>
      </c>
      <c r="L354" s="635"/>
      <c r="M354" s="21">
        <f t="shared" si="61"/>
        <v>1</v>
      </c>
      <c r="N354" s="635"/>
      <c r="O354" s="21">
        <f t="shared" si="62"/>
        <v>1</v>
      </c>
      <c r="P354" s="635"/>
      <c r="Q354" s="21">
        <f t="shared" si="63"/>
        <v>0</v>
      </c>
      <c r="R354" s="21">
        <f t="shared" si="64"/>
        <v>0</v>
      </c>
      <c r="S354" s="308">
        <f t="shared" si="55"/>
        <v>0</v>
      </c>
    </row>
    <row r="355" spans="1:19">
      <c r="A355" s="142"/>
      <c r="B355" s="52"/>
      <c r="C355" s="21">
        <f t="shared" si="56"/>
        <v>1</v>
      </c>
      <c r="D355" s="635"/>
      <c r="E355" s="21">
        <f t="shared" si="57"/>
        <v>1</v>
      </c>
      <c r="F355" s="635"/>
      <c r="G355" s="21">
        <f t="shared" si="58"/>
        <v>1</v>
      </c>
      <c r="H355" s="635"/>
      <c r="I355" s="21">
        <f t="shared" si="59"/>
        <v>1</v>
      </c>
      <c r="J355" s="635"/>
      <c r="K355" s="21">
        <f t="shared" si="60"/>
        <v>1</v>
      </c>
      <c r="L355" s="635"/>
      <c r="M355" s="21">
        <f t="shared" si="61"/>
        <v>1</v>
      </c>
      <c r="N355" s="635"/>
      <c r="O355" s="21">
        <f t="shared" si="62"/>
        <v>1</v>
      </c>
      <c r="P355" s="635"/>
      <c r="Q355" s="21">
        <f t="shared" si="63"/>
        <v>0</v>
      </c>
      <c r="R355" s="21">
        <f t="shared" si="64"/>
        <v>0</v>
      </c>
      <c r="S355" s="308">
        <f t="shared" si="55"/>
        <v>0</v>
      </c>
    </row>
    <row r="356" spans="1:19">
      <c r="A356" s="142"/>
      <c r="B356" s="52"/>
      <c r="C356" s="21">
        <f t="shared" si="56"/>
        <v>1</v>
      </c>
      <c r="D356" s="635"/>
      <c r="E356" s="21">
        <f t="shared" si="57"/>
        <v>1</v>
      </c>
      <c r="F356" s="635"/>
      <c r="G356" s="21">
        <f t="shared" si="58"/>
        <v>1</v>
      </c>
      <c r="H356" s="635"/>
      <c r="I356" s="21">
        <f t="shared" si="59"/>
        <v>1</v>
      </c>
      <c r="J356" s="635"/>
      <c r="K356" s="21">
        <f t="shared" si="60"/>
        <v>1</v>
      </c>
      <c r="L356" s="635"/>
      <c r="M356" s="21">
        <f t="shared" si="61"/>
        <v>1</v>
      </c>
      <c r="N356" s="635"/>
      <c r="O356" s="21">
        <f t="shared" si="62"/>
        <v>1</v>
      </c>
      <c r="P356" s="635"/>
      <c r="Q356" s="21">
        <f t="shared" si="63"/>
        <v>0</v>
      </c>
      <c r="R356" s="21">
        <f t="shared" si="64"/>
        <v>0</v>
      </c>
      <c r="S356" s="308">
        <f t="shared" si="55"/>
        <v>0</v>
      </c>
    </row>
    <row r="357" spans="1:19">
      <c r="A357" s="142"/>
      <c r="B357" s="52"/>
      <c r="C357" s="21">
        <f t="shared" si="56"/>
        <v>1</v>
      </c>
      <c r="D357" s="635"/>
      <c r="E357" s="21">
        <f t="shared" si="57"/>
        <v>1</v>
      </c>
      <c r="F357" s="635"/>
      <c r="G357" s="21">
        <f t="shared" si="58"/>
        <v>1</v>
      </c>
      <c r="H357" s="635"/>
      <c r="I357" s="21">
        <f t="shared" si="59"/>
        <v>1</v>
      </c>
      <c r="J357" s="635"/>
      <c r="K357" s="21">
        <f t="shared" si="60"/>
        <v>1</v>
      </c>
      <c r="L357" s="635"/>
      <c r="M357" s="21">
        <f t="shared" si="61"/>
        <v>1</v>
      </c>
      <c r="N357" s="635"/>
      <c r="O357" s="21">
        <f t="shared" si="62"/>
        <v>1</v>
      </c>
      <c r="P357" s="635"/>
      <c r="Q357" s="21">
        <f t="shared" si="63"/>
        <v>0</v>
      </c>
      <c r="R357" s="21">
        <f t="shared" si="64"/>
        <v>0</v>
      </c>
      <c r="S357" s="308">
        <f t="shared" si="55"/>
        <v>0</v>
      </c>
    </row>
    <row r="358" spans="1:19">
      <c r="A358" s="142"/>
      <c r="B358" s="52"/>
      <c r="C358" s="21">
        <f t="shared" si="56"/>
        <v>1</v>
      </c>
      <c r="D358" s="635"/>
      <c r="E358" s="21">
        <f t="shared" si="57"/>
        <v>1</v>
      </c>
      <c r="F358" s="635"/>
      <c r="G358" s="21">
        <f t="shared" si="58"/>
        <v>1</v>
      </c>
      <c r="H358" s="635"/>
      <c r="I358" s="21">
        <f t="shared" si="59"/>
        <v>1</v>
      </c>
      <c r="J358" s="635"/>
      <c r="K358" s="21">
        <f t="shared" si="60"/>
        <v>1</v>
      </c>
      <c r="L358" s="635"/>
      <c r="M358" s="21">
        <f t="shared" si="61"/>
        <v>1</v>
      </c>
      <c r="N358" s="635"/>
      <c r="O358" s="21">
        <f t="shared" si="62"/>
        <v>1</v>
      </c>
      <c r="P358" s="635"/>
      <c r="Q358" s="21">
        <f t="shared" si="63"/>
        <v>0</v>
      </c>
      <c r="R358" s="21">
        <f t="shared" si="64"/>
        <v>0</v>
      </c>
      <c r="S358" s="308">
        <f t="shared" si="55"/>
        <v>0</v>
      </c>
    </row>
    <row r="359" spans="1:19">
      <c r="A359" s="142"/>
      <c r="B359" s="52"/>
      <c r="C359" s="21">
        <f t="shared" si="56"/>
        <v>1</v>
      </c>
      <c r="D359" s="635"/>
      <c r="E359" s="21">
        <f t="shared" si="57"/>
        <v>1</v>
      </c>
      <c r="F359" s="635"/>
      <c r="G359" s="21">
        <f t="shared" si="58"/>
        <v>1</v>
      </c>
      <c r="H359" s="635"/>
      <c r="I359" s="21">
        <f t="shared" si="59"/>
        <v>1</v>
      </c>
      <c r="J359" s="635"/>
      <c r="K359" s="21">
        <f t="shared" si="60"/>
        <v>1</v>
      </c>
      <c r="L359" s="635"/>
      <c r="M359" s="21">
        <f t="shared" si="61"/>
        <v>1</v>
      </c>
      <c r="N359" s="635"/>
      <c r="O359" s="21">
        <f t="shared" si="62"/>
        <v>1</v>
      </c>
      <c r="P359" s="635"/>
      <c r="Q359" s="21">
        <f t="shared" si="63"/>
        <v>0</v>
      </c>
      <c r="R359" s="21">
        <f t="shared" si="64"/>
        <v>0</v>
      </c>
      <c r="S359" s="308">
        <f t="shared" si="55"/>
        <v>0</v>
      </c>
    </row>
    <row r="360" spans="1:19">
      <c r="A360" s="142"/>
      <c r="B360" s="52"/>
      <c r="C360" s="21">
        <f t="shared" si="56"/>
        <v>1</v>
      </c>
      <c r="D360" s="635"/>
      <c r="E360" s="21">
        <f t="shared" si="57"/>
        <v>1</v>
      </c>
      <c r="F360" s="635"/>
      <c r="G360" s="21">
        <f t="shared" si="58"/>
        <v>1</v>
      </c>
      <c r="H360" s="635"/>
      <c r="I360" s="21">
        <f t="shared" si="59"/>
        <v>1</v>
      </c>
      <c r="J360" s="635"/>
      <c r="K360" s="21">
        <f t="shared" si="60"/>
        <v>1</v>
      </c>
      <c r="L360" s="635"/>
      <c r="M360" s="21">
        <f t="shared" si="61"/>
        <v>1</v>
      </c>
      <c r="N360" s="635"/>
      <c r="O360" s="21">
        <f t="shared" si="62"/>
        <v>1</v>
      </c>
      <c r="P360" s="635"/>
      <c r="Q360" s="21">
        <f t="shared" si="63"/>
        <v>0</v>
      </c>
      <c r="R360" s="21">
        <f t="shared" si="64"/>
        <v>0</v>
      </c>
      <c r="S360" s="308">
        <f t="shared" si="55"/>
        <v>0</v>
      </c>
    </row>
    <row r="361" spans="1:19">
      <c r="A361" s="142"/>
      <c r="B361" s="52"/>
      <c r="C361" s="21">
        <f t="shared" si="56"/>
        <v>1</v>
      </c>
      <c r="D361" s="635"/>
      <c r="E361" s="21">
        <f t="shared" si="57"/>
        <v>1</v>
      </c>
      <c r="F361" s="635"/>
      <c r="G361" s="21">
        <f t="shared" si="58"/>
        <v>1</v>
      </c>
      <c r="H361" s="635"/>
      <c r="I361" s="21">
        <f t="shared" si="59"/>
        <v>1</v>
      </c>
      <c r="J361" s="635"/>
      <c r="K361" s="21">
        <f t="shared" si="60"/>
        <v>1</v>
      </c>
      <c r="L361" s="635"/>
      <c r="M361" s="21">
        <f t="shared" si="61"/>
        <v>1</v>
      </c>
      <c r="N361" s="635"/>
      <c r="O361" s="21">
        <f t="shared" si="62"/>
        <v>1</v>
      </c>
      <c r="P361" s="635"/>
      <c r="Q361" s="21">
        <f t="shared" si="63"/>
        <v>0</v>
      </c>
      <c r="R361" s="21">
        <f t="shared" si="64"/>
        <v>0</v>
      </c>
      <c r="S361" s="308">
        <f t="shared" si="55"/>
        <v>0</v>
      </c>
    </row>
    <row r="362" spans="1:19">
      <c r="A362" s="142"/>
      <c r="B362" s="52"/>
      <c r="C362" s="21">
        <f t="shared" si="56"/>
        <v>1</v>
      </c>
      <c r="D362" s="635"/>
      <c r="E362" s="21">
        <f t="shared" si="57"/>
        <v>1</v>
      </c>
      <c r="F362" s="635"/>
      <c r="G362" s="21">
        <f t="shared" si="58"/>
        <v>1</v>
      </c>
      <c r="H362" s="635"/>
      <c r="I362" s="21">
        <f t="shared" si="59"/>
        <v>1</v>
      </c>
      <c r="J362" s="635"/>
      <c r="K362" s="21">
        <f t="shared" si="60"/>
        <v>1</v>
      </c>
      <c r="L362" s="635"/>
      <c r="M362" s="21">
        <f t="shared" si="61"/>
        <v>1</v>
      </c>
      <c r="N362" s="635"/>
      <c r="O362" s="21">
        <f t="shared" si="62"/>
        <v>1</v>
      </c>
      <c r="P362" s="635"/>
      <c r="Q362" s="21">
        <f t="shared" si="63"/>
        <v>0</v>
      </c>
      <c r="R362" s="21">
        <f t="shared" si="64"/>
        <v>0</v>
      </c>
      <c r="S362" s="308">
        <f t="shared" si="55"/>
        <v>0</v>
      </c>
    </row>
    <row r="363" spans="1:19">
      <c r="A363" s="142"/>
      <c r="B363" s="52"/>
      <c r="C363" s="21">
        <f t="shared" si="56"/>
        <v>1</v>
      </c>
      <c r="D363" s="635"/>
      <c r="E363" s="21">
        <f t="shared" si="57"/>
        <v>1</v>
      </c>
      <c r="F363" s="635"/>
      <c r="G363" s="21">
        <f t="shared" si="58"/>
        <v>1</v>
      </c>
      <c r="H363" s="635"/>
      <c r="I363" s="21">
        <f t="shared" si="59"/>
        <v>1</v>
      </c>
      <c r="J363" s="635"/>
      <c r="K363" s="21">
        <f t="shared" si="60"/>
        <v>1</v>
      </c>
      <c r="L363" s="635"/>
      <c r="M363" s="21">
        <f t="shared" si="61"/>
        <v>1</v>
      </c>
      <c r="N363" s="635"/>
      <c r="O363" s="21">
        <f t="shared" si="62"/>
        <v>1</v>
      </c>
      <c r="P363" s="635"/>
      <c r="Q363" s="21">
        <f t="shared" si="63"/>
        <v>0</v>
      </c>
      <c r="R363" s="21">
        <f t="shared" si="64"/>
        <v>0</v>
      </c>
      <c r="S363" s="308">
        <f t="shared" si="55"/>
        <v>0</v>
      </c>
    </row>
    <row r="364" spans="1:19">
      <c r="A364" s="142"/>
      <c r="B364" s="52"/>
      <c r="C364" s="21">
        <f t="shared" si="56"/>
        <v>1</v>
      </c>
      <c r="D364" s="635"/>
      <c r="E364" s="21">
        <f t="shared" si="57"/>
        <v>1</v>
      </c>
      <c r="F364" s="635"/>
      <c r="G364" s="21">
        <f t="shared" si="58"/>
        <v>1</v>
      </c>
      <c r="H364" s="635"/>
      <c r="I364" s="21">
        <f t="shared" si="59"/>
        <v>1</v>
      </c>
      <c r="J364" s="635"/>
      <c r="K364" s="21">
        <f t="shared" si="60"/>
        <v>1</v>
      </c>
      <c r="L364" s="635"/>
      <c r="M364" s="21">
        <f t="shared" si="61"/>
        <v>1</v>
      </c>
      <c r="N364" s="635"/>
      <c r="O364" s="21">
        <f t="shared" si="62"/>
        <v>1</v>
      </c>
      <c r="P364" s="635"/>
      <c r="Q364" s="21">
        <f t="shared" si="63"/>
        <v>0</v>
      </c>
      <c r="R364" s="21">
        <f t="shared" si="64"/>
        <v>0</v>
      </c>
      <c r="S364" s="308">
        <f t="shared" si="55"/>
        <v>0</v>
      </c>
    </row>
    <row r="365" spans="1:19">
      <c r="A365" s="142"/>
      <c r="B365" s="52"/>
      <c r="C365" s="21">
        <f t="shared" si="56"/>
        <v>1</v>
      </c>
      <c r="D365" s="635"/>
      <c r="E365" s="21">
        <f t="shared" si="57"/>
        <v>1</v>
      </c>
      <c r="F365" s="635"/>
      <c r="G365" s="21">
        <f t="shared" si="58"/>
        <v>1</v>
      </c>
      <c r="H365" s="635"/>
      <c r="I365" s="21">
        <f t="shared" si="59"/>
        <v>1</v>
      </c>
      <c r="J365" s="635"/>
      <c r="K365" s="21">
        <f t="shared" si="60"/>
        <v>1</v>
      </c>
      <c r="L365" s="635"/>
      <c r="M365" s="21">
        <f t="shared" si="61"/>
        <v>1</v>
      </c>
      <c r="N365" s="635"/>
      <c r="O365" s="21">
        <f t="shared" si="62"/>
        <v>1</v>
      </c>
      <c r="P365" s="635"/>
      <c r="Q365" s="21">
        <f t="shared" si="63"/>
        <v>0</v>
      </c>
      <c r="R365" s="21">
        <f t="shared" si="64"/>
        <v>0</v>
      </c>
      <c r="S365" s="308">
        <f t="shared" si="55"/>
        <v>0</v>
      </c>
    </row>
    <row r="366" spans="1:19">
      <c r="A366" s="142"/>
      <c r="B366" s="52"/>
      <c r="C366" s="21">
        <f t="shared" si="56"/>
        <v>1</v>
      </c>
      <c r="D366" s="635"/>
      <c r="E366" s="21">
        <f t="shared" si="57"/>
        <v>1</v>
      </c>
      <c r="F366" s="635"/>
      <c r="G366" s="21">
        <f t="shared" si="58"/>
        <v>1</v>
      </c>
      <c r="H366" s="635"/>
      <c r="I366" s="21">
        <f t="shared" si="59"/>
        <v>1</v>
      </c>
      <c r="J366" s="635"/>
      <c r="K366" s="21">
        <f t="shared" si="60"/>
        <v>1</v>
      </c>
      <c r="L366" s="635"/>
      <c r="M366" s="21">
        <f t="shared" si="61"/>
        <v>1</v>
      </c>
      <c r="N366" s="635"/>
      <c r="O366" s="21">
        <f t="shared" si="62"/>
        <v>1</v>
      </c>
      <c r="P366" s="635"/>
      <c r="Q366" s="21">
        <f t="shared" si="63"/>
        <v>0</v>
      </c>
      <c r="R366" s="21">
        <f t="shared" si="64"/>
        <v>0</v>
      </c>
      <c r="S366" s="308">
        <f t="shared" si="55"/>
        <v>0</v>
      </c>
    </row>
    <row r="367" spans="1:19">
      <c r="A367" s="142"/>
      <c r="B367" s="52"/>
      <c r="C367" s="21">
        <f t="shared" si="56"/>
        <v>1</v>
      </c>
      <c r="D367" s="635"/>
      <c r="E367" s="21">
        <f t="shared" si="57"/>
        <v>1</v>
      </c>
      <c r="F367" s="635"/>
      <c r="G367" s="21">
        <f t="shared" si="58"/>
        <v>1</v>
      </c>
      <c r="H367" s="635"/>
      <c r="I367" s="21">
        <f t="shared" si="59"/>
        <v>1</v>
      </c>
      <c r="J367" s="635"/>
      <c r="K367" s="21">
        <f t="shared" si="60"/>
        <v>1</v>
      </c>
      <c r="L367" s="635"/>
      <c r="M367" s="21">
        <f t="shared" si="61"/>
        <v>1</v>
      </c>
      <c r="N367" s="635"/>
      <c r="O367" s="21">
        <f t="shared" si="62"/>
        <v>1</v>
      </c>
      <c r="P367" s="635"/>
      <c r="Q367" s="21">
        <f t="shared" si="63"/>
        <v>0</v>
      </c>
      <c r="R367" s="21">
        <f t="shared" si="64"/>
        <v>0</v>
      </c>
      <c r="S367" s="308">
        <f t="shared" si="55"/>
        <v>0</v>
      </c>
    </row>
    <row r="368" spans="1:19">
      <c r="A368" s="142"/>
      <c r="B368" s="52"/>
      <c r="C368" s="21">
        <f t="shared" si="56"/>
        <v>1</v>
      </c>
      <c r="D368" s="635"/>
      <c r="E368" s="21">
        <f t="shared" si="57"/>
        <v>1</v>
      </c>
      <c r="F368" s="635"/>
      <c r="G368" s="21">
        <f t="shared" si="58"/>
        <v>1</v>
      </c>
      <c r="H368" s="635"/>
      <c r="I368" s="21">
        <f t="shared" si="59"/>
        <v>1</v>
      </c>
      <c r="J368" s="635"/>
      <c r="K368" s="21">
        <f t="shared" si="60"/>
        <v>1</v>
      </c>
      <c r="L368" s="635"/>
      <c r="M368" s="21">
        <f t="shared" si="61"/>
        <v>1</v>
      </c>
      <c r="N368" s="635"/>
      <c r="O368" s="21">
        <f t="shared" si="62"/>
        <v>1</v>
      </c>
      <c r="P368" s="635"/>
      <c r="Q368" s="21">
        <f t="shared" si="63"/>
        <v>0</v>
      </c>
      <c r="R368" s="21">
        <f t="shared" si="64"/>
        <v>0</v>
      </c>
      <c r="S368" s="308">
        <f t="shared" si="55"/>
        <v>0</v>
      </c>
    </row>
    <row r="369" spans="1:19">
      <c r="A369" s="142"/>
      <c r="B369" s="52"/>
      <c r="C369" s="21">
        <f t="shared" si="56"/>
        <v>1</v>
      </c>
      <c r="D369" s="635"/>
      <c r="E369" s="21">
        <f t="shared" si="57"/>
        <v>1</v>
      </c>
      <c r="F369" s="635"/>
      <c r="G369" s="21">
        <f t="shared" si="58"/>
        <v>1</v>
      </c>
      <c r="H369" s="635"/>
      <c r="I369" s="21">
        <f t="shared" si="59"/>
        <v>1</v>
      </c>
      <c r="J369" s="635"/>
      <c r="K369" s="21">
        <f t="shared" si="60"/>
        <v>1</v>
      </c>
      <c r="L369" s="635"/>
      <c r="M369" s="21">
        <f t="shared" si="61"/>
        <v>1</v>
      </c>
      <c r="N369" s="635"/>
      <c r="O369" s="21">
        <f t="shared" si="62"/>
        <v>1</v>
      </c>
      <c r="P369" s="635"/>
      <c r="Q369" s="21">
        <f t="shared" si="63"/>
        <v>0</v>
      </c>
      <c r="R369" s="21">
        <f t="shared" si="64"/>
        <v>0</v>
      </c>
      <c r="S369" s="308">
        <f t="shared" si="55"/>
        <v>0</v>
      </c>
    </row>
    <row r="370" spans="1:19">
      <c r="A370" s="142"/>
      <c r="B370" s="52"/>
      <c r="C370" s="21">
        <f t="shared" si="56"/>
        <v>1</v>
      </c>
      <c r="D370" s="635"/>
      <c r="E370" s="21">
        <f t="shared" si="57"/>
        <v>1</v>
      </c>
      <c r="F370" s="635"/>
      <c r="G370" s="21">
        <f t="shared" si="58"/>
        <v>1</v>
      </c>
      <c r="H370" s="635"/>
      <c r="I370" s="21">
        <f t="shared" si="59"/>
        <v>1</v>
      </c>
      <c r="J370" s="635"/>
      <c r="K370" s="21">
        <f t="shared" si="60"/>
        <v>1</v>
      </c>
      <c r="L370" s="635"/>
      <c r="M370" s="21">
        <f t="shared" si="61"/>
        <v>1</v>
      </c>
      <c r="N370" s="635"/>
      <c r="O370" s="21">
        <f t="shared" si="62"/>
        <v>1</v>
      </c>
      <c r="P370" s="635"/>
      <c r="Q370" s="21">
        <f t="shared" si="63"/>
        <v>0</v>
      </c>
      <c r="R370" s="21">
        <f t="shared" si="64"/>
        <v>0</v>
      </c>
      <c r="S370" s="308">
        <f t="shared" si="55"/>
        <v>0</v>
      </c>
    </row>
    <row r="371" spans="1:19">
      <c r="A371" s="142"/>
      <c r="B371" s="52"/>
      <c r="C371" s="21">
        <f t="shared" si="56"/>
        <v>1</v>
      </c>
      <c r="D371" s="635"/>
      <c r="E371" s="21">
        <f t="shared" si="57"/>
        <v>1</v>
      </c>
      <c r="F371" s="635"/>
      <c r="G371" s="21">
        <f t="shared" si="58"/>
        <v>1</v>
      </c>
      <c r="H371" s="635"/>
      <c r="I371" s="21">
        <f t="shared" si="59"/>
        <v>1</v>
      </c>
      <c r="J371" s="635"/>
      <c r="K371" s="21">
        <f t="shared" si="60"/>
        <v>1</v>
      </c>
      <c r="L371" s="635"/>
      <c r="M371" s="21">
        <f t="shared" si="61"/>
        <v>1</v>
      </c>
      <c r="N371" s="635"/>
      <c r="O371" s="21">
        <f t="shared" si="62"/>
        <v>1</v>
      </c>
      <c r="P371" s="635"/>
      <c r="Q371" s="21">
        <f t="shared" si="63"/>
        <v>0</v>
      </c>
      <c r="R371" s="21">
        <f t="shared" si="64"/>
        <v>0</v>
      </c>
      <c r="S371" s="308">
        <f t="shared" si="55"/>
        <v>0</v>
      </c>
    </row>
    <row r="372" spans="1:19">
      <c r="A372" s="142"/>
      <c r="B372" s="52"/>
      <c r="C372" s="21">
        <f t="shared" si="56"/>
        <v>1</v>
      </c>
      <c r="D372" s="635"/>
      <c r="E372" s="21">
        <f t="shared" si="57"/>
        <v>1</v>
      </c>
      <c r="F372" s="635"/>
      <c r="G372" s="21">
        <f t="shared" si="58"/>
        <v>1</v>
      </c>
      <c r="H372" s="635"/>
      <c r="I372" s="21">
        <f t="shared" si="59"/>
        <v>1</v>
      </c>
      <c r="J372" s="635"/>
      <c r="K372" s="21">
        <f t="shared" si="60"/>
        <v>1</v>
      </c>
      <c r="L372" s="635"/>
      <c r="M372" s="21">
        <f t="shared" si="61"/>
        <v>1</v>
      </c>
      <c r="N372" s="635"/>
      <c r="O372" s="21">
        <f t="shared" si="62"/>
        <v>1</v>
      </c>
      <c r="P372" s="635"/>
      <c r="Q372" s="21">
        <f t="shared" si="63"/>
        <v>0</v>
      </c>
      <c r="R372" s="21">
        <f t="shared" si="64"/>
        <v>0</v>
      </c>
      <c r="S372" s="308">
        <f t="shared" si="55"/>
        <v>0</v>
      </c>
    </row>
    <row r="373" spans="1:19">
      <c r="A373" s="142"/>
      <c r="B373" s="52"/>
      <c r="C373" s="21">
        <f t="shared" si="56"/>
        <v>1</v>
      </c>
      <c r="D373" s="635"/>
      <c r="E373" s="21">
        <f t="shared" si="57"/>
        <v>1</v>
      </c>
      <c r="F373" s="635"/>
      <c r="G373" s="21">
        <f t="shared" si="58"/>
        <v>1</v>
      </c>
      <c r="H373" s="635"/>
      <c r="I373" s="21">
        <f t="shared" si="59"/>
        <v>1</v>
      </c>
      <c r="J373" s="635"/>
      <c r="K373" s="21">
        <f t="shared" si="60"/>
        <v>1</v>
      </c>
      <c r="L373" s="635"/>
      <c r="M373" s="21">
        <f t="shared" si="61"/>
        <v>1</v>
      </c>
      <c r="N373" s="635"/>
      <c r="O373" s="21">
        <f t="shared" si="62"/>
        <v>1</v>
      </c>
      <c r="P373" s="635"/>
      <c r="Q373" s="21">
        <f t="shared" si="63"/>
        <v>0</v>
      </c>
      <c r="R373" s="21">
        <f t="shared" si="64"/>
        <v>0</v>
      </c>
      <c r="S373" s="308">
        <f t="shared" si="55"/>
        <v>0</v>
      </c>
    </row>
    <row r="374" spans="1:19">
      <c r="A374" s="142"/>
      <c r="B374" s="52"/>
      <c r="C374" s="21">
        <f t="shared" si="56"/>
        <v>1</v>
      </c>
      <c r="D374" s="635"/>
      <c r="E374" s="21">
        <f t="shared" si="57"/>
        <v>1</v>
      </c>
      <c r="F374" s="635"/>
      <c r="G374" s="21">
        <f t="shared" si="58"/>
        <v>1</v>
      </c>
      <c r="H374" s="635"/>
      <c r="I374" s="21">
        <f t="shared" si="59"/>
        <v>1</v>
      </c>
      <c r="J374" s="635"/>
      <c r="K374" s="21">
        <f t="shared" si="60"/>
        <v>1</v>
      </c>
      <c r="L374" s="635"/>
      <c r="M374" s="21">
        <f t="shared" si="61"/>
        <v>1</v>
      </c>
      <c r="N374" s="635"/>
      <c r="O374" s="21">
        <f t="shared" si="62"/>
        <v>1</v>
      </c>
      <c r="P374" s="635"/>
      <c r="Q374" s="21">
        <f t="shared" si="63"/>
        <v>0</v>
      </c>
      <c r="R374" s="21">
        <f t="shared" si="64"/>
        <v>0</v>
      </c>
      <c r="S374" s="308">
        <f t="shared" si="55"/>
        <v>0</v>
      </c>
    </row>
    <row r="375" spans="1:19">
      <c r="A375" s="142"/>
      <c r="B375" s="52"/>
      <c r="C375" s="21">
        <f t="shared" si="56"/>
        <v>1</v>
      </c>
      <c r="D375" s="635"/>
      <c r="E375" s="21">
        <f t="shared" si="57"/>
        <v>1</v>
      </c>
      <c r="F375" s="635"/>
      <c r="G375" s="21">
        <f t="shared" si="58"/>
        <v>1</v>
      </c>
      <c r="H375" s="635"/>
      <c r="I375" s="21">
        <f t="shared" si="59"/>
        <v>1</v>
      </c>
      <c r="J375" s="635"/>
      <c r="K375" s="21">
        <f t="shared" si="60"/>
        <v>1</v>
      </c>
      <c r="L375" s="635"/>
      <c r="M375" s="21">
        <f t="shared" si="61"/>
        <v>1</v>
      </c>
      <c r="N375" s="635"/>
      <c r="O375" s="21">
        <f t="shared" si="62"/>
        <v>1</v>
      </c>
      <c r="P375" s="635"/>
      <c r="Q375" s="21">
        <f t="shared" si="63"/>
        <v>0</v>
      </c>
      <c r="R375" s="21">
        <f t="shared" si="64"/>
        <v>0</v>
      </c>
      <c r="S375" s="308">
        <f t="shared" si="55"/>
        <v>0</v>
      </c>
    </row>
    <row r="376" spans="1:19">
      <c r="A376" s="142"/>
      <c r="B376" s="52"/>
      <c r="C376" s="21">
        <f t="shared" si="56"/>
        <v>1</v>
      </c>
      <c r="D376" s="635"/>
      <c r="E376" s="21">
        <f t="shared" si="57"/>
        <v>1</v>
      </c>
      <c r="F376" s="635"/>
      <c r="G376" s="21">
        <f t="shared" si="58"/>
        <v>1</v>
      </c>
      <c r="H376" s="635"/>
      <c r="I376" s="21">
        <f t="shared" si="59"/>
        <v>1</v>
      </c>
      <c r="J376" s="635"/>
      <c r="K376" s="21">
        <f t="shared" si="60"/>
        <v>1</v>
      </c>
      <c r="L376" s="635"/>
      <c r="M376" s="21">
        <f t="shared" si="61"/>
        <v>1</v>
      </c>
      <c r="N376" s="635"/>
      <c r="O376" s="21">
        <f t="shared" si="62"/>
        <v>1</v>
      </c>
      <c r="P376" s="635"/>
      <c r="Q376" s="21">
        <f t="shared" si="63"/>
        <v>0</v>
      </c>
      <c r="R376" s="21">
        <f t="shared" si="64"/>
        <v>0</v>
      </c>
      <c r="S376" s="308">
        <f t="shared" si="55"/>
        <v>0</v>
      </c>
    </row>
    <row r="377" spans="1:19">
      <c r="A377" s="142"/>
      <c r="B377" s="52"/>
      <c r="C377" s="21">
        <f t="shared" si="56"/>
        <v>1</v>
      </c>
      <c r="D377" s="635"/>
      <c r="E377" s="21">
        <f t="shared" si="57"/>
        <v>1</v>
      </c>
      <c r="F377" s="635"/>
      <c r="G377" s="21">
        <f t="shared" si="58"/>
        <v>1</v>
      </c>
      <c r="H377" s="635"/>
      <c r="I377" s="21">
        <f t="shared" si="59"/>
        <v>1</v>
      </c>
      <c r="J377" s="635"/>
      <c r="K377" s="21">
        <f t="shared" si="60"/>
        <v>1</v>
      </c>
      <c r="L377" s="635"/>
      <c r="M377" s="21">
        <f t="shared" si="61"/>
        <v>1</v>
      </c>
      <c r="N377" s="635"/>
      <c r="O377" s="21">
        <f t="shared" si="62"/>
        <v>1</v>
      </c>
      <c r="P377" s="635"/>
      <c r="Q377" s="21">
        <f t="shared" si="63"/>
        <v>0</v>
      </c>
      <c r="R377" s="21">
        <f t="shared" si="64"/>
        <v>0</v>
      </c>
      <c r="S377" s="308">
        <f t="shared" si="55"/>
        <v>0</v>
      </c>
    </row>
    <row r="378" spans="1:19">
      <c r="A378" s="142"/>
      <c r="B378" s="52"/>
      <c r="C378" s="21">
        <f t="shared" si="56"/>
        <v>1</v>
      </c>
      <c r="D378" s="635"/>
      <c r="E378" s="21">
        <f t="shared" si="57"/>
        <v>1</v>
      </c>
      <c r="F378" s="635"/>
      <c r="G378" s="21">
        <f t="shared" si="58"/>
        <v>1</v>
      </c>
      <c r="H378" s="635"/>
      <c r="I378" s="21">
        <f t="shared" si="59"/>
        <v>1</v>
      </c>
      <c r="J378" s="635"/>
      <c r="K378" s="21">
        <f t="shared" si="60"/>
        <v>1</v>
      </c>
      <c r="L378" s="635"/>
      <c r="M378" s="21">
        <f t="shared" si="61"/>
        <v>1</v>
      </c>
      <c r="N378" s="635"/>
      <c r="O378" s="21">
        <f t="shared" si="62"/>
        <v>1</v>
      </c>
      <c r="P378" s="635"/>
      <c r="Q378" s="21">
        <f t="shared" si="63"/>
        <v>0</v>
      </c>
      <c r="R378" s="21">
        <f t="shared" si="64"/>
        <v>0</v>
      </c>
      <c r="S378" s="308">
        <f t="shared" si="55"/>
        <v>0</v>
      </c>
    </row>
    <row r="379" spans="1:19">
      <c r="A379" s="142"/>
      <c r="B379" s="52"/>
      <c r="C379" s="21">
        <f t="shared" si="56"/>
        <v>1</v>
      </c>
      <c r="D379" s="635"/>
      <c r="E379" s="21">
        <f t="shared" si="57"/>
        <v>1</v>
      </c>
      <c r="F379" s="635"/>
      <c r="G379" s="21">
        <f t="shared" si="58"/>
        <v>1</v>
      </c>
      <c r="H379" s="635"/>
      <c r="I379" s="21">
        <f t="shared" si="59"/>
        <v>1</v>
      </c>
      <c r="J379" s="635"/>
      <c r="K379" s="21">
        <f t="shared" si="60"/>
        <v>1</v>
      </c>
      <c r="L379" s="635"/>
      <c r="M379" s="21">
        <f t="shared" si="61"/>
        <v>1</v>
      </c>
      <c r="N379" s="635"/>
      <c r="O379" s="21">
        <f t="shared" si="62"/>
        <v>1</v>
      </c>
      <c r="P379" s="635"/>
      <c r="Q379" s="21">
        <f t="shared" si="63"/>
        <v>0</v>
      </c>
      <c r="R379" s="21">
        <f t="shared" si="64"/>
        <v>0</v>
      </c>
      <c r="S379" s="308">
        <f t="shared" si="55"/>
        <v>0</v>
      </c>
    </row>
    <row r="380" spans="1:19">
      <c r="A380" s="142"/>
      <c r="B380" s="52"/>
      <c r="C380" s="21">
        <f t="shared" si="56"/>
        <v>1</v>
      </c>
      <c r="D380" s="635"/>
      <c r="E380" s="21">
        <f t="shared" si="57"/>
        <v>1</v>
      </c>
      <c r="F380" s="635"/>
      <c r="G380" s="21">
        <f t="shared" si="58"/>
        <v>1</v>
      </c>
      <c r="H380" s="635"/>
      <c r="I380" s="21">
        <f t="shared" si="59"/>
        <v>1</v>
      </c>
      <c r="J380" s="635"/>
      <c r="K380" s="21">
        <f t="shared" si="60"/>
        <v>1</v>
      </c>
      <c r="L380" s="635"/>
      <c r="M380" s="21">
        <f t="shared" si="61"/>
        <v>1</v>
      </c>
      <c r="N380" s="635"/>
      <c r="O380" s="21">
        <f t="shared" si="62"/>
        <v>1</v>
      </c>
      <c r="P380" s="635"/>
      <c r="Q380" s="21">
        <f t="shared" si="63"/>
        <v>0</v>
      </c>
      <c r="R380" s="21">
        <f t="shared" si="64"/>
        <v>0</v>
      </c>
      <c r="S380" s="308">
        <f t="shared" si="55"/>
        <v>0</v>
      </c>
    </row>
    <row r="381" spans="1:19">
      <c r="A381" s="142"/>
      <c r="B381" s="52"/>
      <c r="C381" s="21">
        <f t="shared" si="56"/>
        <v>1</v>
      </c>
      <c r="D381" s="635"/>
      <c r="E381" s="21">
        <f t="shared" si="57"/>
        <v>1</v>
      </c>
      <c r="F381" s="635"/>
      <c r="G381" s="21">
        <f t="shared" si="58"/>
        <v>1</v>
      </c>
      <c r="H381" s="635"/>
      <c r="I381" s="21">
        <f t="shared" si="59"/>
        <v>1</v>
      </c>
      <c r="J381" s="635"/>
      <c r="K381" s="21">
        <f t="shared" si="60"/>
        <v>1</v>
      </c>
      <c r="L381" s="635"/>
      <c r="M381" s="21">
        <f t="shared" si="61"/>
        <v>1</v>
      </c>
      <c r="N381" s="635"/>
      <c r="O381" s="21">
        <f t="shared" si="62"/>
        <v>1</v>
      </c>
      <c r="P381" s="635"/>
      <c r="Q381" s="21">
        <f t="shared" si="63"/>
        <v>0</v>
      </c>
      <c r="R381" s="21">
        <f t="shared" si="64"/>
        <v>0</v>
      </c>
      <c r="S381" s="308">
        <f t="shared" si="55"/>
        <v>0</v>
      </c>
    </row>
    <row r="382" spans="1:19">
      <c r="A382" s="142"/>
      <c r="B382" s="52"/>
      <c r="C382" s="21">
        <f t="shared" si="56"/>
        <v>1</v>
      </c>
      <c r="D382" s="635"/>
      <c r="E382" s="21">
        <f t="shared" si="57"/>
        <v>1</v>
      </c>
      <c r="F382" s="635"/>
      <c r="G382" s="21">
        <f t="shared" si="58"/>
        <v>1</v>
      </c>
      <c r="H382" s="635"/>
      <c r="I382" s="21">
        <f t="shared" si="59"/>
        <v>1</v>
      </c>
      <c r="J382" s="635"/>
      <c r="K382" s="21">
        <f t="shared" si="60"/>
        <v>1</v>
      </c>
      <c r="L382" s="635"/>
      <c r="M382" s="21">
        <f t="shared" si="61"/>
        <v>1</v>
      </c>
      <c r="N382" s="635"/>
      <c r="O382" s="21">
        <f t="shared" si="62"/>
        <v>1</v>
      </c>
      <c r="P382" s="635"/>
      <c r="Q382" s="21">
        <f t="shared" si="63"/>
        <v>0</v>
      </c>
      <c r="R382" s="21">
        <f t="shared" si="64"/>
        <v>0</v>
      </c>
      <c r="S382" s="308">
        <f t="shared" si="55"/>
        <v>0</v>
      </c>
    </row>
    <row r="383" spans="1:19">
      <c r="A383" s="142"/>
      <c r="B383" s="52"/>
      <c r="C383" s="21">
        <f t="shared" si="56"/>
        <v>1</v>
      </c>
      <c r="D383" s="635"/>
      <c r="E383" s="21">
        <f t="shared" si="57"/>
        <v>1</v>
      </c>
      <c r="F383" s="635"/>
      <c r="G383" s="21">
        <f t="shared" si="58"/>
        <v>1</v>
      </c>
      <c r="H383" s="635"/>
      <c r="I383" s="21">
        <f t="shared" si="59"/>
        <v>1</v>
      </c>
      <c r="J383" s="635"/>
      <c r="K383" s="21">
        <f t="shared" si="60"/>
        <v>1</v>
      </c>
      <c r="L383" s="635"/>
      <c r="M383" s="21">
        <f t="shared" si="61"/>
        <v>1</v>
      </c>
      <c r="N383" s="635"/>
      <c r="O383" s="21">
        <f t="shared" si="62"/>
        <v>1</v>
      </c>
      <c r="P383" s="635"/>
      <c r="Q383" s="21">
        <f t="shared" si="63"/>
        <v>0</v>
      </c>
      <c r="R383" s="21">
        <f t="shared" si="64"/>
        <v>0</v>
      </c>
      <c r="S383" s="308">
        <f t="shared" si="55"/>
        <v>0</v>
      </c>
    </row>
    <row r="384" spans="1:19">
      <c r="A384" s="142"/>
      <c r="B384" s="52"/>
      <c r="C384" s="21">
        <f t="shared" si="56"/>
        <v>1</v>
      </c>
      <c r="D384" s="635"/>
      <c r="E384" s="21">
        <f t="shared" si="57"/>
        <v>1</v>
      </c>
      <c r="F384" s="635"/>
      <c r="G384" s="21">
        <f t="shared" si="58"/>
        <v>1</v>
      </c>
      <c r="H384" s="635"/>
      <c r="I384" s="21">
        <f t="shared" si="59"/>
        <v>1</v>
      </c>
      <c r="J384" s="635"/>
      <c r="K384" s="21">
        <f t="shared" si="60"/>
        <v>1</v>
      </c>
      <c r="L384" s="635"/>
      <c r="M384" s="21">
        <f t="shared" si="61"/>
        <v>1</v>
      </c>
      <c r="N384" s="635"/>
      <c r="O384" s="21">
        <f t="shared" si="62"/>
        <v>1</v>
      </c>
      <c r="P384" s="635"/>
      <c r="Q384" s="21">
        <f t="shared" si="63"/>
        <v>0</v>
      </c>
      <c r="R384" s="21">
        <f t="shared" si="64"/>
        <v>0</v>
      </c>
      <c r="S384" s="308">
        <f t="shared" si="55"/>
        <v>0</v>
      </c>
    </row>
    <row r="385" spans="1:19">
      <c r="A385" s="142"/>
      <c r="B385" s="52"/>
      <c r="C385" s="21">
        <f t="shared" si="56"/>
        <v>1</v>
      </c>
      <c r="D385" s="635"/>
      <c r="E385" s="21">
        <f t="shared" si="57"/>
        <v>1</v>
      </c>
      <c r="F385" s="635"/>
      <c r="G385" s="21">
        <f t="shared" si="58"/>
        <v>1</v>
      </c>
      <c r="H385" s="635"/>
      <c r="I385" s="21">
        <f t="shared" si="59"/>
        <v>1</v>
      </c>
      <c r="J385" s="635"/>
      <c r="K385" s="21">
        <f t="shared" si="60"/>
        <v>1</v>
      </c>
      <c r="L385" s="635"/>
      <c r="M385" s="21">
        <f t="shared" si="61"/>
        <v>1</v>
      </c>
      <c r="N385" s="635"/>
      <c r="O385" s="21">
        <f t="shared" si="62"/>
        <v>1</v>
      </c>
      <c r="P385" s="635"/>
      <c r="Q385" s="21">
        <f t="shared" si="63"/>
        <v>0</v>
      </c>
      <c r="R385" s="21">
        <f t="shared" si="64"/>
        <v>0</v>
      </c>
      <c r="S385" s="308">
        <f t="shared" si="55"/>
        <v>0</v>
      </c>
    </row>
    <row r="386" spans="1:19">
      <c r="A386" s="142"/>
      <c r="B386" s="52"/>
      <c r="C386" s="21">
        <f t="shared" si="56"/>
        <v>1</v>
      </c>
      <c r="D386" s="635"/>
      <c r="E386" s="21">
        <f t="shared" si="57"/>
        <v>1</v>
      </c>
      <c r="F386" s="635"/>
      <c r="G386" s="21">
        <f t="shared" si="58"/>
        <v>1</v>
      </c>
      <c r="H386" s="635"/>
      <c r="I386" s="21">
        <f t="shared" si="59"/>
        <v>1</v>
      </c>
      <c r="J386" s="635"/>
      <c r="K386" s="21">
        <f t="shared" si="60"/>
        <v>1</v>
      </c>
      <c r="L386" s="635"/>
      <c r="M386" s="21">
        <f t="shared" si="61"/>
        <v>1</v>
      </c>
      <c r="N386" s="635"/>
      <c r="O386" s="21">
        <f t="shared" si="62"/>
        <v>1</v>
      </c>
      <c r="P386" s="635"/>
      <c r="Q386" s="21">
        <f t="shared" si="63"/>
        <v>0</v>
      </c>
      <c r="R386" s="21">
        <f t="shared" si="64"/>
        <v>0</v>
      </c>
      <c r="S386" s="308">
        <f t="shared" si="55"/>
        <v>0</v>
      </c>
    </row>
    <row r="387" spans="1:19">
      <c r="A387" s="142"/>
      <c r="B387" s="52"/>
      <c r="C387" s="21">
        <f t="shared" si="56"/>
        <v>1</v>
      </c>
      <c r="D387" s="635"/>
      <c r="E387" s="21">
        <f t="shared" si="57"/>
        <v>1</v>
      </c>
      <c r="F387" s="635"/>
      <c r="G387" s="21">
        <f t="shared" si="58"/>
        <v>1</v>
      </c>
      <c r="H387" s="635"/>
      <c r="I387" s="21">
        <f t="shared" si="59"/>
        <v>1</v>
      </c>
      <c r="J387" s="635"/>
      <c r="K387" s="21">
        <f t="shared" si="60"/>
        <v>1</v>
      </c>
      <c r="L387" s="635"/>
      <c r="M387" s="21">
        <f t="shared" si="61"/>
        <v>1</v>
      </c>
      <c r="N387" s="635"/>
      <c r="O387" s="21">
        <f t="shared" si="62"/>
        <v>1</v>
      </c>
      <c r="P387" s="635"/>
      <c r="Q387" s="21">
        <f t="shared" si="63"/>
        <v>0</v>
      </c>
      <c r="R387" s="21">
        <f t="shared" si="64"/>
        <v>0</v>
      </c>
      <c r="S387" s="308">
        <f t="shared" si="55"/>
        <v>0</v>
      </c>
    </row>
    <row r="388" spans="1:19">
      <c r="A388" s="142"/>
      <c r="B388" s="52"/>
      <c r="C388" s="21">
        <f t="shared" si="56"/>
        <v>1</v>
      </c>
      <c r="D388" s="635"/>
      <c r="E388" s="21">
        <f t="shared" si="57"/>
        <v>1</v>
      </c>
      <c r="F388" s="635"/>
      <c r="G388" s="21">
        <f t="shared" si="58"/>
        <v>1</v>
      </c>
      <c r="H388" s="635"/>
      <c r="I388" s="21">
        <f t="shared" si="59"/>
        <v>1</v>
      </c>
      <c r="J388" s="635"/>
      <c r="K388" s="21">
        <f t="shared" si="60"/>
        <v>1</v>
      </c>
      <c r="L388" s="635"/>
      <c r="M388" s="21">
        <f t="shared" si="61"/>
        <v>1</v>
      </c>
      <c r="N388" s="635"/>
      <c r="O388" s="21">
        <f t="shared" si="62"/>
        <v>1</v>
      </c>
      <c r="P388" s="635"/>
      <c r="Q388" s="21">
        <f t="shared" si="63"/>
        <v>0</v>
      </c>
      <c r="R388" s="21">
        <f t="shared" si="64"/>
        <v>0</v>
      </c>
      <c r="S388" s="308">
        <f t="shared" si="55"/>
        <v>0</v>
      </c>
    </row>
    <row r="389" spans="1:19">
      <c r="A389" s="142"/>
      <c r="B389" s="52"/>
      <c r="C389" s="21">
        <f t="shared" si="56"/>
        <v>1</v>
      </c>
      <c r="D389" s="635"/>
      <c r="E389" s="21">
        <f t="shared" si="57"/>
        <v>1</v>
      </c>
      <c r="F389" s="635"/>
      <c r="G389" s="21">
        <f t="shared" si="58"/>
        <v>1</v>
      </c>
      <c r="H389" s="635"/>
      <c r="I389" s="21">
        <f t="shared" si="59"/>
        <v>1</v>
      </c>
      <c r="J389" s="635"/>
      <c r="K389" s="21">
        <f t="shared" si="60"/>
        <v>1</v>
      </c>
      <c r="L389" s="635"/>
      <c r="M389" s="21">
        <f t="shared" si="61"/>
        <v>1</v>
      </c>
      <c r="N389" s="635"/>
      <c r="O389" s="21">
        <f t="shared" si="62"/>
        <v>1</v>
      </c>
      <c r="P389" s="635"/>
      <c r="Q389" s="21">
        <f t="shared" si="63"/>
        <v>0</v>
      </c>
      <c r="R389" s="21">
        <f t="shared" si="64"/>
        <v>0</v>
      </c>
      <c r="S389" s="308">
        <f t="shared" si="55"/>
        <v>0</v>
      </c>
    </row>
    <row r="390" spans="1:19">
      <c r="A390" s="142"/>
      <c r="B390" s="52"/>
      <c r="C390" s="21">
        <f t="shared" si="56"/>
        <v>1</v>
      </c>
      <c r="D390" s="635"/>
      <c r="E390" s="21">
        <f t="shared" si="57"/>
        <v>1</v>
      </c>
      <c r="F390" s="635"/>
      <c r="G390" s="21">
        <f t="shared" si="58"/>
        <v>1</v>
      </c>
      <c r="H390" s="635"/>
      <c r="I390" s="21">
        <f t="shared" si="59"/>
        <v>1</v>
      </c>
      <c r="J390" s="635"/>
      <c r="K390" s="21">
        <f t="shared" si="60"/>
        <v>1</v>
      </c>
      <c r="L390" s="635"/>
      <c r="M390" s="21">
        <f t="shared" si="61"/>
        <v>1</v>
      </c>
      <c r="N390" s="635"/>
      <c r="O390" s="21">
        <f t="shared" si="62"/>
        <v>1</v>
      </c>
      <c r="P390" s="635"/>
      <c r="Q390" s="21">
        <f t="shared" si="63"/>
        <v>0</v>
      </c>
      <c r="R390" s="21">
        <f t="shared" si="64"/>
        <v>0</v>
      </c>
      <c r="S390" s="308">
        <f t="shared" si="55"/>
        <v>0</v>
      </c>
    </row>
    <row r="391" spans="1:19">
      <c r="A391" s="142"/>
      <c r="B391" s="52"/>
      <c r="C391" s="21">
        <f t="shared" si="56"/>
        <v>1</v>
      </c>
      <c r="D391" s="635"/>
      <c r="E391" s="21">
        <f t="shared" si="57"/>
        <v>1</v>
      </c>
      <c r="F391" s="635"/>
      <c r="G391" s="21">
        <f t="shared" si="58"/>
        <v>1</v>
      </c>
      <c r="H391" s="635"/>
      <c r="I391" s="21">
        <f t="shared" si="59"/>
        <v>1</v>
      </c>
      <c r="J391" s="635"/>
      <c r="K391" s="21">
        <f t="shared" si="60"/>
        <v>1</v>
      </c>
      <c r="L391" s="635"/>
      <c r="M391" s="21">
        <f t="shared" si="61"/>
        <v>1</v>
      </c>
      <c r="N391" s="635"/>
      <c r="O391" s="21">
        <f t="shared" si="62"/>
        <v>1</v>
      </c>
      <c r="P391" s="635"/>
      <c r="Q391" s="21">
        <f t="shared" si="63"/>
        <v>0</v>
      </c>
      <c r="R391" s="21">
        <f t="shared" si="64"/>
        <v>0</v>
      </c>
      <c r="S391" s="308">
        <f t="shared" si="55"/>
        <v>0</v>
      </c>
    </row>
    <row r="392" spans="1:19">
      <c r="A392" s="142"/>
      <c r="B392" s="52"/>
      <c r="C392" s="21">
        <f t="shared" si="56"/>
        <v>1</v>
      </c>
      <c r="D392" s="635"/>
      <c r="E392" s="21">
        <f t="shared" si="57"/>
        <v>1</v>
      </c>
      <c r="F392" s="635"/>
      <c r="G392" s="21">
        <f t="shared" si="58"/>
        <v>1</v>
      </c>
      <c r="H392" s="635"/>
      <c r="I392" s="21">
        <f t="shared" si="59"/>
        <v>1</v>
      </c>
      <c r="J392" s="635"/>
      <c r="K392" s="21">
        <f t="shared" si="60"/>
        <v>1</v>
      </c>
      <c r="L392" s="635"/>
      <c r="M392" s="21">
        <f t="shared" si="61"/>
        <v>1</v>
      </c>
      <c r="N392" s="635"/>
      <c r="O392" s="21">
        <f t="shared" si="62"/>
        <v>1</v>
      </c>
      <c r="P392" s="635"/>
      <c r="Q392" s="21">
        <f t="shared" si="63"/>
        <v>0</v>
      </c>
      <c r="R392" s="21">
        <f t="shared" si="64"/>
        <v>0</v>
      </c>
      <c r="S392" s="308">
        <f t="shared" si="55"/>
        <v>0</v>
      </c>
    </row>
    <row r="393" spans="1:19">
      <c r="A393" s="142"/>
      <c r="B393" s="52"/>
      <c r="C393" s="21">
        <f t="shared" si="56"/>
        <v>1</v>
      </c>
      <c r="D393" s="635"/>
      <c r="E393" s="21">
        <f t="shared" si="57"/>
        <v>1</v>
      </c>
      <c r="F393" s="635"/>
      <c r="G393" s="21">
        <f t="shared" si="58"/>
        <v>1</v>
      </c>
      <c r="H393" s="635"/>
      <c r="I393" s="21">
        <f t="shared" si="59"/>
        <v>1</v>
      </c>
      <c r="J393" s="635"/>
      <c r="K393" s="21">
        <f t="shared" si="60"/>
        <v>1</v>
      </c>
      <c r="L393" s="635"/>
      <c r="M393" s="21">
        <f t="shared" si="61"/>
        <v>1</v>
      </c>
      <c r="N393" s="635"/>
      <c r="O393" s="21">
        <f t="shared" si="62"/>
        <v>1</v>
      </c>
      <c r="P393" s="635"/>
      <c r="Q393" s="21">
        <f t="shared" si="63"/>
        <v>0</v>
      </c>
      <c r="R393" s="21">
        <f t="shared" si="64"/>
        <v>0</v>
      </c>
      <c r="S393" s="308">
        <f t="shared" si="55"/>
        <v>0</v>
      </c>
    </row>
    <row r="394" spans="1:19">
      <c r="A394" s="142"/>
      <c r="B394" s="52"/>
      <c r="C394" s="21">
        <f t="shared" si="56"/>
        <v>1</v>
      </c>
      <c r="D394" s="635"/>
      <c r="E394" s="21">
        <f t="shared" si="57"/>
        <v>1</v>
      </c>
      <c r="F394" s="635"/>
      <c r="G394" s="21">
        <f t="shared" si="58"/>
        <v>1</v>
      </c>
      <c r="H394" s="635"/>
      <c r="I394" s="21">
        <f t="shared" si="59"/>
        <v>1</v>
      </c>
      <c r="J394" s="635"/>
      <c r="K394" s="21">
        <f t="shared" si="60"/>
        <v>1</v>
      </c>
      <c r="L394" s="635"/>
      <c r="M394" s="21">
        <f t="shared" si="61"/>
        <v>1</v>
      </c>
      <c r="N394" s="635"/>
      <c r="O394" s="21">
        <f t="shared" si="62"/>
        <v>1</v>
      </c>
      <c r="P394" s="635"/>
      <c r="Q394" s="21">
        <f t="shared" si="63"/>
        <v>0</v>
      </c>
      <c r="R394" s="21">
        <f t="shared" si="64"/>
        <v>0</v>
      </c>
      <c r="S394" s="308">
        <f t="shared" si="55"/>
        <v>0</v>
      </c>
    </row>
    <row r="395" spans="1:19">
      <c r="A395" s="142"/>
      <c r="B395" s="52"/>
      <c r="C395" s="21">
        <f t="shared" si="56"/>
        <v>1</v>
      </c>
      <c r="D395" s="635"/>
      <c r="E395" s="21">
        <f t="shared" si="57"/>
        <v>1</v>
      </c>
      <c r="F395" s="635"/>
      <c r="G395" s="21">
        <f t="shared" si="58"/>
        <v>1</v>
      </c>
      <c r="H395" s="635"/>
      <c r="I395" s="21">
        <f t="shared" si="59"/>
        <v>1</v>
      </c>
      <c r="J395" s="635"/>
      <c r="K395" s="21">
        <f t="shared" si="60"/>
        <v>1</v>
      </c>
      <c r="L395" s="635"/>
      <c r="M395" s="21">
        <f t="shared" si="61"/>
        <v>1</v>
      </c>
      <c r="N395" s="635"/>
      <c r="O395" s="21">
        <f t="shared" si="62"/>
        <v>1</v>
      </c>
      <c r="P395" s="635"/>
      <c r="Q395" s="21">
        <f t="shared" si="63"/>
        <v>0</v>
      </c>
      <c r="R395" s="21">
        <f t="shared" si="64"/>
        <v>0</v>
      </c>
      <c r="S395" s="308">
        <f t="shared" si="55"/>
        <v>0</v>
      </c>
    </row>
    <row r="396" spans="1:19">
      <c r="A396" s="142"/>
      <c r="B396" s="52"/>
      <c r="C396" s="21">
        <f t="shared" si="56"/>
        <v>1</v>
      </c>
      <c r="D396" s="635"/>
      <c r="E396" s="21">
        <f t="shared" si="57"/>
        <v>1</v>
      </c>
      <c r="F396" s="635"/>
      <c r="G396" s="21">
        <f t="shared" si="58"/>
        <v>1</v>
      </c>
      <c r="H396" s="635"/>
      <c r="I396" s="21">
        <f t="shared" si="59"/>
        <v>1</v>
      </c>
      <c r="J396" s="635"/>
      <c r="K396" s="21">
        <f t="shared" si="60"/>
        <v>1</v>
      </c>
      <c r="L396" s="635"/>
      <c r="M396" s="21">
        <f t="shared" si="61"/>
        <v>1</v>
      </c>
      <c r="N396" s="635"/>
      <c r="O396" s="21">
        <f t="shared" si="62"/>
        <v>1</v>
      </c>
      <c r="P396" s="635"/>
      <c r="Q396" s="21">
        <f t="shared" si="63"/>
        <v>0</v>
      </c>
      <c r="R396" s="21">
        <f t="shared" si="64"/>
        <v>0</v>
      </c>
      <c r="S396" s="308">
        <f t="shared" si="55"/>
        <v>0</v>
      </c>
    </row>
    <row r="397" spans="1:19">
      <c r="A397" s="142"/>
      <c r="B397" s="52"/>
      <c r="C397" s="21">
        <f t="shared" si="56"/>
        <v>1</v>
      </c>
      <c r="D397" s="635"/>
      <c r="E397" s="21">
        <f t="shared" si="57"/>
        <v>1</v>
      </c>
      <c r="F397" s="635"/>
      <c r="G397" s="21">
        <f t="shared" si="58"/>
        <v>1</v>
      </c>
      <c r="H397" s="635"/>
      <c r="I397" s="21">
        <f t="shared" si="59"/>
        <v>1</v>
      </c>
      <c r="J397" s="635"/>
      <c r="K397" s="21">
        <f t="shared" si="60"/>
        <v>1</v>
      </c>
      <c r="L397" s="635"/>
      <c r="M397" s="21">
        <f t="shared" si="61"/>
        <v>1</v>
      </c>
      <c r="N397" s="635"/>
      <c r="O397" s="21">
        <f t="shared" si="62"/>
        <v>1</v>
      </c>
      <c r="P397" s="635"/>
      <c r="Q397" s="21">
        <f t="shared" si="63"/>
        <v>0</v>
      </c>
      <c r="R397" s="21">
        <f t="shared" si="64"/>
        <v>0</v>
      </c>
      <c r="S397" s="308">
        <f t="shared" si="55"/>
        <v>0</v>
      </c>
    </row>
    <row r="398" spans="1:19">
      <c r="A398" s="142"/>
      <c r="B398" s="52"/>
      <c r="C398" s="21">
        <f t="shared" si="56"/>
        <v>1</v>
      </c>
      <c r="D398" s="635"/>
      <c r="E398" s="21">
        <f t="shared" si="57"/>
        <v>1</v>
      </c>
      <c r="F398" s="635"/>
      <c r="G398" s="21">
        <f t="shared" si="58"/>
        <v>1</v>
      </c>
      <c r="H398" s="635"/>
      <c r="I398" s="21">
        <f t="shared" si="59"/>
        <v>1</v>
      </c>
      <c r="J398" s="635"/>
      <c r="K398" s="21">
        <f t="shared" si="60"/>
        <v>1</v>
      </c>
      <c r="L398" s="635"/>
      <c r="M398" s="21">
        <f t="shared" si="61"/>
        <v>1</v>
      </c>
      <c r="N398" s="635"/>
      <c r="O398" s="21">
        <f t="shared" si="62"/>
        <v>1</v>
      </c>
      <c r="P398" s="635"/>
      <c r="Q398" s="21">
        <f t="shared" si="63"/>
        <v>0</v>
      </c>
      <c r="R398" s="21">
        <f t="shared" si="64"/>
        <v>0</v>
      </c>
      <c r="S398" s="308">
        <f t="shared" si="55"/>
        <v>0</v>
      </c>
    </row>
    <row r="399" spans="1:19">
      <c r="A399" s="142"/>
      <c r="B399" s="52"/>
      <c r="C399" s="21">
        <f t="shared" si="56"/>
        <v>1</v>
      </c>
      <c r="D399" s="635"/>
      <c r="E399" s="21">
        <f t="shared" si="57"/>
        <v>1</v>
      </c>
      <c r="F399" s="635"/>
      <c r="G399" s="21">
        <f t="shared" si="58"/>
        <v>1</v>
      </c>
      <c r="H399" s="635"/>
      <c r="I399" s="21">
        <f t="shared" si="59"/>
        <v>1</v>
      </c>
      <c r="J399" s="635"/>
      <c r="K399" s="21">
        <f t="shared" si="60"/>
        <v>1</v>
      </c>
      <c r="L399" s="635"/>
      <c r="M399" s="21">
        <f t="shared" si="61"/>
        <v>1</v>
      </c>
      <c r="N399" s="635"/>
      <c r="O399" s="21">
        <f t="shared" si="62"/>
        <v>1</v>
      </c>
      <c r="P399" s="635"/>
      <c r="Q399" s="21">
        <f t="shared" si="63"/>
        <v>0</v>
      </c>
      <c r="R399" s="21">
        <f t="shared" si="64"/>
        <v>0</v>
      </c>
      <c r="S399" s="308">
        <f t="shared" si="55"/>
        <v>0</v>
      </c>
    </row>
    <row r="400" spans="1:19">
      <c r="A400" s="142"/>
      <c r="B400" s="52"/>
      <c r="C400" s="21">
        <f t="shared" si="56"/>
        <v>1</v>
      </c>
      <c r="D400" s="635"/>
      <c r="E400" s="21">
        <f t="shared" si="57"/>
        <v>1</v>
      </c>
      <c r="F400" s="635"/>
      <c r="G400" s="21">
        <f t="shared" si="58"/>
        <v>1</v>
      </c>
      <c r="H400" s="635"/>
      <c r="I400" s="21">
        <f t="shared" si="59"/>
        <v>1</v>
      </c>
      <c r="J400" s="635"/>
      <c r="K400" s="21">
        <f t="shared" si="60"/>
        <v>1</v>
      </c>
      <c r="L400" s="635"/>
      <c r="M400" s="21">
        <f t="shared" si="61"/>
        <v>1</v>
      </c>
      <c r="N400" s="635"/>
      <c r="O400" s="21">
        <f t="shared" si="62"/>
        <v>1</v>
      </c>
      <c r="P400" s="635"/>
      <c r="Q400" s="21">
        <f t="shared" si="63"/>
        <v>0</v>
      </c>
      <c r="R400" s="21">
        <f t="shared" si="64"/>
        <v>0</v>
      </c>
      <c r="S400" s="308">
        <f t="shared" si="55"/>
        <v>0</v>
      </c>
    </row>
    <row r="401" spans="1:19">
      <c r="A401" s="142"/>
      <c r="B401" s="52"/>
      <c r="C401" s="21">
        <f t="shared" si="56"/>
        <v>1</v>
      </c>
      <c r="D401" s="635"/>
      <c r="E401" s="21">
        <f t="shared" si="57"/>
        <v>1</v>
      </c>
      <c r="F401" s="635"/>
      <c r="G401" s="21">
        <f t="shared" si="58"/>
        <v>1</v>
      </c>
      <c r="H401" s="635"/>
      <c r="I401" s="21">
        <f t="shared" si="59"/>
        <v>1</v>
      </c>
      <c r="J401" s="635"/>
      <c r="K401" s="21">
        <f t="shared" si="60"/>
        <v>1</v>
      </c>
      <c r="L401" s="635"/>
      <c r="M401" s="21">
        <f t="shared" si="61"/>
        <v>1</v>
      </c>
      <c r="N401" s="635"/>
      <c r="O401" s="21">
        <f t="shared" si="62"/>
        <v>1</v>
      </c>
      <c r="P401" s="635"/>
      <c r="Q401" s="21">
        <f t="shared" si="63"/>
        <v>0</v>
      </c>
      <c r="R401" s="21">
        <f t="shared" si="64"/>
        <v>0</v>
      </c>
      <c r="S401" s="308">
        <f t="shared" si="55"/>
        <v>0</v>
      </c>
    </row>
    <row r="402" spans="1:19">
      <c r="A402" s="142"/>
      <c r="B402" s="52"/>
      <c r="C402" s="21">
        <f t="shared" si="56"/>
        <v>1</v>
      </c>
      <c r="D402" s="635"/>
      <c r="E402" s="21">
        <f t="shared" si="57"/>
        <v>1</v>
      </c>
      <c r="F402" s="635"/>
      <c r="G402" s="21">
        <f t="shared" si="58"/>
        <v>1</v>
      </c>
      <c r="H402" s="635"/>
      <c r="I402" s="21">
        <f t="shared" si="59"/>
        <v>1</v>
      </c>
      <c r="J402" s="635"/>
      <c r="K402" s="21">
        <f t="shared" si="60"/>
        <v>1</v>
      </c>
      <c r="L402" s="635"/>
      <c r="M402" s="21">
        <f t="shared" si="61"/>
        <v>1</v>
      </c>
      <c r="N402" s="635"/>
      <c r="O402" s="21">
        <f t="shared" si="62"/>
        <v>1</v>
      </c>
      <c r="P402" s="635"/>
      <c r="Q402" s="21">
        <f t="shared" si="63"/>
        <v>0</v>
      </c>
      <c r="R402" s="21">
        <f t="shared" si="64"/>
        <v>0</v>
      </c>
      <c r="S402" s="308">
        <f t="shared" si="55"/>
        <v>0</v>
      </c>
    </row>
    <row r="403" spans="1:19">
      <c r="A403" s="142"/>
      <c r="B403" s="52"/>
      <c r="C403" s="21">
        <f t="shared" si="56"/>
        <v>1</v>
      </c>
      <c r="D403" s="635"/>
      <c r="E403" s="21">
        <f t="shared" si="57"/>
        <v>1</v>
      </c>
      <c r="F403" s="635"/>
      <c r="G403" s="21">
        <f t="shared" si="58"/>
        <v>1</v>
      </c>
      <c r="H403" s="635"/>
      <c r="I403" s="21">
        <f t="shared" si="59"/>
        <v>1</v>
      </c>
      <c r="J403" s="635"/>
      <c r="K403" s="21">
        <f t="shared" si="60"/>
        <v>1</v>
      </c>
      <c r="L403" s="635"/>
      <c r="M403" s="21">
        <f t="shared" si="61"/>
        <v>1</v>
      </c>
      <c r="N403" s="635"/>
      <c r="O403" s="21">
        <f t="shared" si="62"/>
        <v>1</v>
      </c>
      <c r="P403" s="635"/>
      <c r="Q403" s="21">
        <f t="shared" si="63"/>
        <v>0</v>
      </c>
      <c r="R403" s="21">
        <f t="shared" si="64"/>
        <v>0</v>
      </c>
      <c r="S403" s="308">
        <f t="shared" si="55"/>
        <v>0</v>
      </c>
    </row>
    <row r="404" spans="1:19">
      <c r="A404" s="142"/>
      <c r="B404" s="52"/>
      <c r="C404" s="21">
        <f t="shared" si="56"/>
        <v>1</v>
      </c>
      <c r="D404" s="635"/>
      <c r="E404" s="21">
        <f t="shared" si="57"/>
        <v>1</v>
      </c>
      <c r="F404" s="635"/>
      <c r="G404" s="21">
        <f t="shared" si="58"/>
        <v>1</v>
      </c>
      <c r="H404" s="635"/>
      <c r="I404" s="21">
        <f t="shared" si="59"/>
        <v>1</v>
      </c>
      <c r="J404" s="635"/>
      <c r="K404" s="21">
        <f t="shared" si="60"/>
        <v>1</v>
      </c>
      <c r="L404" s="635"/>
      <c r="M404" s="21">
        <f t="shared" si="61"/>
        <v>1</v>
      </c>
      <c r="N404" s="635"/>
      <c r="O404" s="21">
        <f t="shared" si="62"/>
        <v>1</v>
      </c>
      <c r="P404" s="635"/>
      <c r="Q404" s="21">
        <f t="shared" si="63"/>
        <v>0</v>
      </c>
      <c r="R404" s="21">
        <f t="shared" si="64"/>
        <v>0</v>
      </c>
      <c r="S404" s="308">
        <f t="shared" si="55"/>
        <v>0</v>
      </c>
    </row>
    <row r="405" spans="1:19">
      <c r="A405" s="142"/>
      <c r="B405" s="52"/>
      <c r="C405" s="21">
        <f t="shared" si="56"/>
        <v>1</v>
      </c>
      <c r="D405" s="635"/>
      <c r="E405" s="21">
        <f t="shared" si="57"/>
        <v>1</v>
      </c>
      <c r="F405" s="635"/>
      <c r="G405" s="21">
        <f t="shared" si="58"/>
        <v>1</v>
      </c>
      <c r="H405" s="635"/>
      <c r="I405" s="21">
        <f t="shared" si="59"/>
        <v>1</v>
      </c>
      <c r="J405" s="635"/>
      <c r="K405" s="21">
        <f t="shared" si="60"/>
        <v>1</v>
      </c>
      <c r="L405" s="635"/>
      <c r="M405" s="21">
        <f t="shared" si="61"/>
        <v>1</v>
      </c>
      <c r="N405" s="635"/>
      <c r="O405" s="21">
        <f t="shared" si="62"/>
        <v>1</v>
      </c>
      <c r="P405" s="635"/>
      <c r="Q405" s="21">
        <f t="shared" si="63"/>
        <v>0</v>
      </c>
      <c r="R405" s="21">
        <f t="shared" si="64"/>
        <v>0</v>
      </c>
      <c r="S405" s="308">
        <f t="shared" si="55"/>
        <v>0</v>
      </c>
    </row>
    <row r="406" spans="1:19">
      <c r="A406" s="142"/>
      <c r="B406" s="52"/>
      <c r="C406" s="21">
        <f t="shared" si="56"/>
        <v>1</v>
      </c>
      <c r="D406" s="635"/>
      <c r="E406" s="21">
        <f t="shared" si="57"/>
        <v>1</v>
      </c>
      <c r="F406" s="635"/>
      <c r="G406" s="21">
        <f t="shared" si="58"/>
        <v>1</v>
      </c>
      <c r="H406" s="635"/>
      <c r="I406" s="21">
        <f t="shared" si="59"/>
        <v>1</v>
      </c>
      <c r="J406" s="635"/>
      <c r="K406" s="21">
        <f t="shared" si="60"/>
        <v>1</v>
      </c>
      <c r="L406" s="635"/>
      <c r="M406" s="21">
        <f t="shared" si="61"/>
        <v>1</v>
      </c>
      <c r="N406" s="635"/>
      <c r="O406" s="21">
        <f t="shared" si="62"/>
        <v>1</v>
      </c>
      <c r="P406" s="635"/>
      <c r="Q406" s="21">
        <f t="shared" si="63"/>
        <v>0</v>
      </c>
      <c r="R406" s="21">
        <f t="shared" si="64"/>
        <v>0</v>
      </c>
      <c r="S406" s="308">
        <f t="shared" si="55"/>
        <v>0</v>
      </c>
    </row>
    <row r="407" spans="1:19">
      <c r="A407" s="142"/>
      <c r="B407" s="52"/>
      <c r="C407" s="21">
        <f t="shared" si="56"/>
        <v>1</v>
      </c>
      <c r="D407" s="635"/>
      <c r="E407" s="21">
        <f t="shared" si="57"/>
        <v>1</v>
      </c>
      <c r="F407" s="635"/>
      <c r="G407" s="21">
        <f t="shared" si="58"/>
        <v>1</v>
      </c>
      <c r="H407" s="635"/>
      <c r="I407" s="21">
        <f t="shared" si="59"/>
        <v>1</v>
      </c>
      <c r="J407" s="635"/>
      <c r="K407" s="21">
        <f t="shared" si="60"/>
        <v>1</v>
      </c>
      <c r="L407" s="635"/>
      <c r="M407" s="21">
        <f t="shared" si="61"/>
        <v>1</v>
      </c>
      <c r="N407" s="635"/>
      <c r="O407" s="21">
        <f t="shared" si="62"/>
        <v>1</v>
      </c>
      <c r="P407" s="635"/>
      <c r="Q407" s="21">
        <f t="shared" si="63"/>
        <v>0</v>
      </c>
      <c r="R407" s="21">
        <f t="shared" si="64"/>
        <v>0</v>
      </c>
      <c r="S407" s="308">
        <f t="shared" si="55"/>
        <v>0</v>
      </c>
    </row>
    <row r="408" spans="1:19">
      <c r="A408" s="142"/>
      <c r="B408" s="52"/>
      <c r="C408" s="21">
        <f t="shared" si="56"/>
        <v>1</v>
      </c>
      <c r="D408" s="635"/>
      <c r="E408" s="21">
        <f t="shared" si="57"/>
        <v>1</v>
      </c>
      <c r="F408" s="635"/>
      <c r="G408" s="21">
        <f t="shared" si="58"/>
        <v>1</v>
      </c>
      <c r="H408" s="635"/>
      <c r="I408" s="21">
        <f t="shared" si="59"/>
        <v>1</v>
      </c>
      <c r="J408" s="635"/>
      <c r="K408" s="21">
        <f t="shared" si="60"/>
        <v>1</v>
      </c>
      <c r="L408" s="635"/>
      <c r="M408" s="21">
        <f t="shared" si="61"/>
        <v>1</v>
      </c>
      <c r="N408" s="635"/>
      <c r="O408" s="21">
        <f t="shared" si="62"/>
        <v>1</v>
      </c>
      <c r="P408" s="635"/>
      <c r="Q408" s="21">
        <f t="shared" si="63"/>
        <v>0</v>
      </c>
      <c r="R408" s="21">
        <f t="shared" si="64"/>
        <v>0</v>
      </c>
      <c r="S408" s="308">
        <f t="shared" ref="S408:S471" si="65">ROUND(R408*B408/10000,0)</f>
        <v>0</v>
      </c>
    </row>
    <row r="409" spans="1:19">
      <c r="A409" s="142"/>
      <c r="B409" s="52"/>
      <c r="C409" s="21">
        <f t="shared" si="56"/>
        <v>1</v>
      </c>
      <c r="D409" s="635"/>
      <c r="E409" s="21">
        <f t="shared" si="57"/>
        <v>1</v>
      </c>
      <c r="F409" s="635"/>
      <c r="G409" s="21">
        <f t="shared" si="58"/>
        <v>1</v>
      </c>
      <c r="H409" s="635"/>
      <c r="I409" s="21">
        <f t="shared" si="59"/>
        <v>1</v>
      </c>
      <c r="J409" s="635"/>
      <c r="K409" s="21">
        <f t="shared" si="60"/>
        <v>1</v>
      </c>
      <c r="L409" s="635"/>
      <c r="M409" s="21">
        <f t="shared" si="61"/>
        <v>1</v>
      </c>
      <c r="N409" s="635"/>
      <c r="O409" s="21">
        <f t="shared" si="62"/>
        <v>1</v>
      </c>
      <c r="P409" s="635"/>
      <c r="Q409" s="21">
        <f t="shared" si="63"/>
        <v>0</v>
      </c>
      <c r="R409" s="21">
        <f t="shared" si="64"/>
        <v>0</v>
      </c>
      <c r="S409" s="308">
        <f t="shared" si="65"/>
        <v>0</v>
      </c>
    </row>
    <row r="410" spans="1:19">
      <c r="A410" s="142"/>
      <c r="B410" s="52"/>
      <c r="C410" s="21">
        <f t="shared" ref="C410:C473" si="66">IF(B410="",1,(LOOKUP(B410,$3:$3,$4:$4)-LOOKUP($B$24,$3:$3,$4:$4)+100)/100)</f>
        <v>1</v>
      </c>
      <c r="D410" s="635"/>
      <c r="E410" s="21">
        <f t="shared" ref="E410:E473" si="67">(SUMIF($5:$5,D410,$6:$6)-SUMIF($5:$5,$D$24,$6:$6)+100)/100</f>
        <v>1</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0</v>
      </c>
      <c r="R410" s="21">
        <f t="shared" ref="R410:R473" si="74">IF(B410="",0,ROUND($R$24*C410*E410*G410*I410*K410*M410*O410*Q410,0))</f>
        <v>0</v>
      </c>
      <c r="S410" s="308">
        <f t="shared" si="65"/>
        <v>0</v>
      </c>
    </row>
    <row r="411" spans="1:19">
      <c r="A411" s="142"/>
      <c r="B411" s="52"/>
      <c r="C411" s="21">
        <f t="shared" si="66"/>
        <v>1</v>
      </c>
      <c r="D411" s="635"/>
      <c r="E411" s="21">
        <f t="shared" si="67"/>
        <v>1</v>
      </c>
      <c r="F411" s="635"/>
      <c r="G411" s="21">
        <f t="shared" si="68"/>
        <v>1</v>
      </c>
      <c r="H411" s="635"/>
      <c r="I411" s="21">
        <f t="shared" si="69"/>
        <v>1</v>
      </c>
      <c r="J411" s="635"/>
      <c r="K411" s="21">
        <f t="shared" si="70"/>
        <v>1</v>
      </c>
      <c r="L411" s="635"/>
      <c r="M411" s="21">
        <f t="shared" si="71"/>
        <v>1</v>
      </c>
      <c r="N411" s="635"/>
      <c r="O411" s="21">
        <f t="shared" si="72"/>
        <v>1</v>
      </c>
      <c r="P411" s="635"/>
      <c r="Q411" s="21">
        <f t="shared" si="73"/>
        <v>0</v>
      </c>
      <c r="R411" s="21">
        <f t="shared" si="74"/>
        <v>0</v>
      </c>
      <c r="S411" s="308">
        <f t="shared" si="65"/>
        <v>0</v>
      </c>
    </row>
    <row r="412" spans="1:19">
      <c r="A412" s="142"/>
      <c r="B412" s="52"/>
      <c r="C412" s="21">
        <f t="shared" si="66"/>
        <v>1</v>
      </c>
      <c r="D412" s="635"/>
      <c r="E412" s="21">
        <f t="shared" si="67"/>
        <v>1</v>
      </c>
      <c r="F412" s="635"/>
      <c r="G412" s="21">
        <f t="shared" si="68"/>
        <v>1</v>
      </c>
      <c r="H412" s="635"/>
      <c r="I412" s="21">
        <f t="shared" si="69"/>
        <v>1</v>
      </c>
      <c r="J412" s="635"/>
      <c r="K412" s="21">
        <f t="shared" si="70"/>
        <v>1</v>
      </c>
      <c r="L412" s="635"/>
      <c r="M412" s="21">
        <f t="shared" si="71"/>
        <v>1</v>
      </c>
      <c r="N412" s="635"/>
      <c r="O412" s="21">
        <f t="shared" si="72"/>
        <v>1</v>
      </c>
      <c r="P412" s="635"/>
      <c r="Q412" s="21">
        <f t="shared" si="73"/>
        <v>0</v>
      </c>
      <c r="R412" s="21">
        <f t="shared" si="74"/>
        <v>0</v>
      </c>
      <c r="S412" s="308">
        <f t="shared" si="65"/>
        <v>0</v>
      </c>
    </row>
    <row r="413" spans="1:19">
      <c r="A413" s="142"/>
      <c r="B413" s="52"/>
      <c r="C413" s="21">
        <f t="shared" si="66"/>
        <v>1</v>
      </c>
      <c r="D413" s="635"/>
      <c r="E413" s="21">
        <f t="shared" si="67"/>
        <v>1</v>
      </c>
      <c r="F413" s="635"/>
      <c r="G413" s="21">
        <f t="shared" si="68"/>
        <v>1</v>
      </c>
      <c r="H413" s="635"/>
      <c r="I413" s="21">
        <f t="shared" si="69"/>
        <v>1</v>
      </c>
      <c r="J413" s="635"/>
      <c r="K413" s="21">
        <f t="shared" si="70"/>
        <v>1</v>
      </c>
      <c r="L413" s="635"/>
      <c r="M413" s="21">
        <f t="shared" si="71"/>
        <v>1</v>
      </c>
      <c r="N413" s="635"/>
      <c r="O413" s="21">
        <f t="shared" si="72"/>
        <v>1</v>
      </c>
      <c r="P413" s="635"/>
      <c r="Q413" s="21">
        <f t="shared" si="73"/>
        <v>0</v>
      </c>
      <c r="R413" s="21">
        <f t="shared" si="74"/>
        <v>0</v>
      </c>
      <c r="S413" s="308">
        <f t="shared" si="65"/>
        <v>0</v>
      </c>
    </row>
    <row r="414" spans="1:19">
      <c r="A414" s="142"/>
      <c r="B414" s="52"/>
      <c r="C414" s="21">
        <f t="shared" si="66"/>
        <v>1</v>
      </c>
      <c r="D414" s="635"/>
      <c r="E414" s="21">
        <f t="shared" si="67"/>
        <v>1</v>
      </c>
      <c r="F414" s="635"/>
      <c r="G414" s="21">
        <f t="shared" si="68"/>
        <v>1</v>
      </c>
      <c r="H414" s="635"/>
      <c r="I414" s="21">
        <f t="shared" si="69"/>
        <v>1</v>
      </c>
      <c r="J414" s="635"/>
      <c r="K414" s="21">
        <f t="shared" si="70"/>
        <v>1</v>
      </c>
      <c r="L414" s="635"/>
      <c r="M414" s="21">
        <f t="shared" si="71"/>
        <v>1</v>
      </c>
      <c r="N414" s="635"/>
      <c r="O414" s="21">
        <f t="shared" si="72"/>
        <v>1</v>
      </c>
      <c r="P414" s="635"/>
      <c r="Q414" s="21">
        <f t="shared" si="73"/>
        <v>0</v>
      </c>
      <c r="R414" s="21">
        <f t="shared" si="74"/>
        <v>0</v>
      </c>
      <c r="S414" s="308">
        <f t="shared" si="65"/>
        <v>0</v>
      </c>
    </row>
    <row r="415" spans="1:19">
      <c r="A415" s="142"/>
      <c r="B415" s="52"/>
      <c r="C415" s="21">
        <f t="shared" si="66"/>
        <v>1</v>
      </c>
      <c r="D415" s="635"/>
      <c r="E415" s="21">
        <f t="shared" si="67"/>
        <v>1</v>
      </c>
      <c r="F415" s="635"/>
      <c r="G415" s="21">
        <f t="shared" si="68"/>
        <v>1</v>
      </c>
      <c r="H415" s="635"/>
      <c r="I415" s="21">
        <f t="shared" si="69"/>
        <v>1</v>
      </c>
      <c r="J415" s="635"/>
      <c r="K415" s="21">
        <f t="shared" si="70"/>
        <v>1</v>
      </c>
      <c r="L415" s="635"/>
      <c r="M415" s="21">
        <f t="shared" si="71"/>
        <v>1</v>
      </c>
      <c r="N415" s="635"/>
      <c r="O415" s="21">
        <f t="shared" si="72"/>
        <v>1</v>
      </c>
      <c r="P415" s="635"/>
      <c r="Q415" s="21">
        <f t="shared" si="73"/>
        <v>0</v>
      </c>
      <c r="R415" s="21">
        <f t="shared" si="74"/>
        <v>0</v>
      </c>
      <c r="S415" s="308">
        <f t="shared" si="65"/>
        <v>0</v>
      </c>
    </row>
    <row r="416" spans="1:19">
      <c r="A416" s="142"/>
      <c r="B416" s="52"/>
      <c r="C416" s="21">
        <f t="shared" si="66"/>
        <v>1</v>
      </c>
      <c r="D416" s="635"/>
      <c r="E416" s="21">
        <f t="shared" si="67"/>
        <v>1</v>
      </c>
      <c r="F416" s="635"/>
      <c r="G416" s="21">
        <f t="shared" si="68"/>
        <v>1</v>
      </c>
      <c r="H416" s="635"/>
      <c r="I416" s="21">
        <f t="shared" si="69"/>
        <v>1</v>
      </c>
      <c r="J416" s="635"/>
      <c r="K416" s="21">
        <f t="shared" si="70"/>
        <v>1</v>
      </c>
      <c r="L416" s="635"/>
      <c r="M416" s="21">
        <f t="shared" si="71"/>
        <v>1</v>
      </c>
      <c r="N416" s="635"/>
      <c r="O416" s="21">
        <f t="shared" si="72"/>
        <v>1</v>
      </c>
      <c r="P416" s="635"/>
      <c r="Q416" s="21">
        <f t="shared" si="73"/>
        <v>0</v>
      </c>
      <c r="R416" s="21">
        <f t="shared" si="74"/>
        <v>0</v>
      </c>
      <c r="S416" s="308">
        <f t="shared" si="65"/>
        <v>0</v>
      </c>
    </row>
    <row r="417" spans="1:19">
      <c r="A417" s="142"/>
      <c r="B417" s="52"/>
      <c r="C417" s="21">
        <f t="shared" si="66"/>
        <v>1</v>
      </c>
      <c r="D417" s="635"/>
      <c r="E417" s="21">
        <f t="shared" si="67"/>
        <v>1</v>
      </c>
      <c r="F417" s="635"/>
      <c r="G417" s="21">
        <f t="shared" si="68"/>
        <v>1</v>
      </c>
      <c r="H417" s="635"/>
      <c r="I417" s="21">
        <f t="shared" si="69"/>
        <v>1</v>
      </c>
      <c r="J417" s="635"/>
      <c r="K417" s="21">
        <f t="shared" si="70"/>
        <v>1</v>
      </c>
      <c r="L417" s="635"/>
      <c r="M417" s="21">
        <f t="shared" si="71"/>
        <v>1</v>
      </c>
      <c r="N417" s="635"/>
      <c r="O417" s="21">
        <f t="shared" si="72"/>
        <v>1</v>
      </c>
      <c r="P417" s="635"/>
      <c r="Q417" s="21">
        <f t="shared" si="73"/>
        <v>0</v>
      </c>
      <c r="R417" s="21">
        <f t="shared" si="74"/>
        <v>0</v>
      </c>
      <c r="S417" s="308">
        <f t="shared" si="65"/>
        <v>0</v>
      </c>
    </row>
    <row r="418" spans="1:19">
      <c r="A418" s="142"/>
      <c r="B418" s="52"/>
      <c r="C418" s="21">
        <f t="shared" si="66"/>
        <v>1</v>
      </c>
      <c r="D418" s="635"/>
      <c r="E418" s="21">
        <f t="shared" si="67"/>
        <v>1</v>
      </c>
      <c r="F418" s="635"/>
      <c r="G418" s="21">
        <f t="shared" si="68"/>
        <v>1</v>
      </c>
      <c r="H418" s="635"/>
      <c r="I418" s="21">
        <f t="shared" si="69"/>
        <v>1</v>
      </c>
      <c r="J418" s="635"/>
      <c r="K418" s="21">
        <f t="shared" si="70"/>
        <v>1</v>
      </c>
      <c r="L418" s="635"/>
      <c r="M418" s="21">
        <f t="shared" si="71"/>
        <v>1</v>
      </c>
      <c r="N418" s="635"/>
      <c r="O418" s="21">
        <f t="shared" si="72"/>
        <v>1</v>
      </c>
      <c r="P418" s="635"/>
      <c r="Q418" s="21">
        <f t="shared" si="73"/>
        <v>0</v>
      </c>
      <c r="R418" s="21">
        <f t="shared" si="74"/>
        <v>0</v>
      </c>
      <c r="S418" s="308">
        <f t="shared" si="65"/>
        <v>0</v>
      </c>
    </row>
    <row r="419" spans="1:19">
      <c r="A419" s="142"/>
      <c r="B419" s="52"/>
      <c r="C419" s="21">
        <f t="shared" si="66"/>
        <v>1</v>
      </c>
      <c r="D419" s="635"/>
      <c r="E419" s="21">
        <f t="shared" si="67"/>
        <v>1</v>
      </c>
      <c r="F419" s="635"/>
      <c r="G419" s="21">
        <f t="shared" si="68"/>
        <v>1</v>
      </c>
      <c r="H419" s="635"/>
      <c r="I419" s="21">
        <f t="shared" si="69"/>
        <v>1</v>
      </c>
      <c r="J419" s="635"/>
      <c r="K419" s="21">
        <f t="shared" si="70"/>
        <v>1</v>
      </c>
      <c r="L419" s="635"/>
      <c r="M419" s="21">
        <f t="shared" si="71"/>
        <v>1</v>
      </c>
      <c r="N419" s="635"/>
      <c r="O419" s="21">
        <f t="shared" si="72"/>
        <v>1</v>
      </c>
      <c r="P419" s="635"/>
      <c r="Q419" s="21">
        <f t="shared" si="73"/>
        <v>0</v>
      </c>
      <c r="R419" s="21">
        <f t="shared" si="74"/>
        <v>0</v>
      </c>
      <c r="S419" s="308">
        <f t="shared" si="65"/>
        <v>0</v>
      </c>
    </row>
    <row r="420" spans="1:19">
      <c r="A420" s="142"/>
      <c r="B420" s="52"/>
      <c r="C420" s="21">
        <f t="shared" si="66"/>
        <v>1</v>
      </c>
      <c r="D420" s="635"/>
      <c r="E420" s="21">
        <f t="shared" si="67"/>
        <v>1</v>
      </c>
      <c r="F420" s="635"/>
      <c r="G420" s="21">
        <f t="shared" si="68"/>
        <v>1</v>
      </c>
      <c r="H420" s="635"/>
      <c r="I420" s="21">
        <f t="shared" si="69"/>
        <v>1</v>
      </c>
      <c r="J420" s="635"/>
      <c r="K420" s="21">
        <f t="shared" si="70"/>
        <v>1</v>
      </c>
      <c r="L420" s="635"/>
      <c r="M420" s="21">
        <f t="shared" si="71"/>
        <v>1</v>
      </c>
      <c r="N420" s="635"/>
      <c r="O420" s="21">
        <f t="shared" si="72"/>
        <v>1</v>
      </c>
      <c r="P420" s="635"/>
      <c r="Q420" s="21">
        <f t="shared" si="73"/>
        <v>0</v>
      </c>
      <c r="R420" s="21">
        <f t="shared" si="74"/>
        <v>0</v>
      </c>
      <c r="S420" s="308">
        <f t="shared" si="65"/>
        <v>0</v>
      </c>
    </row>
    <row r="421" spans="1:19">
      <c r="A421" s="142"/>
      <c r="B421" s="52"/>
      <c r="C421" s="21">
        <f t="shared" si="66"/>
        <v>1</v>
      </c>
      <c r="D421" s="635"/>
      <c r="E421" s="21">
        <f t="shared" si="67"/>
        <v>1</v>
      </c>
      <c r="F421" s="635"/>
      <c r="G421" s="21">
        <f t="shared" si="68"/>
        <v>1</v>
      </c>
      <c r="H421" s="635"/>
      <c r="I421" s="21">
        <f t="shared" si="69"/>
        <v>1</v>
      </c>
      <c r="J421" s="635"/>
      <c r="K421" s="21">
        <f t="shared" si="70"/>
        <v>1</v>
      </c>
      <c r="L421" s="635"/>
      <c r="M421" s="21">
        <f t="shared" si="71"/>
        <v>1</v>
      </c>
      <c r="N421" s="635"/>
      <c r="O421" s="21">
        <f t="shared" si="72"/>
        <v>1</v>
      </c>
      <c r="P421" s="635"/>
      <c r="Q421" s="21">
        <f t="shared" si="73"/>
        <v>0</v>
      </c>
      <c r="R421" s="21">
        <f t="shared" si="74"/>
        <v>0</v>
      </c>
      <c r="S421" s="308">
        <f t="shared" si="65"/>
        <v>0</v>
      </c>
    </row>
    <row r="422" spans="1:19">
      <c r="A422" s="142"/>
      <c r="B422" s="52"/>
      <c r="C422" s="21">
        <f t="shared" si="66"/>
        <v>1</v>
      </c>
      <c r="D422" s="635"/>
      <c r="E422" s="21">
        <f t="shared" si="67"/>
        <v>1</v>
      </c>
      <c r="F422" s="635"/>
      <c r="G422" s="21">
        <f t="shared" si="68"/>
        <v>1</v>
      </c>
      <c r="H422" s="635"/>
      <c r="I422" s="21">
        <f t="shared" si="69"/>
        <v>1</v>
      </c>
      <c r="J422" s="635"/>
      <c r="K422" s="21">
        <f t="shared" si="70"/>
        <v>1</v>
      </c>
      <c r="L422" s="635"/>
      <c r="M422" s="21">
        <f t="shared" si="71"/>
        <v>1</v>
      </c>
      <c r="N422" s="635"/>
      <c r="O422" s="21">
        <f t="shared" si="72"/>
        <v>1</v>
      </c>
      <c r="P422" s="635"/>
      <c r="Q422" s="21">
        <f t="shared" si="73"/>
        <v>0</v>
      </c>
      <c r="R422" s="21">
        <f t="shared" si="74"/>
        <v>0</v>
      </c>
      <c r="S422" s="308">
        <f t="shared" si="65"/>
        <v>0</v>
      </c>
    </row>
    <row r="423" spans="1:19">
      <c r="A423" s="142"/>
      <c r="B423" s="52"/>
      <c r="C423" s="21">
        <f t="shared" si="66"/>
        <v>1</v>
      </c>
      <c r="D423" s="635"/>
      <c r="E423" s="21">
        <f t="shared" si="67"/>
        <v>1</v>
      </c>
      <c r="F423" s="635"/>
      <c r="G423" s="21">
        <f t="shared" si="68"/>
        <v>1</v>
      </c>
      <c r="H423" s="635"/>
      <c r="I423" s="21">
        <f t="shared" si="69"/>
        <v>1</v>
      </c>
      <c r="J423" s="635"/>
      <c r="K423" s="21">
        <f t="shared" si="70"/>
        <v>1</v>
      </c>
      <c r="L423" s="635"/>
      <c r="M423" s="21">
        <f t="shared" si="71"/>
        <v>1</v>
      </c>
      <c r="N423" s="635"/>
      <c r="O423" s="21">
        <f t="shared" si="72"/>
        <v>1</v>
      </c>
      <c r="P423" s="635"/>
      <c r="Q423" s="21">
        <f t="shared" si="73"/>
        <v>0</v>
      </c>
      <c r="R423" s="21">
        <f t="shared" si="74"/>
        <v>0</v>
      </c>
      <c r="S423" s="308">
        <f t="shared" si="65"/>
        <v>0</v>
      </c>
    </row>
    <row r="424" spans="1:19">
      <c r="A424" s="142"/>
      <c r="B424" s="52"/>
      <c r="C424" s="21">
        <f t="shared" si="66"/>
        <v>1</v>
      </c>
      <c r="D424" s="635"/>
      <c r="E424" s="21">
        <f t="shared" si="67"/>
        <v>1</v>
      </c>
      <c r="F424" s="635"/>
      <c r="G424" s="21">
        <f t="shared" si="68"/>
        <v>1</v>
      </c>
      <c r="H424" s="635"/>
      <c r="I424" s="21">
        <f t="shared" si="69"/>
        <v>1</v>
      </c>
      <c r="J424" s="635"/>
      <c r="K424" s="21">
        <f t="shared" si="70"/>
        <v>1</v>
      </c>
      <c r="L424" s="635"/>
      <c r="M424" s="21">
        <f t="shared" si="71"/>
        <v>1</v>
      </c>
      <c r="N424" s="635"/>
      <c r="O424" s="21">
        <f t="shared" si="72"/>
        <v>1</v>
      </c>
      <c r="P424" s="635"/>
      <c r="Q424" s="21">
        <f t="shared" si="73"/>
        <v>0</v>
      </c>
      <c r="R424" s="21">
        <f t="shared" si="74"/>
        <v>0</v>
      </c>
      <c r="S424" s="308">
        <f t="shared" si="65"/>
        <v>0</v>
      </c>
    </row>
    <row r="425" spans="1:19">
      <c r="A425" s="142"/>
      <c r="B425" s="52"/>
      <c r="C425" s="21">
        <f t="shared" si="66"/>
        <v>1</v>
      </c>
      <c r="D425" s="635"/>
      <c r="E425" s="21">
        <f t="shared" si="67"/>
        <v>1</v>
      </c>
      <c r="F425" s="635"/>
      <c r="G425" s="21">
        <f t="shared" si="68"/>
        <v>1</v>
      </c>
      <c r="H425" s="635"/>
      <c r="I425" s="21">
        <f t="shared" si="69"/>
        <v>1</v>
      </c>
      <c r="J425" s="635"/>
      <c r="K425" s="21">
        <f t="shared" si="70"/>
        <v>1</v>
      </c>
      <c r="L425" s="635"/>
      <c r="M425" s="21">
        <f t="shared" si="71"/>
        <v>1</v>
      </c>
      <c r="N425" s="635"/>
      <c r="O425" s="21">
        <f t="shared" si="72"/>
        <v>1</v>
      </c>
      <c r="P425" s="635"/>
      <c r="Q425" s="21">
        <f t="shared" si="73"/>
        <v>0</v>
      </c>
      <c r="R425" s="21">
        <f t="shared" si="74"/>
        <v>0</v>
      </c>
      <c r="S425" s="308">
        <f t="shared" si="65"/>
        <v>0</v>
      </c>
    </row>
    <row r="426" spans="1:19">
      <c r="A426" s="142"/>
      <c r="B426" s="52"/>
      <c r="C426" s="21">
        <f t="shared" si="66"/>
        <v>1</v>
      </c>
      <c r="D426" s="635"/>
      <c r="E426" s="21">
        <f t="shared" si="67"/>
        <v>1</v>
      </c>
      <c r="F426" s="635"/>
      <c r="G426" s="21">
        <f t="shared" si="68"/>
        <v>1</v>
      </c>
      <c r="H426" s="635"/>
      <c r="I426" s="21">
        <f t="shared" si="69"/>
        <v>1</v>
      </c>
      <c r="J426" s="635"/>
      <c r="K426" s="21">
        <f t="shared" si="70"/>
        <v>1</v>
      </c>
      <c r="L426" s="635"/>
      <c r="M426" s="21">
        <f t="shared" si="71"/>
        <v>1</v>
      </c>
      <c r="N426" s="635"/>
      <c r="O426" s="21">
        <f t="shared" si="72"/>
        <v>1</v>
      </c>
      <c r="P426" s="635"/>
      <c r="Q426" s="21">
        <f t="shared" si="73"/>
        <v>0</v>
      </c>
      <c r="R426" s="21">
        <f t="shared" si="74"/>
        <v>0</v>
      </c>
      <c r="S426" s="308">
        <f t="shared" si="65"/>
        <v>0</v>
      </c>
    </row>
    <row r="427" spans="1:19">
      <c r="A427" s="142"/>
      <c r="B427" s="52"/>
      <c r="C427" s="21">
        <f t="shared" si="66"/>
        <v>1</v>
      </c>
      <c r="D427" s="635"/>
      <c r="E427" s="21">
        <f t="shared" si="67"/>
        <v>1</v>
      </c>
      <c r="F427" s="635"/>
      <c r="G427" s="21">
        <f t="shared" si="68"/>
        <v>1</v>
      </c>
      <c r="H427" s="635"/>
      <c r="I427" s="21">
        <f t="shared" si="69"/>
        <v>1</v>
      </c>
      <c r="J427" s="635"/>
      <c r="K427" s="21">
        <f t="shared" si="70"/>
        <v>1</v>
      </c>
      <c r="L427" s="635"/>
      <c r="M427" s="21">
        <f t="shared" si="71"/>
        <v>1</v>
      </c>
      <c r="N427" s="635"/>
      <c r="O427" s="21">
        <f t="shared" si="72"/>
        <v>1</v>
      </c>
      <c r="P427" s="635"/>
      <c r="Q427" s="21">
        <f t="shared" si="73"/>
        <v>0</v>
      </c>
      <c r="R427" s="21">
        <f t="shared" si="74"/>
        <v>0</v>
      </c>
      <c r="S427" s="308">
        <f t="shared" si="65"/>
        <v>0</v>
      </c>
    </row>
    <row r="428" spans="1:19">
      <c r="A428" s="142"/>
      <c r="B428" s="52"/>
      <c r="C428" s="21">
        <f t="shared" si="66"/>
        <v>1</v>
      </c>
      <c r="D428" s="635"/>
      <c r="E428" s="21">
        <f t="shared" si="67"/>
        <v>1</v>
      </c>
      <c r="F428" s="635"/>
      <c r="G428" s="21">
        <f t="shared" si="68"/>
        <v>1</v>
      </c>
      <c r="H428" s="635"/>
      <c r="I428" s="21">
        <f t="shared" si="69"/>
        <v>1</v>
      </c>
      <c r="J428" s="635"/>
      <c r="K428" s="21">
        <f t="shared" si="70"/>
        <v>1</v>
      </c>
      <c r="L428" s="635"/>
      <c r="M428" s="21">
        <f t="shared" si="71"/>
        <v>1</v>
      </c>
      <c r="N428" s="635"/>
      <c r="O428" s="21">
        <f t="shared" si="72"/>
        <v>1</v>
      </c>
      <c r="P428" s="635"/>
      <c r="Q428" s="21">
        <f t="shared" si="73"/>
        <v>0</v>
      </c>
      <c r="R428" s="21">
        <f t="shared" si="74"/>
        <v>0</v>
      </c>
      <c r="S428" s="308">
        <f t="shared" si="65"/>
        <v>0</v>
      </c>
    </row>
    <row r="429" spans="1:19">
      <c r="A429" s="142"/>
      <c r="B429" s="52"/>
      <c r="C429" s="21">
        <f t="shared" si="66"/>
        <v>1</v>
      </c>
      <c r="D429" s="635"/>
      <c r="E429" s="21">
        <f t="shared" si="67"/>
        <v>1</v>
      </c>
      <c r="F429" s="635"/>
      <c r="G429" s="21">
        <f t="shared" si="68"/>
        <v>1</v>
      </c>
      <c r="H429" s="635"/>
      <c r="I429" s="21">
        <f t="shared" si="69"/>
        <v>1</v>
      </c>
      <c r="J429" s="635"/>
      <c r="K429" s="21">
        <f t="shared" si="70"/>
        <v>1</v>
      </c>
      <c r="L429" s="635"/>
      <c r="M429" s="21">
        <f t="shared" si="71"/>
        <v>1</v>
      </c>
      <c r="N429" s="635"/>
      <c r="O429" s="21">
        <f t="shared" si="72"/>
        <v>1</v>
      </c>
      <c r="P429" s="635"/>
      <c r="Q429" s="21">
        <f t="shared" si="73"/>
        <v>0</v>
      </c>
      <c r="R429" s="21">
        <f t="shared" si="74"/>
        <v>0</v>
      </c>
      <c r="S429" s="308">
        <f t="shared" si="65"/>
        <v>0</v>
      </c>
    </row>
    <row r="430" spans="1:19">
      <c r="A430" s="142"/>
      <c r="B430" s="52"/>
      <c r="C430" s="21">
        <f t="shared" si="66"/>
        <v>1</v>
      </c>
      <c r="D430" s="635"/>
      <c r="E430" s="21">
        <f t="shared" si="67"/>
        <v>1</v>
      </c>
      <c r="F430" s="635"/>
      <c r="G430" s="21">
        <f t="shared" si="68"/>
        <v>1</v>
      </c>
      <c r="H430" s="635"/>
      <c r="I430" s="21">
        <f t="shared" si="69"/>
        <v>1</v>
      </c>
      <c r="J430" s="635"/>
      <c r="K430" s="21">
        <f t="shared" si="70"/>
        <v>1</v>
      </c>
      <c r="L430" s="635"/>
      <c r="M430" s="21">
        <f t="shared" si="71"/>
        <v>1</v>
      </c>
      <c r="N430" s="635"/>
      <c r="O430" s="21">
        <f t="shared" si="72"/>
        <v>1</v>
      </c>
      <c r="P430" s="635"/>
      <c r="Q430" s="21">
        <f t="shared" si="73"/>
        <v>0</v>
      </c>
      <c r="R430" s="21">
        <f t="shared" si="74"/>
        <v>0</v>
      </c>
      <c r="S430" s="308">
        <f t="shared" si="65"/>
        <v>0</v>
      </c>
    </row>
    <row r="431" spans="1:19">
      <c r="A431" s="142"/>
      <c r="B431" s="52"/>
      <c r="C431" s="21">
        <f t="shared" si="66"/>
        <v>1</v>
      </c>
      <c r="D431" s="635"/>
      <c r="E431" s="21">
        <f t="shared" si="67"/>
        <v>1</v>
      </c>
      <c r="F431" s="635"/>
      <c r="G431" s="21">
        <f t="shared" si="68"/>
        <v>1</v>
      </c>
      <c r="H431" s="635"/>
      <c r="I431" s="21">
        <f t="shared" si="69"/>
        <v>1</v>
      </c>
      <c r="J431" s="635"/>
      <c r="K431" s="21">
        <f t="shared" si="70"/>
        <v>1</v>
      </c>
      <c r="L431" s="635"/>
      <c r="M431" s="21">
        <f t="shared" si="71"/>
        <v>1</v>
      </c>
      <c r="N431" s="635"/>
      <c r="O431" s="21">
        <f t="shared" si="72"/>
        <v>1</v>
      </c>
      <c r="P431" s="635"/>
      <c r="Q431" s="21">
        <f t="shared" si="73"/>
        <v>0</v>
      </c>
      <c r="R431" s="21">
        <f t="shared" si="74"/>
        <v>0</v>
      </c>
      <c r="S431" s="308">
        <f t="shared" si="65"/>
        <v>0</v>
      </c>
    </row>
    <row r="432" spans="1:19">
      <c r="A432" s="142"/>
      <c r="B432" s="52"/>
      <c r="C432" s="21">
        <f t="shared" si="66"/>
        <v>1</v>
      </c>
      <c r="D432" s="635"/>
      <c r="E432" s="21">
        <f t="shared" si="67"/>
        <v>1</v>
      </c>
      <c r="F432" s="635"/>
      <c r="G432" s="21">
        <f t="shared" si="68"/>
        <v>1</v>
      </c>
      <c r="H432" s="635"/>
      <c r="I432" s="21">
        <f t="shared" si="69"/>
        <v>1</v>
      </c>
      <c r="J432" s="635"/>
      <c r="K432" s="21">
        <f t="shared" si="70"/>
        <v>1</v>
      </c>
      <c r="L432" s="635"/>
      <c r="M432" s="21">
        <f t="shared" si="71"/>
        <v>1</v>
      </c>
      <c r="N432" s="635"/>
      <c r="O432" s="21">
        <f t="shared" si="72"/>
        <v>1</v>
      </c>
      <c r="P432" s="635"/>
      <c r="Q432" s="21">
        <f t="shared" si="73"/>
        <v>0</v>
      </c>
      <c r="R432" s="21">
        <f t="shared" si="74"/>
        <v>0</v>
      </c>
      <c r="S432" s="308">
        <f t="shared" si="65"/>
        <v>0</v>
      </c>
    </row>
    <row r="433" spans="1:19">
      <c r="A433" s="142"/>
      <c r="B433" s="52"/>
      <c r="C433" s="21">
        <f t="shared" si="66"/>
        <v>1</v>
      </c>
      <c r="D433" s="635"/>
      <c r="E433" s="21">
        <f t="shared" si="67"/>
        <v>1</v>
      </c>
      <c r="F433" s="635"/>
      <c r="G433" s="21">
        <f t="shared" si="68"/>
        <v>1</v>
      </c>
      <c r="H433" s="635"/>
      <c r="I433" s="21">
        <f t="shared" si="69"/>
        <v>1</v>
      </c>
      <c r="J433" s="635"/>
      <c r="K433" s="21">
        <f t="shared" si="70"/>
        <v>1</v>
      </c>
      <c r="L433" s="635"/>
      <c r="M433" s="21">
        <f t="shared" si="71"/>
        <v>1</v>
      </c>
      <c r="N433" s="635"/>
      <c r="O433" s="21">
        <f t="shared" si="72"/>
        <v>1</v>
      </c>
      <c r="P433" s="635"/>
      <c r="Q433" s="21">
        <f t="shared" si="73"/>
        <v>0</v>
      </c>
      <c r="R433" s="21">
        <f t="shared" si="74"/>
        <v>0</v>
      </c>
      <c r="S433" s="308">
        <f t="shared" si="65"/>
        <v>0</v>
      </c>
    </row>
    <row r="434" spans="1:19">
      <c r="A434" s="142"/>
      <c r="B434" s="52"/>
      <c r="C434" s="21">
        <f t="shared" si="66"/>
        <v>1</v>
      </c>
      <c r="D434" s="635"/>
      <c r="E434" s="21">
        <f t="shared" si="67"/>
        <v>1</v>
      </c>
      <c r="F434" s="635"/>
      <c r="G434" s="21">
        <f t="shared" si="68"/>
        <v>1</v>
      </c>
      <c r="H434" s="635"/>
      <c r="I434" s="21">
        <f t="shared" si="69"/>
        <v>1</v>
      </c>
      <c r="J434" s="635"/>
      <c r="K434" s="21">
        <f t="shared" si="70"/>
        <v>1</v>
      </c>
      <c r="L434" s="635"/>
      <c r="M434" s="21">
        <f t="shared" si="71"/>
        <v>1</v>
      </c>
      <c r="N434" s="635"/>
      <c r="O434" s="21">
        <f t="shared" si="72"/>
        <v>1</v>
      </c>
      <c r="P434" s="635"/>
      <c r="Q434" s="21">
        <f t="shared" si="73"/>
        <v>0</v>
      </c>
      <c r="R434" s="21">
        <f t="shared" si="74"/>
        <v>0</v>
      </c>
      <c r="S434" s="308">
        <f t="shared" si="65"/>
        <v>0</v>
      </c>
    </row>
    <row r="435" spans="1:19">
      <c r="A435" s="142"/>
      <c r="B435" s="52"/>
      <c r="C435" s="21">
        <f t="shared" si="66"/>
        <v>1</v>
      </c>
      <c r="D435" s="635"/>
      <c r="E435" s="21">
        <f t="shared" si="67"/>
        <v>1</v>
      </c>
      <c r="F435" s="635"/>
      <c r="G435" s="21">
        <f t="shared" si="68"/>
        <v>1</v>
      </c>
      <c r="H435" s="635"/>
      <c r="I435" s="21">
        <f t="shared" si="69"/>
        <v>1</v>
      </c>
      <c r="J435" s="635"/>
      <c r="K435" s="21">
        <f t="shared" si="70"/>
        <v>1</v>
      </c>
      <c r="L435" s="635"/>
      <c r="M435" s="21">
        <f t="shared" si="71"/>
        <v>1</v>
      </c>
      <c r="N435" s="635"/>
      <c r="O435" s="21">
        <f t="shared" si="72"/>
        <v>1</v>
      </c>
      <c r="P435" s="635"/>
      <c r="Q435" s="21">
        <f t="shared" si="73"/>
        <v>0</v>
      </c>
      <c r="R435" s="21">
        <f t="shared" si="74"/>
        <v>0</v>
      </c>
      <c r="S435" s="308">
        <f t="shared" si="65"/>
        <v>0</v>
      </c>
    </row>
    <row r="436" spans="1:19">
      <c r="A436" s="142"/>
      <c r="B436" s="52"/>
      <c r="C436" s="21">
        <f t="shared" si="66"/>
        <v>1</v>
      </c>
      <c r="D436" s="635"/>
      <c r="E436" s="21">
        <f t="shared" si="67"/>
        <v>1</v>
      </c>
      <c r="F436" s="635"/>
      <c r="G436" s="21">
        <f t="shared" si="68"/>
        <v>1</v>
      </c>
      <c r="H436" s="635"/>
      <c r="I436" s="21">
        <f t="shared" si="69"/>
        <v>1</v>
      </c>
      <c r="J436" s="635"/>
      <c r="K436" s="21">
        <f t="shared" si="70"/>
        <v>1</v>
      </c>
      <c r="L436" s="635"/>
      <c r="M436" s="21">
        <f t="shared" si="71"/>
        <v>1</v>
      </c>
      <c r="N436" s="635"/>
      <c r="O436" s="21">
        <f t="shared" si="72"/>
        <v>1</v>
      </c>
      <c r="P436" s="635"/>
      <c r="Q436" s="21">
        <f t="shared" si="73"/>
        <v>0</v>
      </c>
      <c r="R436" s="21">
        <f t="shared" si="74"/>
        <v>0</v>
      </c>
      <c r="S436" s="308">
        <f t="shared" si="65"/>
        <v>0</v>
      </c>
    </row>
    <row r="437" spans="1:19">
      <c r="A437" s="142"/>
      <c r="B437" s="52"/>
      <c r="C437" s="21">
        <f t="shared" si="66"/>
        <v>1</v>
      </c>
      <c r="D437" s="635"/>
      <c r="E437" s="21">
        <f t="shared" si="67"/>
        <v>1</v>
      </c>
      <c r="F437" s="635"/>
      <c r="G437" s="21">
        <f t="shared" si="68"/>
        <v>1</v>
      </c>
      <c r="H437" s="635"/>
      <c r="I437" s="21">
        <f t="shared" si="69"/>
        <v>1</v>
      </c>
      <c r="J437" s="635"/>
      <c r="K437" s="21">
        <f t="shared" si="70"/>
        <v>1</v>
      </c>
      <c r="L437" s="635"/>
      <c r="M437" s="21">
        <f t="shared" si="71"/>
        <v>1</v>
      </c>
      <c r="N437" s="635"/>
      <c r="O437" s="21">
        <f t="shared" si="72"/>
        <v>1</v>
      </c>
      <c r="P437" s="635"/>
      <c r="Q437" s="21">
        <f t="shared" si="73"/>
        <v>0</v>
      </c>
      <c r="R437" s="21">
        <f t="shared" si="74"/>
        <v>0</v>
      </c>
      <c r="S437" s="308">
        <f t="shared" si="65"/>
        <v>0</v>
      </c>
    </row>
    <row r="438" spans="1:19">
      <c r="A438" s="142"/>
      <c r="B438" s="52"/>
      <c r="C438" s="21">
        <f t="shared" si="66"/>
        <v>1</v>
      </c>
      <c r="D438" s="635"/>
      <c r="E438" s="21">
        <f t="shared" si="67"/>
        <v>1</v>
      </c>
      <c r="F438" s="635"/>
      <c r="G438" s="21">
        <f t="shared" si="68"/>
        <v>1</v>
      </c>
      <c r="H438" s="635"/>
      <c r="I438" s="21">
        <f t="shared" si="69"/>
        <v>1</v>
      </c>
      <c r="J438" s="635"/>
      <c r="K438" s="21">
        <f t="shared" si="70"/>
        <v>1</v>
      </c>
      <c r="L438" s="635"/>
      <c r="M438" s="21">
        <f t="shared" si="71"/>
        <v>1</v>
      </c>
      <c r="N438" s="635"/>
      <c r="O438" s="21">
        <f t="shared" si="72"/>
        <v>1</v>
      </c>
      <c r="P438" s="635"/>
      <c r="Q438" s="21">
        <f t="shared" si="73"/>
        <v>0</v>
      </c>
      <c r="R438" s="21">
        <f t="shared" si="74"/>
        <v>0</v>
      </c>
      <c r="S438" s="308">
        <f t="shared" si="65"/>
        <v>0</v>
      </c>
    </row>
    <row r="439" spans="1:19">
      <c r="A439" s="142"/>
      <c r="B439" s="52"/>
      <c r="C439" s="21">
        <f t="shared" si="66"/>
        <v>1</v>
      </c>
      <c r="D439" s="635"/>
      <c r="E439" s="21">
        <f t="shared" si="67"/>
        <v>1</v>
      </c>
      <c r="F439" s="635"/>
      <c r="G439" s="21">
        <f t="shared" si="68"/>
        <v>1</v>
      </c>
      <c r="H439" s="635"/>
      <c r="I439" s="21">
        <f t="shared" si="69"/>
        <v>1</v>
      </c>
      <c r="J439" s="635"/>
      <c r="K439" s="21">
        <f t="shared" si="70"/>
        <v>1</v>
      </c>
      <c r="L439" s="635"/>
      <c r="M439" s="21">
        <f t="shared" si="71"/>
        <v>1</v>
      </c>
      <c r="N439" s="635"/>
      <c r="O439" s="21">
        <f t="shared" si="72"/>
        <v>1</v>
      </c>
      <c r="P439" s="635"/>
      <c r="Q439" s="21">
        <f t="shared" si="73"/>
        <v>0</v>
      </c>
      <c r="R439" s="21">
        <f t="shared" si="74"/>
        <v>0</v>
      </c>
      <c r="S439" s="308">
        <f t="shared" si="65"/>
        <v>0</v>
      </c>
    </row>
    <row r="440" spans="1:19">
      <c r="A440" s="142"/>
      <c r="B440" s="52"/>
      <c r="C440" s="21">
        <f t="shared" si="66"/>
        <v>1</v>
      </c>
      <c r="D440" s="635"/>
      <c r="E440" s="21">
        <f t="shared" si="67"/>
        <v>1</v>
      </c>
      <c r="F440" s="635"/>
      <c r="G440" s="21">
        <f t="shared" si="68"/>
        <v>1</v>
      </c>
      <c r="H440" s="635"/>
      <c r="I440" s="21">
        <f t="shared" si="69"/>
        <v>1</v>
      </c>
      <c r="J440" s="635"/>
      <c r="K440" s="21">
        <f t="shared" si="70"/>
        <v>1</v>
      </c>
      <c r="L440" s="635"/>
      <c r="M440" s="21">
        <f t="shared" si="71"/>
        <v>1</v>
      </c>
      <c r="N440" s="635"/>
      <c r="O440" s="21">
        <f t="shared" si="72"/>
        <v>1</v>
      </c>
      <c r="P440" s="635"/>
      <c r="Q440" s="21">
        <f t="shared" si="73"/>
        <v>0</v>
      </c>
      <c r="R440" s="21">
        <f t="shared" si="74"/>
        <v>0</v>
      </c>
      <c r="S440" s="308">
        <f t="shared" si="65"/>
        <v>0</v>
      </c>
    </row>
    <row r="441" spans="1:19">
      <c r="A441" s="142"/>
      <c r="B441" s="52"/>
      <c r="C441" s="21">
        <f t="shared" si="66"/>
        <v>1</v>
      </c>
      <c r="D441" s="635"/>
      <c r="E441" s="21">
        <f t="shared" si="67"/>
        <v>1</v>
      </c>
      <c r="F441" s="635"/>
      <c r="G441" s="21">
        <f t="shared" si="68"/>
        <v>1</v>
      </c>
      <c r="H441" s="635"/>
      <c r="I441" s="21">
        <f t="shared" si="69"/>
        <v>1</v>
      </c>
      <c r="J441" s="635"/>
      <c r="K441" s="21">
        <f t="shared" si="70"/>
        <v>1</v>
      </c>
      <c r="L441" s="635"/>
      <c r="M441" s="21">
        <f t="shared" si="71"/>
        <v>1</v>
      </c>
      <c r="N441" s="635"/>
      <c r="O441" s="21">
        <f t="shared" si="72"/>
        <v>1</v>
      </c>
      <c r="P441" s="635"/>
      <c r="Q441" s="21">
        <f t="shared" si="73"/>
        <v>0</v>
      </c>
      <c r="R441" s="21">
        <f t="shared" si="74"/>
        <v>0</v>
      </c>
      <c r="S441" s="308">
        <f t="shared" si="65"/>
        <v>0</v>
      </c>
    </row>
    <row r="442" spans="1:19">
      <c r="A442" s="142"/>
      <c r="B442" s="52"/>
      <c r="C442" s="21">
        <f t="shared" si="66"/>
        <v>1</v>
      </c>
      <c r="D442" s="635"/>
      <c r="E442" s="21">
        <f t="shared" si="67"/>
        <v>1</v>
      </c>
      <c r="F442" s="635"/>
      <c r="G442" s="21">
        <f t="shared" si="68"/>
        <v>1</v>
      </c>
      <c r="H442" s="635"/>
      <c r="I442" s="21">
        <f t="shared" si="69"/>
        <v>1</v>
      </c>
      <c r="J442" s="635"/>
      <c r="K442" s="21">
        <f t="shared" si="70"/>
        <v>1</v>
      </c>
      <c r="L442" s="635"/>
      <c r="M442" s="21">
        <f t="shared" si="71"/>
        <v>1</v>
      </c>
      <c r="N442" s="635"/>
      <c r="O442" s="21">
        <f t="shared" si="72"/>
        <v>1</v>
      </c>
      <c r="P442" s="635"/>
      <c r="Q442" s="21">
        <f t="shared" si="73"/>
        <v>0</v>
      </c>
      <c r="R442" s="21">
        <f t="shared" si="74"/>
        <v>0</v>
      </c>
      <c r="S442" s="308">
        <f t="shared" si="65"/>
        <v>0</v>
      </c>
    </row>
    <row r="443" spans="1:19">
      <c r="A443" s="142"/>
      <c r="B443" s="52"/>
      <c r="C443" s="21">
        <f t="shared" si="66"/>
        <v>1</v>
      </c>
      <c r="D443" s="635"/>
      <c r="E443" s="21">
        <f t="shared" si="67"/>
        <v>1</v>
      </c>
      <c r="F443" s="635"/>
      <c r="G443" s="21">
        <f t="shared" si="68"/>
        <v>1</v>
      </c>
      <c r="H443" s="635"/>
      <c r="I443" s="21">
        <f t="shared" si="69"/>
        <v>1</v>
      </c>
      <c r="J443" s="635"/>
      <c r="K443" s="21">
        <f t="shared" si="70"/>
        <v>1</v>
      </c>
      <c r="L443" s="635"/>
      <c r="M443" s="21">
        <f t="shared" si="71"/>
        <v>1</v>
      </c>
      <c r="N443" s="635"/>
      <c r="O443" s="21">
        <f t="shared" si="72"/>
        <v>1</v>
      </c>
      <c r="P443" s="635"/>
      <c r="Q443" s="21">
        <f t="shared" si="73"/>
        <v>0</v>
      </c>
      <c r="R443" s="21">
        <f t="shared" si="74"/>
        <v>0</v>
      </c>
      <c r="S443" s="308">
        <f t="shared" si="65"/>
        <v>0</v>
      </c>
    </row>
    <row r="444" spans="1:19">
      <c r="A444" s="142"/>
      <c r="B444" s="52"/>
      <c r="C444" s="21">
        <f t="shared" si="66"/>
        <v>1</v>
      </c>
      <c r="D444" s="635"/>
      <c r="E444" s="21">
        <f t="shared" si="67"/>
        <v>1</v>
      </c>
      <c r="F444" s="635"/>
      <c r="G444" s="21">
        <f t="shared" si="68"/>
        <v>1</v>
      </c>
      <c r="H444" s="635"/>
      <c r="I444" s="21">
        <f t="shared" si="69"/>
        <v>1</v>
      </c>
      <c r="J444" s="635"/>
      <c r="K444" s="21">
        <f t="shared" si="70"/>
        <v>1</v>
      </c>
      <c r="L444" s="635"/>
      <c r="M444" s="21">
        <f t="shared" si="71"/>
        <v>1</v>
      </c>
      <c r="N444" s="635"/>
      <c r="O444" s="21">
        <f t="shared" si="72"/>
        <v>1</v>
      </c>
      <c r="P444" s="635"/>
      <c r="Q444" s="21">
        <f t="shared" si="73"/>
        <v>0</v>
      </c>
      <c r="R444" s="21">
        <f t="shared" si="74"/>
        <v>0</v>
      </c>
      <c r="S444" s="308">
        <f t="shared" si="65"/>
        <v>0</v>
      </c>
    </row>
    <row r="445" spans="1:19">
      <c r="A445" s="142"/>
      <c r="B445" s="52"/>
      <c r="C445" s="21">
        <f t="shared" si="66"/>
        <v>1</v>
      </c>
      <c r="D445" s="635"/>
      <c r="E445" s="21">
        <f t="shared" si="67"/>
        <v>1</v>
      </c>
      <c r="F445" s="635"/>
      <c r="G445" s="21">
        <f t="shared" si="68"/>
        <v>1</v>
      </c>
      <c r="H445" s="635"/>
      <c r="I445" s="21">
        <f t="shared" si="69"/>
        <v>1</v>
      </c>
      <c r="J445" s="635"/>
      <c r="K445" s="21">
        <f t="shared" si="70"/>
        <v>1</v>
      </c>
      <c r="L445" s="635"/>
      <c r="M445" s="21">
        <f t="shared" si="71"/>
        <v>1</v>
      </c>
      <c r="N445" s="635"/>
      <c r="O445" s="21">
        <f t="shared" si="72"/>
        <v>1</v>
      </c>
      <c r="P445" s="635"/>
      <c r="Q445" s="21">
        <f t="shared" si="73"/>
        <v>0</v>
      </c>
      <c r="R445" s="21">
        <f t="shared" si="74"/>
        <v>0</v>
      </c>
      <c r="S445" s="308">
        <f t="shared" si="65"/>
        <v>0</v>
      </c>
    </row>
    <row r="446" spans="1:19">
      <c r="A446" s="142"/>
      <c r="B446" s="52"/>
      <c r="C446" s="21">
        <f t="shared" si="66"/>
        <v>1</v>
      </c>
      <c r="D446" s="635"/>
      <c r="E446" s="21">
        <f t="shared" si="67"/>
        <v>1</v>
      </c>
      <c r="F446" s="635"/>
      <c r="G446" s="21">
        <f t="shared" si="68"/>
        <v>1</v>
      </c>
      <c r="H446" s="635"/>
      <c r="I446" s="21">
        <f t="shared" si="69"/>
        <v>1</v>
      </c>
      <c r="J446" s="635"/>
      <c r="K446" s="21">
        <f t="shared" si="70"/>
        <v>1</v>
      </c>
      <c r="L446" s="635"/>
      <c r="M446" s="21">
        <f t="shared" si="71"/>
        <v>1</v>
      </c>
      <c r="N446" s="635"/>
      <c r="O446" s="21">
        <f t="shared" si="72"/>
        <v>1</v>
      </c>
      <c r="P446" s="635"/>
      <c r="Q446" s="21">
        <f t="shared" si="73"/>
        <v>0</v>
      </c>
      <c r="R446" s="21">
        <f t="shared" si="74"/>
        <v>0</v>
      </c>
      <c r="S446" s="308">
        <f t="shared" si="65"/>
        <v>0</v>
      </c>
    </row>
    <row r="447" spans="1:19">
      <c r="A447" s="142"/>
      <c r="B447" s="52"/>
      <c r="C447" s="21">
        <f t="shared" si="66"/>
        <v>1</v>
      </c>
      <c r="D447" s="635"/>
      <c r="E447" s="21">
        <f t="shared" si="67"/>
        <v>1</v>
      </c>
      <c r="F447" s="635"/>
      <c r="G447" s="21">
        <f t="shared" si="68"/>
        <v>1</v>
      </c>
      <c r="H447" s="635"/>
      <c r="I447" s="21">
        <f t="shared" si="69"/>
        <v>1</v>
      </c>
      <c r="J447" s="635"/>
      <c r="K447" s="21">
        <f t="shared" si="70"/>
        <v>1</v>
      </c>
      <c r="L447" s="635"/>
      <c r="M447" s="21">
        <f t="shared" si="71"/>
        <v>1</v>
      </c>
      <c r="N447" s="635"/>
      <c r="O447" s="21">
        <f t="shared" si="72"/>
        <v>1</v>
      </c>
      <c r="P447" s="635"/>
      <c r="Q447" s="21">
        <f t="shared" si="73"/>
        <v>0</v>
      </c>
      <c r="R447" s="21">
        <f t="shared" si="74"/>
        <v>0</v>
      </c>
      <c r="S447" s="308">
        <f t="shared" si="65"/>
        <v>0</v>
      </c>
    </row>
    <row r="448" spans="1:19">
      <c r="A448" s="142"/>
      <c r="B448" s="52"/>
      <c r="C448" s="21">
        <f t="shared" si="66"/>
        <v>1</v>
      </c>
      <c r="D448" s="635"/>
      <c r="E448" s="21">
        <f t="shared" si="67"/>
        <v>1</v>
      </c>
      <c r="F448" s="635"/>
      <c r="G448" s="21">
        <f t="shared" si="68"/>
        <v>1</v>
      </c>
      <c r="H448" s="635"/>
      <c r="I448" s="21">
        <f t="shared" si="69"/>
        <v>1</v>
      </c>
      <c r="J448" s="635"/>
      <c r="K448" s="21">
        <f t="shared" si="70"/>
        <v>1</v>
      </c>
      <c r="L448" s="635"/>
      <c r="M448" s="21">
        <f t="shared" si="71"/>
        <v>1</v>
      </c>
      <c r="N448" s="635"/>
      <c r="O448" s="21">
        <f t="shared" si="72"/>
        <v>1</v>
      </c>
      <c r="P448" s="635"/>
      <c r="Q448" s="21">
        <f t="shared" si="73"/>
        <v>0</v>
      </c>
      <c r="R448" s="21">
        <f t="shared" si="74"/>
        <v>0</v>
      </c>
      <c r="S448" s="308">
        <f t="shared" si="65"/>
        <v>0</v>
      </c>
    </row>
    <row r="449" spans="1:19">
      <c r="A449" s="142"/>
      <c r="B449" s="52"/>
      <c r="C449" s="21">
        <f t="shared" si="66"/>
        <v>1</v>
      </c>
      <c r="D449" s="635"/>
      <c r="E449" s="21">
        <f t="shared" si="67"/>
        <v>1</v>
      </c>
      <c r="F449" s="635"/>
      <c r="G449" s="21">
        <f t="shared" si="68"/>
        <v>1</v>
      </c>
      <c r="H449" s="635"/>
      <c r="I449" s="21">
        <f t="shared" si="69"/>
        <v>1</v>
      </c>
      <c r="J449" s="635"/>
      <c r="K449" s="21">
        <f t="shared" si="70"/>
        <v>1</v>
      </c>
      <c r="L449" s="635"/>
      <c r="M449" s="21">
        <f t="shared" si="71"/>
        <v>1</v>
      </c>
      <c r="N449" s="635"/>
      <c r="O449" s="21">
        <f t="shared" si="72"/>
        <v>1</v>
      </c>
      <c r="P449" s="635"/>
      <c r="Q449" s="21">
        <f t="shared" si="73"/>
        <v>0</v>
      </c>
      <c r="R449" s="21">
        <f t="shared" si="74"/>
        <v>0</v>
      </c>
      <c r="S449" s="308">
        <f t="shared" si="65"/>
        <v>0</v>
      </c>
    </row>
    <row r="450" spans="1:19">
      <c r="A450" s="142"/>
      <c r="B450" s="52"/>
      <c r="C450" s="21">
        <f t="shared" si="66"/>
        <v>1</v>
      </c>
      <c r="D450" s="635"/>
      <c r="E450" s="21">
        <f t="shared" si="67"/>
        <v>1</v>
      </c>
      <c r="F450" s="635"/>
      <c r="G450" s="21">
        <f t="shared" si="68"/>
        <v>1</v>
      </c>
      <c r="H450" s="635"/>
      <c r="I450" s="21">
        <f t="shared" si="69"/>
        <v>1</v>
      </c>
      <c r="J450" s="635"/>
      <c r="K450" s="21">
        <f t="shared" si="70"/>
        <v>1</v>
      </c>
      <c r="L450" s="635"/>
      <c r="M450" s="21">
        <f t="shared" si="71"/>
        <v>1</v>
      </c>
      <c r="N450" s="635"/>
      <c r="O450" s="21">
        <f t="shared" si="72"/>
        <v>1</v>
      </c>
      <c r="P450" s="635"/>
      <c r="Q450" s="21">
        <f t="shared" si="73"/>
        <v>0</v>
      </c>
      <c r="R450" s="21">
        <f t="shared" si="74"/>
        <v>0</v>
      </c>
      <c r="S450" s="308">
        <f t="shared" si="65"/>
        <v>0</v>
      </c>
    </row>
    <row r="451" spans="1:19">
      <c r="A451" s="142"/>
      <c r="B451" s="52"/>
      <c r="C451" s="21">
        <f t="shared" si="66"/>
        <v>1</v>
      </c>
      <c r="D451" s="635"/>
      <c r="E451" s="21">
        <f t="shared" si="67"/>
        <v>1</v>
      </c>
      <c r="F451" s="635"/>
      <c r="G451" s="21">
        <f t="shared" si="68"/>
        <v>1</v>
      </c>
      <c r="H451" s="635"/>
      <c r="I451" s="21">
        <f t="shared" si="69"/>
        <v>1</v>
      </c>
      <c r="J451" s="635"/>
      <c r="K451" s="21">
        <f t="shared" si="70"/>
        <v>1</v>
      </c>
      <c r="L451" s="635"/>
      <c r="M451" s="21">
        <f t="shared" si="71"/>
        <v>1</v>
      </c>
      <c r="N451" s="635"/>
      <c r="O451" s="21">
        <f t="shared" si="72"/>
        <v>1</v>
      </c>
      <c r="P451" s="635"/>
      <c r="Q451" s="21">
        <f t="shared" si="73"/>
        <v>0</v>
      </c>
      <c r="R451" s="21">
        <f t="shared" si="74"/>
        <v>0</v>
      </c>
      <c r="S451" s="308">
        <f t="shared" si="65"/>
        <v>0</v>
      </c>
    </row>
    <row r="452" spans="1:19">
      <c r="A452" s="142"/>
      <c r="B452" s="52"/>
      <c r="C452" s="21">
        <f t="shared" si="66"/>
        <v>1</v>
      </c>
      <c r="D452" s="635"/>
      <c r="E452" s="21">
        <f t="shared" si="67"/>
        <v>1</v>
      </c>
      <c r="F452" s="635"/>
      <c r="G452" s="21">
        <f t="shared" si="68"/>
        <v>1</v>
      </c>
      <c r="H452" s="635"/>
      <c r="I452" s="21">
        <f t="shared" si="69"/>
        <v>1</v>
      </c>
      <c r="J452" s="635"/>
      <c r="K452" s="21">
        <f t="shared" si="70"/>
        <v>1</v>
      </c>
      <c r="L452" s="635"/>
      <c r="M452" s="21">
        <f t="shared" si="71"/>
        <v>1</v>
      </c>
      <c r="N452" s="635"/>
      <c r="O452" s="21">
        <f t="shared" si="72"/>
        <v>1</v>
      </c>
      <c r="P452" s="635"/>
      <c r="Q452" s="21">
        <f t="shared" si="73"/>
        <v>0</v>
      </c>
      <c r="R452" s="21">
        <f t="shared" si="74"/>
        <v>0</v>
      </c>
      <c r="S452" s="308">
        <f t="shared" si="65"/>
        <v>0</v>
      </c>
    </row>
    <row r="453" spans="1:19">
      <c r="A453" s="142"/>
      <c r="B453" s="52"/>
      <c r="C453" s="21">
        <f t="shared" si="66"/>
        <v>1</v>
      </c>
      <c r="D453" s="635"/>
      <c r="E453" s="21">
        <f t="shared" si="67"/>
        <v>1</v>
      </c>
      <c r="F453" s="635"/>
      <c r="G453" s="21">
        <f t="shared" si="68"/>
        <v>1</v>
      </c>
      <c r="H453" s="635"/>
      <c r="I453" s="21">
        <f t="shared" si="69"/>
        <v>1</v>
      </c>
      <c r="J453" s="635"/>
      <c r="K453" s="21">
        <f t="shared" si="70"/>
        <v>1</v>
      </c>
      <c r="L453" s="635"/>
      <c r="M453" s="21">
        <f t="shared" si="71"/>
        <v>1</v>
      </c>
      <c r="N453" s="635"/>
      <c r="O453" s="21">
        <f t="shared" si="72"/>
        <v>1</v>
      </c>
      <c r="P453" s="635"/>
      <c r="Q453" s="21">
        <f t="shared" si="73"/>
        <v>0</v>
      </c>
      <c r="R453" s="21">
        <f t="shared" si="74"/>
        <v>0</v>
      </c>
      <c r="S453" s="308">
        <f t="shared" si="65"/>
        <v>0</v>
      </c>
    </row>
    <row r="454" spans="1:19">
      <c r="A454" s="142"/>
      <c r="B454" s="52"/>
      <c r="C454" s="21">
        <f t="shared" si="66"/>
        <v>1</v>
      </c>
      <c r="D454" s="635"/>
      <c r="E454" s="21">
        <f t="shared" si="67"/>
        <v>1</v>
      </c>
      <c r="F454" s="635"/>
      <c r="G454" s="21">
        <f t="shared" si="68"/>
        <v>1</v>
      </c>
      <c r="H454" s="635"/>
      <c r="I454" s="21">
        <f t="shared" si="69"/>
        <v>1</v>
      </c>
      <c r="J454" s="635"/>
      <c r="K454" s="21">
        <f t="shared" si="70"/>
        <v>1</v>
      </c>
      <c r="L454" s="635"/>
      <c r="M454" s="21">
        <f t="shared" si="71"/>
        <v>1</v>
      </c>
      <c r="N454" s="635"/>
      <c r="O454" s="21">
        <f t="shared" si="72"/>
        <v>1</v>
      </c>
      <c r="P454" s="635"/>
      <c r="Q454" s="21">
        <f t="shared" si="73"/>
        <v>0</v>
      </c>
      <c r="R454" s="21">
        <f t="shared" si="74"/>
        <v>0</v>
      </c>
      <c r="S454" s="308">
        <f t="shared" si="65"/>
        <v>0</v>
      </c>
    </row>
    <row r="455" spans="1:19">
      <c r="A455" s="142"/>
      <c r="B455" s="52"/>
      <c r="C455" s="21">
        <f t="shared" si="66"/>
        <v>1</v>
      </c>
      <c r="D455" s="635"/>
      <c r="E455" s="21">
        <f t="shared" si="67"/>
        <v>1</v>
      </c>
      <c r="F455" s="635"/>
      <c r="G455" s="21">
        <f t="shared" si="68"/>
        <v>1</v>
      </c>
      <c r="H455" s="635"/>
      <c r="I455" s="21">
        <f t="shared" si="69"/>
        <v>1</v>
      </c>
      <c r="J455" s="635"/>
      <c r="K455" s="21">
        <f t="shared" si="70"/>
        <v>1</v>
      </c>
      <c r="L455" s="635"/>
      <c r="M455" s="21">
        <f t="shared" si="71"/>
        <v>1</v>
      </c>
      <c r="N455" s="635"/>
      <c r="O455" s="21">
        <f t="shared" si="72"/>
        <v>1</v>
      </c>
      <c r="P455" s="635"/>
      <c r="Q455" s="21">
        <f t="shared" si="73"/>
        <v>0</v>
      </c>
      <c r="R455" s="21">
        <f t="shared" si="74"/>
        <v>0</v>
      </c>
      <c r="S455" s="308">
        <f t="shared" si="65"/>
        <v>0</v>
      </c>
    </row>
    <row r="456" spans="1:19">
      <c r="A456" s="142"/>
      <c r="B456" s="52"/>
      <c r="C456" s="21">
        <f t="shared" si="66"/>
        <v>1</v>
      </c>
      <c r="D456" s="635"/>
      <c r="E456" s="21">
        <f t="shared" si="67"/>
        <v>1</v>
      </c>
      <c r="F456" s="635"/>
      <c r="G456" s="21">
        <f t="shared" si="68"/>
        <v>1</v>
      </c>
      <c r="H456" s="635"/>
      <c r="I456" s="21">
        <f t="shared" si="69"/>
        <v>1</v>
      </c>
      <c r="J456" s="635"/>
      <c r="K456" s="21">
        <f t="shared" si="70"/>
        <v>1</v>
      </c>
      <c r="L456" s="635"/>
      <c r="M456" s="21">
        <f t="shared" si="71"/>
        <v>1</v>
      </c>
      <c r="N456" s="635"/>
      <c r="O456" s="21">
        <f t="shared" si="72"/>
        <v>1</v>
      </c>
      <c r="P456" s="635"/>
      <c r="Q456" s="21">
        <f t="shared" si="73"/>
        <v>0</v>
      </c>
      <c r="R456" s="21">
        <f t="shared" si="74"/>
        <v>0</v>
      </c>
      <c r="S456" s="308">
        <f t="shared" si="65"/>
        <v>0</v>
      </c>
    </row>
    <row r="457" spans="1:19">
      <c r="A457" s="142"/>
      <c r="B457" s="52"/>
      <c r="C457" s="21">
        <f t="shared" si="66"/>
        <v>1</v>
      </c>
      <c r="D457" s="635"/>
      <c r="E457" s="21">
        <f t="shared" si="67"/>
        <v>1</v>
      </c>
      <c r="F457" s="635"/>
      <c r="G457" s="21">
        <f t="shared" si="68"/>
        <v>1</v>
      </c>
      <c r="H457" s="635"/>
      <c r="I457" s="21">
        <f t="shared" si="69"/>
        <v>1</v>
      </c>
      <c r="J457" s="635"/>
      <c r="K457" s="21">
        <f t="shared" si="70"/>
        <v>1</v>
      </c>
      <c r="L457" s="635"/>
      <c r="M457" s="21">
        <f t="shared" si="71"/>
        <v>1</v>
      </c>
      <c r="N457" s="635"/>
      <c r="O457" s="21">
        <f t="shared" si="72"/>
        <v>1</v>
      </c>
      <c r="P457" s="635"/>
      <c r="Q457" s="21">
        <f t="shared" si="73"/>
        <v>0</v>
      </c>
      <c r="R457" s="21">
        <f t="shared" si="74"/>
        <v>0</v>
      </c>
      <c r="S457" s="308">
        <f t="shared" si="65"/>
        <v>0</v>
      </c>
    </row>
    <row r="458" spans="1:19">
      <c r="A458" s="142"/>
      <c r="B458" s="52"/>
      <c r="C458" s="21">
        <f t="shared" si="66"/>
        <v>1</v>
      </c>
      <c r="D458" s="635"/>
      <c r="E458" s="21">
        <f t="shared" si="67"/>
        <v>1</v>
      </c>
      <c r="F458" s="635"/>
      <c r="G458" s="21">
        <f t="shared" si="68"/>
        <v>1</v>
      </c>
      <c r="H458" s="635"/>
      <c r="I458" s="21">
        <f t="shared" si="69"/>
        <v>1</v>
      </c>
      <c r="J458" s="635"/>
      <c r="K458" s="21">
        <f t="shared" si="70"/>
        <v>1</v>
      </c>
      <c r="L458" s="635"/>
      <c r="M458" s="21">
        <f t="shared" si="71"/>
        <v>1</v>
      </c>
      <c r="N458" s="635"/>
      <c r="O458" s="21">
        <f t="shared" si="72"/>
        <v>1</v>
      </c>
      <c r="P458" s="635"/>
      <c r="Q458" s="21">
        <f t="shared" si="73"/>
        <v>0</v>
      </c>
      <c r="R458" s="21">
        <f t="shared" si="74"/>
        <v>0</v>
      </c>
      <c r="S458" s="308">
        <f t="shared" si="65"/>
        <v>0</v>
      </c>
    </row>
    <row r="459" spans="1:19">
      <c r="A459" s="142"/>
      <c r="B459" s="52"/>
      <c r="C459" s="21">
        <f t="shared" si="66"/>
        <v>1</v>
      </c>
      <c r="D459" s="635"/>
      <c r="E459" s="21">
        <f t="shared" si="67"/>
        <v>1</v>
      </c>
      <c r="F459" s="635"/>
      <c r="G459" s="21">
        <f t="shared" si="68"/>
        <v>1</v>
      </c>
      <c r="H459" s="635"/>
      <c r="I459" s="21">
        <f t="shared" si="69"/>
        <v>1</v>
      </c>
      <c r="J459" s="635"/>
      <c r="K459" s="21">
        <f t="shared" si="70"/>
        <v>1</v>
      </c>
      <c r="L459" s="635"/>
      <c r="M459" s="21">
        <f t="shared" si="71"/>
        <v>1</v>
      </c>
      <c r="N459" s="635"/>
      <c r="O459" s="21">
        <f t="shared" si="72"/>
        <v>1</v>
      </c>
      <c r="P459" s="635"/>
      <c r="Q459" s="21">
        <f t="shared" si="73"/>
        <v>0</v>
      </c>
      <c r="R459" s="21">
        <f t="shared" si="74"/>
        <v>0</v>
      </c>
      <c r="S459" s="308">
        <f t="shared" si="65"/>
        <v>0</v>
      </c>
    </row>
    <row r="460" spans="1:19">
      <c r="A460" s="142"/>
      <c r="B460" s="52"/>
      <c r="C460" s="21">
        <f t="shared" si="66"/>
        <v>1</v>
      </c>
      <c r="D460" s="635"/>
      <c r="E460" s="21">
        <f t="shared" si="67"/>
        <v>1</v>
      </c>
      <c r="F460" s="635"/>
      <c r="G460" s="21">
        <f t="shared" si="68"/>
        <v>1</v>
      </c>
      <c r="H460" s="635"/>
      <c r="I460" s="21">
        <f t="shared" si="69"/>
        <v>1</v>
      </c>
      <c r="J460" s="635"/>
      <c r="K460" s="21">
        <f t="shared" si="70"/>
        <v>1</v>
      </c>
      <c r="L460" s="635"/>
      <c r="M460" s="21">
        <f t="shared" si="71"/>
        <v>1</v>
      </c>
      <c r="N460" s="635"/>
      <c r="O460" s="21">
        <f t="shared" si="72"/>
        <v>1</v>
      </c>
      <c r="P460" s="635"/>
      <c r="Q460" s="21">
        <f t="shared" si="73"/>
        <v>0</v>
      </c>
      <c r="R460" s="21">
        <f t="shared" si="74"/>
        <v>0</v>
      </c>
      <c r="S460" s="308">
        <f t="shared" si="65"/>
        <v>0</v>
      </c>
    </row>
    <row r="461" spans="1:19">
      <c r="A461" s="142"/>
      <c r="B461" s="52"/>
      <c r="C461" s="21">
        <f t="shared" si="66"/>
        <v>1</v>
      </c>
      <c r="D461" s="635"/>
      <c r="E461" s="21">
        <f t="shared" si="67"/>
        <v>1</v>
      </c>
      <c r="F461" s="635"/>
      <c r="G461" s="21">
        <f t="shared" si="68"/>
        <v>1</v>
      </c>
      <c r="H461" s="635"/>
      <c r="I461" s="21">
        <f t="shared" si="69"/>
        <v>1</v>
      </c>
      <c r="J461" s="635"/>
      <c r="K461" s="21">
        <f t="shared" si="70"/>
        <v>1</v>
      </c>
      <c r="L461" s="635"/>
      <c r="M461" s="21">
        <f t="shared" si="71"/>
        <v>1</v>
      </c>
      <c r="N461" s="635"/>
      <c r="O461" s="21">
        <f t="shared" si="72"/>
        <v>1</v>
      </c>
      <c r="P461" s="635"/>
      <c r="Q461" s="21">
        <f t="shared" si="73"/>
        <v>0</v>
      </c>
      <c r="R461" s="21">
        <f t="shared" si="74"/>
        <v>0</v>
      </c>
      <c r="S461" s="308">
        <f t="shared" si="65"/>
        <v>0</v>
      </c>
    </row>
    <row r="462" spans="1:19">
      <c r="A462" s="142"/>
      <c r="B462" s="52"/>
      <c r="C462" s="21">
        <f t="shared" si="66"/>
        <v>1</v>
      </c>
      <c r="D462" s="635"/>
      <c r="E462" s="21">
        <f t="shared" si="67"/>
        <v>1</v>
      </c>
      <c r="F462" s="635"/>
      <c r="G462" s="21">
        <f t="shared" si="68"/>
        <v>1</v>
      </c>
      <c r="H462" s="635"/>
      <c r="I462" s="21">
        <f t="shared" si="69"/>
        <v>1</v>
      </c>
      <c r="J462" s="635"/>
      <c r="K462" s="21">
        <f t="shared" si="70"/>
        <v>1</v>
      </c>
      <c r="L462" s="635"/>
      <c r="M462" s="21">
        <f t="shared" si="71"/>
        <v>1</v>
      </c>
      <c r="N462" s="635"/>
      <c r="O462" s="21">
        <f t="shared" si="72"/>
        <v>1</v>
      </c>
      <c r="P462" s="635"/>
      <c r="Q462" s="21">
        <f t="shared" si="73"/>
        <v>0</v>
      </c>
      <c r="R462" s="21">
        <f t="shared" si="74"/>
        <v>0</v>
      </c>
      <c r="S462" s="308">
        <f t="shared" si="65"/>
        <v>0</v>
      </c>
    </row>
    <row r="463" spans="1:19">
      <c r="A463" s="142"/>
      <c r="B463" s="52"/>
      <c r="C463" s="21">
        <f t="shared" si="66"/>
        <v>1</v>
      </c>
      <c r="D463" s="635"/>
      <c r="E463" s="21">
        <f t="shared" si="67"/>
        <v>1</v>
      </c>
      <c r="F463" s="635"/>
      <c r="G463" s="21">
        <f t="shared" si="68"/>
        <v>1</v>
      </c>
      <c r="H463" s="635"/>
      <c r="I463" s="21">
        <f t="shared" si="69"/>
        <v>1</v>
      </c>
      <c r="J463" s="635"/>
      <c r="K463" s="21">
        <f t="shared" si="70"/>
        <v>1</v>
      </c>
      <c r="L463" s="635"/>
      <c r="M463" s="21">
        <f t="shared" si="71"/>
        <v>1</v>
      </c>
      <c r="N463" s="635"/>
      <c r="O463" s="21">
        <f t="shared" si="72"/>
        <v>1</v>
      </c>
      <c r="P463" s="635"/>
      <c r="Q463" s="21">
        <f t="shared" si="73"/>
        <v>0</v>
      </c>
      <c r="R463" s="21">
        <f t="shared" si="74"/>
        <v>0</v>
      </c>
      <c r="S463" s="308">
        <f t="shared" si="65"/>
        <v>0</v>
      </c>
    </row>
    <row r="464" spans="1:19">
      <c r="A464" s="142"/>
      <c r="B464" s="52"/>
      <c r="C464" s="21">
        <f t="shared" si="66"/>
        <v>1</v>
      </c>
      <c r="D464" s="635"/>
      <c r="E464" s="21">
        <f t="shared" si="67"/>
        <v>1</v>
      </c>
      <c r="F464" s="635"/>
      <c r="G464" s="21">
        <f t="shared" si="68"/>
        <v>1</v>
      </c>
      <c r="H464" s="635"/>
      <c r="I464" s="21">
        <f t="shared" si="69"/>
        <v>1</v>
      </c>
      <c r="J464" s="635"/>
      <c r="K464" s="21">
        <f t="shared" si="70"/>
        <v>1</v>
      </c>
      <c r="L464" s="635"/>
      <c r="M464" s="21">
        <f t="shared" si="71"/>
        <v>1</v>
      </c>
      <c r="N464" s="635"/>
      <c r="O464" s="21">
        <f t="shared" si="72"/>
        <v>1</v>
      </c>
      <c r="P464" s="635"/>
      <c r="Q464" s="21">
        <f t="shared" si="73"/>
        <v>0</v>
      </c>
      <c r="R464" s="21">
        <f t="shared" si="74"/>
        <v>0</v>
      </c>
      <c r="S464" s="308">
        <f t="shared" si="65"/>
        <v>0</v>
      </c>
    </row>
    <row r="465" spans="1:19">
      <c r="A465" s="142"/>
      <c r="B465" s="52"/>
      <c r="C465" s="21">
        <f t="shared" si="66"/>
        <v>1</v>
      </c>
      <c r="D465" s="635"/>
      <c r="E465" s="21">
        <f t="shared" si="67"/>
        <v>1</v>
      </c>
      <c r="F465" s="635"/>
      <c r="G465" s="21">
        <f t="shared" si="68"/>
        <v>1</v>
      </c>
      <c r="H465" s="635"/>
      <c r="I465" s="21">
        <f t="shared" si="69"/>
        <v>1</v>
      </c>
      <c r="J465" s="635"/>
      <c r="K465" s="21">
        <f t="shared" si="70"/>
        <v>1</v>
      </c>
      <c r="L465" s="635"/>
      <c r="M465" s="21">
        <f t="shared" si="71"/>
        <v>1</v>
      </c>
      <c r="N465" s="635"/>
      <c r="O465" s="21">
        <f t="shared" si="72"/>
        <v>1</v>
      </c>
      <c r="P465" s="635"/>
      <c r="Q465" s="21">
        <f t="shared" si="73"/>
        <v>0</v>
      </c>
      <c r="R465" s="21">
        <f t="shared" si="74"/>
        <v>0</v>
      </c>
      <c r="S465" s="308">
        <f t="shared" si="65"/>
        <v>0</v>
      </c>
    </row>
    <row r="466" spans="1:19">
      <c r="A466" s="142"/>
      <c r="B466" s="52"/>
      <c r="C466" s="21">
        <f t="shared" si="66"/>
        <v>1</v>
      </c>
      <c r="D466" s="635"/>
      <c r="E466" s="21">
        <f t="shared" si="67"/>
        <v>1</v>
      </c>
      <c r="F466" s="635"/>
      <c r="G466" s="21">
        <f t="shared" si="68"/>
        <v>1</v>
      </c>
      <c r="H466" s="635"/>
      <c r="I466" s="21">
        <f t="shared" si="69"/>
        <v>1</v>
      </c>
      <c r="J466" s="635"/>
      <c r="K466" s="21">
        <f t="shared" si="70"/>
        <v>1</v>
      </c>
      <c r="L466" s="635"/>
      <c r="M466" s="21">
        <f t="shared" si="71"/>
        <v>1</v>
      </c>
      <c r="N466" s="635"/>
      <c r="O466" s="21">
        <f t="shared" si="72"/>
        <v>1</v>
      </c>
      <c r="P466" s="635"/>
      <c r="Q466" s="21">
        <f t="shared" si="73"/>
        <v>0</v>
      </c>
      <c r="R466" s="21">
        <f t="shared" si="74"/>
        <v>0</v>
      </c>
      <c r="S466" s="308">
        <f t="shared" si="65"/>
        <v>0</v>
      </c>
    </row>
    <row r="467" spans="1:19">
      <c r="A467" s="142"/>
      <c r="B467" s="52"/>
      <c r="C467" s="21">
        <f t="shared" si="66"/>
        <v>1</v>
      </c>
      <c r="D467" s="635"/>
      <c r="E467" s="21">
        <f t="shared" si="67"/>
        <v>1</v>
      </c>
      <c r="F467" s="635"/>
      <c r="G467" s="21">
        <f t="shared" si="68"/>
        <v>1</v>
      </c>
      <c r="H467" s="635"/>
      <c r="I467" s="21">
        <f t="shared" si="69"/>
        <v>1</v>
      </c>
      <c r="J467" s="635"/>
      <c r="K467" s="21">
        <f t="shared" si="70"/>
        <v>1</v>
      </c>
      <c r="L467" s="635"/>
      <c r="M467" s="21">
        <f t="shared" si="71"/>
        <v>1</v>
      </c>
      <c r="N467" s="635"/>
      <c r="O467" s="21">
        <f t="shared" si="72"/>
        <v>1</v>
      </c>
      <c r="P467" s="635"/>
      <c r="Q467" s="21">
        <f t="shared" si="73"/>
        <v>0</v>
      </c>
      <c r="R467" s="21">
        <f t="shared" si="74"/>
        <v>0</v>
      </c>
      <c r="S467" s="308">
        <f t="shared" si="65"/>
        <v>0</v>
      </c>
    </row>
    <row r="468" spans="1:19">
      <c r="A468" s="142"/>
      <c r="B468" s="52"/>
      <c r="C468" s="21">
        <f t="shared" si="66"/>
        <v>1</v>
      </c>
      <c r="D468" s="635"/>
      <c r="E468" s="21">
        <f t="shared" si="67"/>
        <v>1</v>
      </c>
      <c r="F468" s="635"/>
      <c r="G468" s="21">
        <f t="shared" si="68"/>
        <v>1</v>
      </c>
      <c r="H468" s="635"/>
      <c r="I468" s="21">
        <f t="shared" si="69"/>
        <v>1</v>
      </c>
      <c r="J468" s="635"/>
      <c r="K468" s="21">
        <f t="shared" si="70"/>
        <v>1</v>
      </c>
      <c r="L468" s="635"/>
      <c r="M468" s="21">
        <f t="shared" si="71"/>
        <v>1</v>
      </c>
      <c r="N468" s="635"/>
      <c r="O468" s="21">
        <f t="shared" si="72"/>
        <v>1</v>
      </c>
      <c r="P468" s="635"/>
      <c r="Q468" s="21">
        <f t="shared" si="73"/>
        <v>0</v>
      </c>
      <c r="R468" s="21">
        <f t="shared" si="74"/>
        <v>0</v>
      </c>
      <c r="S468" s="308">
        <f t="shared" si="65"/>
        <v>0</v>
      </c>
    </row>
    <row r="469" spans="1:19">
      <c r="A469" s="142"/>
      <c r="B469" s="52"/>
      <c r="C469" s="21">
        <f t="shared" si="66"/>
        <v>1</v>
      </c>
      <c r="D469" s="635"/>
      <c r="E469" s="21">
        <f t="shared" si="67"/>
        <v>1</v>
      </c>
      <c r="F469" s="635"/>
      <c r="G469" s="21">
        <f t="shared" si="68"/>
        <v>1</v>
      </c>
      <c r="H469" s="635"/>
      <c r="I469" s="21">
        <f t="shared" si="69"/>
        <v>1</v>
      </c>
      <c r="J469" s="635"/>
      <c r="K469" s="21">
        <f t="shared" si="70"/>
        <v>1</v>
      </c>
      <c r="L469" s="635"/>
      <c r="M469" s="21">
        <f t="shared" si="71"/>
        <v>1</v>
      </c>
      <c r="N469" s="635"/>
      <c r="O469" s="21">
        <f t="shared" si="72"/>
        <v>1</v>
      </c>
      <c r="P469" s="635"/>
      <c r="Q469" s="21">
        <f t="shared" si="73"/>
        <v>0</v>
      </c>
      <c r="R469" s="21">
        <f t="shared" si="74"/>
        <v>0</v>
      </c>
      <c r="S469" s="308">
        <f t="shared" si="65"/>
        <v>0</v>
      </c>
    </row>
    <row r="470" spans="1:19">
      <c r="A470" s="142"/>
      <c r="B470" s="52"/>
      <c r="C470" s="21">
        <f t="shared" si="66"/>
        <v>1</v>
      </c>
      <c r="D470" s="635"/>
      <c r="E470" s="21">
        <f t="shared" si="67"/>
        <v>1</v>
      </c>
      <c r="F470" s="635"/>
      <c r="G470" s="21">
        <f t="shared" si="68"/>
        <v>1</v>
      </c>
      <c r="H470" s="635"/>
      <c r="I470" s="21">
        <f t="shared" si="69"/>
        <v>1</v>
      </c>
      <c r="J470" s="635"/>
      <c r="K470" s="21">
        <f t="shared" si="70"/>
        <v>1</v>
      </c>
      <c r="L470" s="635"/>
      <c r="M470" s="21">
        <f t="shared" si="71"/>
        <v>1</v>
      </c>
      <c r="N470" s="635"/>
      <c r="O470" s="21">
        <f t="shared" si="72"/>
        <v>1</v>
      </c>
      <c r="P470" s="635"/>
      <c r="Q470" s="21">
        <f t="shared" si="73"/>
        <v>0</v>
      </c>
      <c r="R470" s="21">
        <f t="shared" si="74"/>
        <v>0</v>
      </c>
      <c r="S470" s="308">
        <f t="shared" si="65"/>
        <v>0</v>
      </c>
    </row>
    <row r="471" spans="1:19">
      <c r="A471" s="142"/>
      <c r="B471" s="52"/>
      <c r="C471" s="21">
        <f t="shared" si="66"/>
        <v>1</v>
      </c>
      <c r="D471" s="635"/>
      <c r="E471" s="21">
        <f t="shared" si="67"/>
        <v>1</v>
      </c>
      <c r="F471" s="635"/>
      <c r="G471" s="21">
        <f t="shared" si="68"/>
        <v>1</v>
      </c>
      <c r="H471" s="635"/>
      <c r="I471" s="21">
        <f t="shared" si="69"/>
        <v>1</v>
      </c>
      <c r="J471" s="635"/>
      <c r="K471" s="21">
        <f t="shared" si="70"/>
        <v>1</v>
      </c>
      <c r="L471" s="635"/>
      <c r="M471" s="21">
        <f t="shared" si="71"/>
        <v>1</v>
      </c>
      <c r="N471" s="635"/>
      <c r="O471" s="21">
        <f t="shared" si="72"/>
        <v>1</v>
      </c>
      <c r="P471" s="635"/>
      <c r="Q471" s="21">
        <f t="shared" si="73"/>
        <v>0</v>
      </c>
      <c r="R471" s="21">
        <f t="shared" si="74"/>
        <v>0</v>
      </c>
      <c r="S471" s="308">
        <f t="shared" si="65"/>
        <v>0</v>
      </c>
    </row>
    <row r="472" spans="1:19">
      <c r="A472" s="142"/>
      <c r="B472" s="52"/>
      <c r="C472" s="21">
        <f t="shared" si="66"/>
        <v>1</v>
      </c>
      <c r="D472" s="635"/>
      <c r="E472" s="21">
        <f t="shared" si="67"/>
        <v>1</v>
      </c>
      <c r="F472" s="635"/>
      <c r="G472" s="21">
        <f t="shared" si="68"/>
        <v>1</v>
      </c>
      <c r="H472" s="635"/>
      <c r="I472" s="21">
        <f t="shared" si="69"/>
        <v>1</v>
      </c>
      <c r="J472" s="635"/>
      <c r="K472" s="21">
        <f t="shared" si="70"/>
        <v>1</v>
      </c>
      <c r="L472" s="635"/>
      <c r="M472" s="21">
        <f t="shared" si="71"/>
        <v>1</v>
      </c>
      <c r="N472" s="635"/>
      <c r="O472" s="21">
        <f t="shared" si="72"/>
        <v>1</v>
      </c>
      <c r="P472" s="635"/>
      <c r="Q472" s="21">
        <f t="shared" si="73"/>
        <v>0</v>
      </c>
      <c r="R472" s="21">
        <f t="shared" si="74"/>
        <v>0</v>
      </c>
      <c r="S472" s="308">
        <f t="shared" ref="S472:S524" si="75">ROUND(R472*B472/10000,0)</f>
        <v>0</v>
      </c>
    </row>
    <row r="473" spans="1:19">
      <c r="A473" s="142"/>
      <c r="B473" s="52"/>
      <c r="C473" s="21">
        <f t="shared" si="66"/>
        <v>1</v>
      </c>
      <c r="D473" s="635"/>
      <c r="E473" s="21">
        <f t="shared" si="67"/>
        <v>1</v>
      </c>
      <c r="F473" s="635"/>
      <c r="G473" s="21">
        <f t="shared" si="68"/>
        <v>1</v>
      </c>
      <c r="H473" s="635"/>
      <c r="I473" s="21">
        <f t="shared" si="69"/>
        <v>1</v>
      </c>
      <c r="J473" s="635"/>
      <c r="K473" s="21">
        <f t="shared" si="70"/>
        <v>1</v>
      </c>
      <c r="L473" s="635"/>
      <c r="M473" s="21">
        <f t="shared" si="71"/>
        <v>1</v>
      </c>
      <c r="N473" s="635"/>
      <c r="O473" s="21">
        <f t="shared" si="72"/>
        <v>1</v>
      </c>
      <c r="P473" s="635"/>
      <c r="Q473" s="21">
        <f t="shared" si="73"/>
        <v>0</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1</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0</v>
      </c>
      <c r="R474" s="21">
        <f t="shared" ref="R474:R524" si="84">IF(B474="",0,ROUND($R$24*C474*E474*G474*I474*K474*M474*O474*Q474,0))</f>
        <v>0</v>
      </c>
      <c r="S474" s="308">
        <f t="shared" si="75"/>
        <v>0</v>
      </c>
    </row>
    <row r="475" spans="1:19">
      <c r="A475" s="142"/>
      <c r="B475" s="52"/>
      <c r="C475" s="21">
        <f t="shared" si="76"/>
        <v>1</v>
      </c>
      <c r="D475" s="635"/>
      <c r="E475" s="21">
        <f t="shared" si="77"/>
        <v>1</v>
      </c>
      <c r="F475" s="635"/>
      <c r="G475" s="21">
        <f t="shared" si="78"/>
        <v>1</v>
      </c>
      <c r="H475" s="635"/>
      <c r="I475" s="21">
        <f t="shared" si="79"/>
        <v>1</v>
      </c>
      <c r="J475" s="635"/>
      <c r="K475" s="21">
        <f t="shared" si="80"/>
        <v>1</v>
      </c>
      <c r="L475" s="635"/>
      <c r="M475" s="21">
        <f t="shared" si="81"/>
        <v>1</v>
      </c>
      <c r="N475" s="635"/>
      <c r="O475" s="21">
        <f t="shared" si="82"/>
        <v>1</v>
      </c>
      <c r="P475" s="635"/>
      <c r="Q475" s="21">
        <f t="shared" si="83"/>
        <v>0</v>
      </c>
      <c r="R475" s="21">
        <f t="shared" si="84"/>
        <v>0</v>
      </c>
      <c r="S475" s="308">
        <f t="shared" si="75"/>
        <v>0</v>
      </c>
    </row>
    <row r="476" spans="1:19">
      <c r="A476" s="142"/>
      <c r="B476" s="52"/>
      <c r="C476" s="21">
        <f t="shared" si="76"/>
        <v>1</v>
      </c>
      <c r="D476" s="635"/>
      <c r="E476" s="21">
        <f t="shared" si="77"/>
        <v>1</v>
      </c>
      <c r="F476" s="635"/>
      <c r="G476" s="21">
        <f t="shared" si="78"/>
        <v>1</v>
      </c>
      <c r="H476" s="635"/>
      <c r="I476" s="21">
        <f t="shared" si="79"/>
        <v>1</v>
      </c>
      <c r="J476" s="635"/>
      <c r="K476" s="21">
        <f t="shared" si="80"/>
        <v>1</v>
      </c>
      <c r="L476" s="635"/>
      <c r="M476" s="21">
        <f t="shared" si="81"/>
        <v>1</v>
      </c>
      <c r="N476" s="635"/>
      <c r="O476" s="21">
        <f t="shared" si="82"/>
        <v>1</v>
      </c>
      <c r="P476" s="635"/>
      <c r="Q476" s="21">
        <f t="shared" si="83"/>
        <v>0</v>
      </c>
      <c r="R476" s="21">
        <f t="shared" si="84"/>
        <v>0</v>
      </c>
      <c r="S476" s="308">
        <f t="shared" si="75"/>
        <v>0</v>
      </c>
    </row>
    <row r="477" spans="1:19">
      <c r="A477" s="142"/>
      <c r="B477" s="52"/>
      <c r="C477" s="21">
        <f t="shared" si="76"/>
        <v>1</v>
      </c>
      <c r="D477" s="635"/>
      <c r="E477" s="21">
        <f t="shared" si="77"/>
        <v>1</v>
      </c>
      <c r="F477" s="635"/>
      <c r="G477" s="21">
        <f t="shared" si="78"/>
        <v>1</v>
      </c>
      <c r="H477" s="635"/>
      <c r="I477" s="21">
        <f t="shared" si="79"/>
        <v>1</v>
      </c>
      <c r="J477" s="635"/>
      <c r="K477" s="21">
        <f t="shared" si="80"/>
        <v>1</v>
      </c>
      <c r="L477" s="635"/>
      <c r="M477" s="21">
        <f t="shared" si="81"/>
        <v>1</v>
      </c>
      <c r="N477" s="635"/>
      <c r="O477" s="21">
        <f t="shared" si="82"/>
        <v>1</v>
      </c>
      <c r="P477" s="635"/>
      <c r="Q477" s="21">
        <f t="shared" si="83"/>
        <v>0</v>
      </c>
      <c r="R477" s="21">
        <f t="shared" si="84"/>
        <v>0</v>
      </c>
      <c r="S477" s="308">
        <f t="shared" si="75"/>
        <v>0</v>
      </c>
    </row>
    <row r="478" spans="1:19">
      <c r="A478" s="142"/>
      <c r="B478" s="52"/>
      <c r="C478" s="21">
        <f t="shared" si="76"/>
        <v>1</v>
      </c>
      <c r="D478" s="635"/>
      <c r="E478" s="21">
        <f t="shared" si="77"/>
        <v>1</v>
      </c>
      <c r="F478" s="635"/>
      <c r="G478" s="21">
        <f t="shared" si="78"/>
        <v>1</v>
      </c>
      <c r="H478" s="635"/>
      <c r="I478" s="21">
        <f t="shared" si="79"/>
        <v>1</v>
      </c>
      <c r="J478" s="635"/>
      <c r="K478" s="21">
        <f t="shared" si="80"/>
        <v>1</v>
      </c>
      <c r="L478" s="635"/>
      <c r="M478" s="21">
        <f t="shared" si="81"/>
        <v>1</v>
      </c>
      <c r="N478" s="635"/>
      <c r="O478" s="21">
        <f t="shared" si="82"/>
        <v>1</v>
      </c>
      <c r="P478" s="635"/>
      <c r="Q478" s="21">
        <f t="shared" si="83"/>
        <v>0</v>
      </c>
      <c r="R478" s="21">
        <f t="shared" si="84"/>
        <v>0</v>
      </c>
      <c r="S478" s="308">
        <f t="shared" si="75"/>
        <v>0</v>
      </c>
    </row>
    <row r="479" spans="1:19">
      <c r="A479" s="142"/>
      <c r="B479" s="52"/>
      <c r="C479" s="21">
        <f t="shared" si="76"/>
        <v>1</v>
      </c>
      <c r="D479" s="635"/>
      <c r="E479" s="21">
        <f t="shared" si="77"/>
        <v>1</v>
      </c>
      <c r="F479" s="635"/>
      <c r="G479" s="21">
        <f t="shared" si="78"/>
        <v>1</v>
      </c>
      <c r="H479" s="635"/>
      <c r="I479" s="21">
        <f t="shared" si="79"/>
        <v>1</v>
      </c>
      <c r="J479" s="635"/>
      <c r="K479" s="21">
        <f t="shared" si="80"/>
        <v>1</v>
      </c>
      <c r="L479" s="635"/>
      <c r="M479" s="21">
        <f t="shared" si="81"/>
        <v>1</v>
      </c>
      <c r="N479" s="635"/>
      <c r="O479" s="21">
        <f t="shared" si="82"/>
        <v>1</v>
      </c>
      <c r="P479" s="635"/>
      <c r="Q479" s="21">
        <f t="shared" si="83"/>
        <v>0</v>
      </c>
      <c r="R479" s="21">
        <f t="shared" si="84"/>
        <v>0</v>
      </c>
      <c r="S479" s="308">
        <f t="shared" si="75"/>
        <v>0</v>
      </c>
    </row>
    <row r="480" spans="1:19">
      <c r="A480" s="142"/>
      <c r="B480" s="52"/>
      <c r="C480" s="21">
        <f t="shared" si="76"/>
        <v>1</v>
      </c>
      <c r="D480" s="635"/>
      <c r="E480" s="21">
        <f t="shared" si="77"/>
        <v>1</v>
      </c>
      <c r="F480" s="635"/>
      <c r="G480" s="21">
        <f t="shared" si="78"/>
        <v>1</v>
      </c>
      <c r="H480" s="635"/>
      <c r="I480" s="21">
        <f t="shared" si="79"/>
        <v>1</v>
      </c>
      <c r="J480" s="635"/>
      <c r="K480" s="21">
        <f t="shared" si="80"/>
        <v>1</v>
      </c>
      <c r="L480" s="635"/>
      <c r="M480" s="21">
        <f t="shared" si="81"/>
        <v>1</v>
      </c>
      <c r="N480" s="635"/>
      <c r="O480" s="21">
        <f t="shared" si="82"/>
        <v>1</v>
      </c>
      <c r="P480" s="635"/>
      <c r="Q480" s="21">
        <f t="shared" si="83"/>
        <v>0</v>
      </c>
      <c r="R480" s="21">
        <f t="shared" si="84"/>
        <v>0</v>
      </c>
      <c r="S480" s="308">
        <f t="shared" si="75"/>
        <v>0</v>
      </c>
    </row>
    <row r="481" spans="1:19">
      <c r="A481" s="142"/>
      <c r="B481" s="52"/>
      <c r="C481" s="21">
        <f t="shared" si="76"/>
        <v>1</v>
      </c>
      <c r="D481" s="635"/>
      <c r="E481" s="21">
        <f t="shared" si="77"/>
        <v>1</v>
      </c>
      <c r="F481" s="635"/>
      <c r="G481" s="21">
        <f t="shared" si="78"/>
        <v>1</v>
      </c>
      <c r="H481" s="635"/>
      <c r="I481" s="21">
        <f t="shared" si="79"/>
        <v>1</v>
      </c>
      <c r="J481" s="635"/>
      <c r="K481" s="21">
        <f t="shared" si="80"/>
        <v>1</v>
      </c>
      <c r="L481" s="635"/>
      <c r="M481" s="21">
        <f t="shared" si="81"/>
        <v>1</v>
      </c>
      <c r="N481" s="635"/>
      <c r="O481" s="21">
        <f t="shared" si="82"/>
        <v>1</v>
      </c>
      <c r="P481" s="635"/>
      <c r="Q481" s="21">
        <f t="shared" si="83"/>
        <v>0</v>
      </c>
      <c r="R481" s="21">
        <f t="shared" si="84"/>
        <v>0</v>
      </c>
      <c r="S481" s="308">
        <f t="shared" si="75"/>
        <v>0</v>
      </c>
    </row>
    <row r="482" spans="1:19">
      <c r="A482" s="142"/>
      <c r="B482" s="52"/>
      <c r="C482" s="21">
        <f t="shared" si="76"/>
        <v>1</v>
      </c>
      <c r="D482" s="635"/>
      <c r="E482" s="21">
        <f t="shared" si="77"/>
        <v>1</v>
      </c>
      <c r="F482" s="635"/>
      <c r="G482" s="21">
        <f t="shared" si="78"/>
        <v>1</v>
      </c>
      <c r="H482" s="635"/>
      <c r="I482" s="21">
        <f t="shared" si="79"/>
        <v>1</v>
      </c>
      <c r="J482" s="635"/>
      <c r="K482" s="21">
        <f t="shared" si="80"/>
        <v>1</v>
      </c>
      <c r="L482" s="635"/>
      <c r="M482" s="21">
        <f t="shared" si="81"/>
        <v>1</v>
      </c>
      <c r="N482" s="635"/>
      <c r="O482" s="21">
        <f t="shared" si="82"/>
        <v>1</v>
      </c>
      <c r="P482" s="635"/>
      <c r="Q482" s="21">
        <f t="shared" si="83"/>
        <v>0</v>
      </c>
      <c r="R482" s="21">
        <f t="shared" si="84"/>
        <v>0</v>
      </c>
      <c r="S482" s="308">
        <f t="shared" si="75"/>
        <v>0</v>
      </c>
    </row>
    <row r="483" spans="1:19">
      <c r="A483" s="142"/>
      <c r="B483" s="52"/>
      <c r="C483" s="21">
        <f t="shared" si="76"/>
        <v>1</v>
      </c>
      <c r="D483" s="635"/>
      <c r="E483" s="21">
        <f t="shared" si="77"/>
        <v>1</v>
      </c>
      <c r="F483" s="635"/>
      <c r="G483" s="21">
        <f t="shared" si="78"/>
        <v>1</v>
      </c>
      <c r="H483" s="635"/>
      <c r="I483" s="21">
        <f t="shared" si="79"/>
        <v>1</v>
      </c>
      <c r="J483" s="635"/>
      <c r="K483" s="21">
        <f t="shared" si="80"/>
        <v>1</v>
      </c>
      <c r="L483" s="635"/>
      <c r="M483" s="21">
        <f t="shared" si="81"/>
        <v>1</v>
      </c>
      <c r="N483" s="635"/>
      <c r="O483" s="21">
        <f t="shared" si="82"/>
        <v>1</v>
      </c>
      <c r="P483" s="635"/>
      <c r="Q483" s="21">
        <f t="shared" si="83"/>
        <v>0</v>
      </c>
      <c r="R483" s="21">
        <f t="shared" si="84"/>
        <v>0</v>
      </c>
      <c r="S483" s="308">
        <f t="shared" si="75"/>
        <v>0</v>
      </c>
    </row>
    <row r="484" spans="1:19">
      <c r="A484" s="142"/>
      <c r="B484" s="52"/>
      <c r="C484" s="21">
        <f t="shared" si="76"/>
        <v>1</v>
      </c>
      <c r="D484" s="635"/>
      <c r="E484" s="21">
        <f t="shared" si="77"/>
        <v>1</v>
      </c>
      <c r="F484" s="635"/>
      <c r="G484" s="21">
        <f t="shared" si="78"/>
        <v>1</v>
      </c>
      <c r="H484" s="635"/>
      <c r="I484" s="21">
        <f t="shared" si="79"/>
        <v>1</v>
      </c>
      <c r="J484" s="635"/>
      <c r="K484" s="21">
        <f t="shared" si="80"/>
        <v>1</v>
      </c>
      <c r="L484" s="635"/>
      <c r="M484" s="21">
        <f t="shared" si="81"/>
        <v>1</v>
      </c>
      <c r="N484" s="635"/>
      <c r="O484" s="21">
        <f t="shared" si="82"/>
        <v>1</v>
      </c>
      <c r="P484" s="635"/>
      <c r="Q484" s="21">
        <f t="shared" si="83"/>
        <v>0</v>
      </c>
      <c r="R484" s="21">
        <f t="shared" si="84"/>
        <v>0</v>
      </c>
      <c r="S484" s="308">
        <f t="shared" si="75"/>
        <v>0</v>
      </c>
    </row>
    <row r="485" spans="1:19">
      <c r="A485" s="142"/>
      <c r="B485" s="52"/>
      <c r="C485" s="21">
        <f t="shared" si="76"/>
        <v>1</v>
      </c>
      <c r="D485" s="635"/>
      <c r="E485" s="21">
        <f t="shared" si="77"/>
        <v>1</v>
      </c>
      <c r="F485" s="635"/>
      <c r="G485" s="21">
        <f t="shared" si="78"/>
        <v>1</v>
      </c>
      <c r="H485" s="635"/>
      <c r="I485" s="21">
        <f t="shared" si="79"/>
        <v>1</v>
      </c>
      <c r="J485" s="635"/>
      <c r="K485" s="21">
        <f t="shared" si="80"/>
        <v>1</v>
      </c>
      <c r="L485" s="635"/>
      <c r="M485" s="21">
        <f t="shared" si="81"/>
        <v>1</v>
      </c>
      <c r="N485" s="635"/>
      <c r="O485" s="21">
        <f t="shared" si="82"/>
        <v>1</v>
      </c>
      <c r="P485" s="635"/>
      <c r="Q485" s="21">
        <f t="shared" si="83"/>
        <v>0</v>
      </c>
      <c r="R485" s="21">
        <f t="shared" si="84"/>
        <v>0</v>
      </c>
      <c r="S485" s="308">
        <f t="shared" si="75"/>
        <v>0</v>
      </c>
    </row>
    <row r="486" spans="1:19">
      <c r="A486" s="142"/>
      <c r="B486" s="52"/>
      <c r="C486" s="21">
        <f t="shared" si="76"/>
        <v>1</v>
      </c>
      <c r="D486" s="635"/>
      <c r="E486" s="21">
        <f t="shared" si="77"/>
        <v>1</v>
      </c>
      <c r="F486" s="635"/>
      <c r="G486" s="21">
        <f t="shared" si="78"/>
        <v>1</v>
      </c>
      <c r="H486" s="635"/>
      <c r="I486" s="21">
        <f t="shared" si="79"/>
        <v>1</v>
      </c>
      <c r="J486" s="635"/>
      <c r="K486" s="21">
        <f t="shared" si="80"/>
        <v>1</v>
      </c>
      <c r="L486" s="635"/>
      <c r="M486" s="21">
        <f t="shared" si="81"/>
        <v>1</v>
      </c>
      <c r="N486" s="635"/>
      <c r="O486" s="21">
        <f t="shared" si="82"/>
        <v>1</v>
      </c>
      <c r="P486" s="635"/>
      <c r="Q486" s="21">
        <f t="shared" si="83"/>
        <v>0</v>
      </c>
      <c r="R486" s="21">
        <f t="shared" si="84"/>
        <v>0</v>
      </c>
      <c r="S486" s="308">
        <f t="shared" si="75"/>
        <v>0</v>
      </c>
    </row>
    <row r="487" spans="1:19">
      <c r="A487" s="142"/>
      <c r="B487" s="52"/>
      <c r="C487" s="21">
        <f t="shared" si="76"/>
        <v>1</v>
      </c>
      <c r="D487" s="635"/>
      <c r="E487" s="21">
        <f t="shared" si="77"/>
        <v>1</v>
      </c>
      <c r="F487" s="635"/>
      <c r="G487" s="21">
        <f t="shared" si="78"/>
        <v>1</v>
      </c>
      <c r="H487" s="635"/>
      <c r="I487" s="21">
        <f t="shared" si="79"/>
        <v>1</v>
      </c>
      <c r="J487" s="635"/>
      <c r="K487" s="21">
        <f t="shared" si="80"/>
        <v>1</v>
      </c>
      <c r="L487" s="635"/>
      <c r="M487" s="21">
        <f t="shared" si="81"/>
        <v>1</v>
      </c>
      <c r="N487" s="635"/>
      <c r="O487" s="21">
        <f t="shared" si="82"/>
        <v>1</v>
      </c>
      <c r="P487" s="635"/>
      <c r="Q487" s="21">
        <f t="shared" si="83"/>
        <v>0</v>
      </c>
      <c r="R487" s="21">
        <f t="shared" si="84"/>
        <v>0</v>
      </c>
      <c r="S487" s="308">
        <f t="shared" si="75"/>
        <v>0</v>
      </c>
    </row>
    <row r="488" spans="1:19">
      <c r="A488" s="142"/>
      <c r="B488" s="52"/>
      <c r="C488" s="21">
        <f t="shared" si="76"/>
        <v>1</v>
      </c>
      <c r="D488" s="635"/>
      <c r="E488" s="21">
        <f t="shared" si="77"/>
        <v>1</v>
      </c>
      <c r="F488" s="635"/>
      <c r="G488" s="21">
        <f t="shared" si="78"/>
        <v>1</v>
      </c>
      <c r="H488" s="635"/>
      <c r="I488" s="21">
        <f t="shared" si="79"/>
        <v>1</v>
      </c>
      <c r="J488" s="635"/>
      <c r="K488" s="21">
        <f t="shared" si="80"/>
        <v>1</v>
      </c>
      <c r="L488" s="635"/>
      <c r="M488" s="21">
        <f t="shared" si="81"/>
        <v>1</v>
      </c>
      <c r="N488" s="635"/>
      <c r="O488" s="21">
        <f t="shared" si="82"/>
        <v>1</v>
      </c>
      <c r="P488" s="635"/>
      <c r="Q488" s="21">
        <f t="shared" si="83"/>
        <v>0</v>
      </c>
      <c r="R488" s="21">
        <f t="shared" si="84"/>
        <v>0</v>
      </c>
      <c r="S488" s="308">
        <f t="shared" si="75"/>
        <v>0</v>
      </c>
    </row>
    <row r="489" spans="1:19">
      <c r="A489" s="142"/>
      <c r="B489" s="52"/>
      <c r="C489" s="21">
        <f t="shared" si="76"/>
        <v>1</v>
      </c>
      <c r="D489" s="635"/>
      <c r="E489" s="21">
        <f t="shared" si="77"/>
        <v>1</v>
      </c>
      <c r="F489" s="635"/>
      <c r="G489" s="21">
        <f t="shared" si="78"/>
        <v>1</v>
      </c>
      <c r="H489" s="635"/>
      <c r="I489" s="21">
        <f t="shared" si="79"/>
        <v>1</v>
      </c>
      <c r="J489" s="635"/>
      <c r="K489" s="21">
        <f t="shared" si="80"/>
        <v>1</v>
      </c>
      <c r="L489" s="635"/>
      <c r="M489" s="21">
        <f t="shared" si="81"/>
        <v>1</v>
      </c>
      <c r="N489" s="635"/>
      <c r="O489" s="21">
        <f t="shared" si="82"/>
        <v>1</v>
      </c>
      <c r="P489" s="635"/>
      <c r="Q489" s="21">
        <f t="shared" si="83"/>
        <v>0</v>
      </c>
      <c r="R489" s="21">
        <f t="shared" si="84"/>
        <v>0</v>
      </c>
      <c r="S489" s="308">
        <f t="shared" si="75"/>
        <v>0</v>
      </c>
    </row>
    <row r="490" spans="1:19">
      <c r="A490" s="142"/>
      <c r="B490" s="52"/>
      <c r="C490" s="21">
        <f t="shared" si="76"/>
        <v>1</v>
      </c>
      <c r="D490" s="635"/>
      <c r="E490" s="21">
        <f t="shared" si="77"/>
        <v>1</v>
      </c>
      <c r="F490" s="635"/>
      <c r="G490" s="21">
        <f t="shared" si="78"/>
        <v>1</v>
      </c>
      <c r="H490" s="635"/>
      <c r="I490" s="21">
        <f t="shared" si="79"/>
        <v>1</v>
      </c>
      <c r="J490" s="635"/>
      <c r="K490" s="21">
        <f t="shared" si="80"/>
        <v>1</v>
      </c>
      <c r="L490" s="635"/>
      <c r="M490" s="21">
        <f t="shared" si="81"/>
        <v>1</v>
      </c>
      <c r="N490" s="635"/>
      <c r="O490" s="21">
        <f t="shared" si="82"/>
        <v>1</v>
      </c>
      <c r="P490" s="635"/>
      <c r="Q490" s="21">
        <f t="shared" si="83"/>
        <v>0</v>
      </c>
      <c r="R490" s="21">
        <f t="shared" si="84"/>
        <v>0</v>
      </c>
      <c r="S490" s="308">
        <f t="shared" si="75"/>
        <v>0</v>
      </c>
    </row>
    <row r="491" spans="1:19">
      <c r="A491" s="142"/>
      <c r="B491" s="52"/>
      <c r="C491" s="21">
        <f t="shared" si="76"/>
        <v>1</v>
      </c>
      <c r="D491" s="635"/>
      <c r="E491" s="21">
        <f t="shared" si="77"/>
        <v>1</v>
      </c>
      <c r="F491" s="635"/>
      <c r="G491" s="21">
        <f t="shared" si="78"/>
        <v>1</v>
      </c>
      <c r="H491" s="635"/>
      <c r="I491" s="21">
        <f t="shared" si="79"/>
        <v>1</v>
      </c>
      <c r="J491" s="635"/>
      <c r="K491" s="21">
        <f t="shared" si="80"/>
        <v>1</v>
      </c>
      <c r="L491" s="635"/>
      <c r="M491" s="21">
        <f t="shared" si="81"/>
        <v>1</v>
      </c>
      <c r="N491" s="635"/>
      <c r="O491" s="21">
        <f t="shared" si="82"/>
        <v>1</v>
      </c>
      <c r="P491" s="635"/>
      <c r="Q491" s="21">
        <f t="shared" si="83"/>
        <v>0</v>
      </c>
      <c r="R491" s="21">
        <f t="shared" si="84"/>
        <v>0</v>
      </c>
      <c r="S491" s="308">
        <f t="shared" si="75"/>
        <v>0</v>
      </c>
    </row>
    <row r="492" spans="1:19">
      <c r="A492" s="142"/>
      <c r="B492" s="52"/>
      <c r="C492" s="21">
        <f t="shared" si="76"/>
        <v>1</v>
      </c>
      <c r="D492" s="635"/>
      <c r="E492" s="21">
        <f t="shared" si="77"/>
        <v>1</v>
      </c>
      <c r="F492" s="635"/>
      <c r="G492" s="21">
        <f t="shared" si="78"/>
        <v>1</v>
      </c>
      <c r="H492" s="635"/>
      <c r="I492" s="21">
        <f t="shared" si="79"/>
        <v>1</v>
      </c>
      <c r="J492" s="635"/>
      <c r="K492" s="21">
        <f t="shared" si="80"/>
        <v>1</v>
      </c>
      <c r="L492" s="635"/>
      <c r="M492" s="21">
        <f t="shared" si="81"/>
        <v>1</v>
      </c>
      <c r="N492" s="635"/>
      <c r="O492" s="21">
        <f t="shared" si="82"/>
        <v>1</v>
      </c>
      <c r="P492" s="635"/>
      <c r="Q492" s="21">
        <f t="shared" si="83"/>
        <v>0</v>
      </c>
      <c r="R492" s="21">
        <f t="shared" si="84"/>
        <v>0</v>
      </c>
      <c r="S492" s="308">
        <f t="shared" si="75"/>
        <v>0</v>
      </c>
    </row>
    <row r="493" spans="1:19">
      <c r="A493" s="142"/>
      <c r="B493" s="52"/>
      <c r="C493" s="21">
        <f t="shared" si="76"/>
        <v>1</v>
      </c>
      <c r="D493" s="635"/>
      <c r="E493" s="21">
        <f t="shared" si="77"/>
        <v>1</v>
      </c>
      <c r="F493" s="635"/>
      <c r="G493" s="21">
        <f t="shared" si="78"/>
        <v>1</v>
      </c>
      <c r="H493" s="635"/>
      <c r="I493" s="21">
        <f t="shared" si="79"/>
        <v>1</v>
      </c>
      <c r="J493" s="635"/>
      <c r="K493" s="21">
        <f t="shared" si="80"/>
        <v>1</v>
      </c>
      <c r="L493" s="635"/>
      <c r="M493" s="21">
        <f t="shared" si="81"/>
        <v>1</v>
      </c>
      <c r="N493" s="635"/>
      <c r="O493" s="21">
        <f t="shared" si="82"/>
        <v>1</v>
      </c>
      <c r="P493" s="635"/>
      <c r="Q493" s="21">
        <f t="shared" si="83"/>
        <v>0</v>
      </c>
      <c r="R493" s="21">
        <f t="shared" si="84"/>
        <v>0</v>
      </c>
      <c r="S493" s="308">
        <f t="shared" si="75"/>
        <v>0</v>
      </c>
    </row>
    <row r="494" spans="1:19">
      <c r="A494" s="142"/>
      <c r="B494" s="52"/>
      <c r="C494" s="21">
        <f t="shared" si="76"/>
        <v>1</v>
      </c>
      <c r="D494" s="635"/>
      <c r="E494" s="21">
        <f t="shared" si="77"/>
        <v>1</v>
      </c>
      <c r="F494" s="635"/>
      <c r="G494" s="21">
        <f t="shared" si="78"/>
        <v>1</v>
      </c>
      <c r="H494" s="635"/>
      <c r="I494" s="21">
        <f t="shared" si="79"/>
        <v>1</v>
      </c>
      <c r="J494" s="635"/>
      <c r="K494" s="21">
        <f t="shared" si="80"/>
        <v>1</v>
      </c>
      <c r="L494" s="635"/>
      <c r="M494" s="21">
        <f t="shared" si="81"/>
        <v>1</v>
      </c>
      <c r="N494" s="635"/>
      <c r="O494" s="21">
        <f t="shared" si="82"/>
        <v>1</v>
      </c>
      <c r="P494" s="635"/>
      <c r="Q494" s="21">
        <f t="shared" si="83"/>
        <v>0</v>
      </c>
      <c r="R494" s="21">
        <f t="shared" si="84"/>
        <v>0</v>
      </c>
      <c r="S494" s="308">
        <f t="shared" si="75"/>
        <v>0</v>
      </c>
    </row>
    <row r="495" spans="1:19">
      <c r="A495" s="142"/>
      <c r="B495" s="52"/>
      <c r="C495" s="21">
        <f t="shared" si="76"/>
        <v>1</v>
      </c>
      <c r="D495" s="635"/>
      <c r="E495" s="21">
        <f t="shared" si="77"/>
        <v>1</v>
      </c>
      <c r="F495" s="635"/>
      <c r="G495" s="21">
        <f t="shared" si="78"/>
        <v>1</v>
      </c>
      <c r="H495" s="635"/>
      <c r="I495" s="21">
        <f t="shared" si="79"/>
        <v>1</v>
      </c>
      <c r="J495" s="635"/>
      <c r="K495" s="21">
        <f t="shared" si="80"/>
        <v>1</v>
      </c>
      <c r="L495" s="635"/>
      <c r="M495" s="21">
        <f t="shared" si="81"/>
        <v>1</v>
      </c>
      <c r="N495" s="635"/>
      <c r="O495" s="21">
        <f t="shared" si="82"/>
        <v>1</v>
      </c>
      <c r="P495" s="635"/>
      <c r="Q495" s="21">
        <f t="shared" si="83"/>
        <v>0</v>
      </c>
      <c r="R495" s="21">
        <f t="shared" si="84"/>
        <v>0</v>
      </c>
      <c r="S495" s="308">
        <f t="shared" si="75"/>
        <v>0</v>
      </c>
    </row>
    <row r="496" spans="1:19">
      <c r="A496" s="142"/>
      <c r="B496" s="52"/>
      <c r="C496" s="21">
        <f t="shared" si="76"/>
        <v>1</v>
      </c>
      <c r="D496" s="635"/>
      <c r="E496" s="21">
        <f t="shared" si="77"/>
        <v>1</v>
      </c>
      <c r="F496" s="635"/>
      <c r="G496" s="21">
        <f t="shared" si="78"/>
        <v>1</v>
      </c>
      <c r="H496" s="635"/>
      <c r="I496" s="21">
        <f t="shared" si="79"/>
        <v>1</v>
      </c>
      <c r="J496" s="635"/>
      <c r="K496" s="21">
        <f t="shared" si="80"/>
        <v>1</v>
      </c>
      <c r="L496" s="635"/>
      <c r="M496" s="21">
        <f t="shared" si="81"/>
        <v>1</v>
      </c>
      <c r="N496" s="635"/>
      <c r="O496" s="21">
        <f t="shared" si="82"/>
        <v>1</v>
      </c>
      <c r="P496" s="635"/>
      <c r="Q496" s="21">
        <f t="shared" si="83"/>
        <v>0</v>
      </c>
      <c r="R496" s="21">
        <f t="shared" si="84"/>
        <v>0</v>
      </c>
      <c r="S496" s="308">
        <f t="shared" si="75"/>
        <v>0</v>
      </c>
    </row>
    <row r="497" spans="1:19">
      <c r="A497" s="142"/>
      <c r="B497" s="52"/>
      <c r="C497" s="21">
        <f t="shared" si="76"/>
        <v>1</v>
      </c>
      <c r="D497" s="635"/>
      <c r="E497" s="21">
        <f t="shared" si="77"/>
        <v>1</v>
      </c>
      <c r="F497" s="635"/>
      <c r="G497" s="21">
        <f t="shared" si="78"/>
        <v>1</v>
      </c>
      <c r="H497" s="635"/>
      <c r="I497" s="21">
        <f t="shared" si="79"/>
        <v>1</v>
      </c>
      <c r="J497" s="635"/>
      <c r="K497" s="21">
        <f t="shared" si="80"/>
        <v>1</v>
      </c>
      <c r="L497" s="635"/>
      <c r="M497" s="21">
        <f t="shared" si="81"/>
        <v>1</v>
      </c>
      <c r="N497" s="635"/>
      <c r="O497" s="21">
        <f t="shared" si="82"/>
        <v>1</v>
      </c>
      <c r="P497" s="635"/>
      <c r="Q497" s="21">
        <f t="shared" si="83"/>
        <v>0</v>
      </c>
      <c r="R497" s="21">
        <f t="shared" si="84"/>
        <v>0</v>
      </c>
      <c r="S497" s="308">
        <f t="shared" si="75"/>
        <v>0</v>
      </c>
    </row>
    <row r="498" spans="1:19">
      <c r="A498" s="142"/>
      <c r="B498" s="52"/>
      <c r="C498" s="21">
        <f t="shared" si="76"/>
        <v>1</v>
      </c>
      <c r="D498" s="635"/>
      <c r="E498" s="21">
        <f t="shared" si="77"/>
        <v>1</v>
      </c>
      <c r="F498" s="635"/>
      <c r="G498" s="21">
        <f t="shared" si="78"/>
        <v>1</v>
      </c>
      <c r="H498" s="635"/>
      <c r="I498" s="21">
        <f t="shared" si="79"/>
        <v>1</v>
      </c>
      <c r="J498" s="635"/>
      <c r="K498" s="21">
        <f t="shared" si="80"/>
        <v>1</v>
      </c>
      <c r="L498" s="635"/>
      <c r="M498" s="21">
        <f t="shared" si="81"/>
        <v>1</v>
      </c>
      <c r="N498" s="635"/>
      <c r="O498" s="21">
        <f t="shared" si="82"/>
        <v>1</v>
      </c>
      <c r="P498" s="635"/>
      <c r="Q498" s="21">
        <f t="shared" si="83"/>
        <v>0</v>
      </c>
      <c r="R498" s="21">
        <f t="shared" si="84"/>
        <v>0</v>
      </c>
      <c r="S498" s="308">
        <f t="shared" si="75"/>
        <v>0</v>
      </c>
    </row>
    <row r="499" spans="1:19">
      <c r="A499" s="142"/>
      <c r="B499" s="52"/>
      <c r="C499" s="21">
        <f t="shared" si="76"/>
        <v>1</v>
      </c>
      <c r="D499" s="635"/>
      <c r="E499" s="21">
        <f t="shared" si="77"/>
        <v>1</v>
      </c>
      <c r="F499" s="635"/>
      <c r="G499" s="21">
        <f t="shared" si="78"/>
        <v>1</v>
      </c>
      <c r="H499" s="635"/>
      <c r="I499" s="21">
        <f t="shared" si="79"/>
        <v>1</v>
      </c>
      <c r="J499" s="635"/>
      <c r="K499" s="21">
        <f t="shared" si="80"/>
        <v>1</v>
      </c>
      <c r="L499" s="635"/>
      <c r="M499" s="21">
        <f t="shared" si="81"/>
        <v>1</v>
      </c>
      <c r="N499" s="635"/>
      <c r="O499" s="21">
        <f t="shared" si="82"/>
        <v>1</v>
      </c>
      <c r="P499" s="635"/>
      <c r="Q499" s="21">
        <f t="shared" si="83"/>
        <v>0</v>
      </c>
      <c r="R499" s="21">
        <f t="shared" si="84"/>
        <v>0</v>
      </c>
      <c r="S499" s="308">
        <f t="shared" si="75"/>
        <v>0</v>
      </c>
    </row>
    <row r="500" spans="1:19">
      <c r="A500" s="142"/>
      <c r="B500" s="52"/>
      <c r="C500" s="21">
        <f t="shared" si="76"/>
        <v>1</v>
      </c>
      <c r="D500" s="635"/>
      <c r="E500" s="21">
        <f t="shared" si="77"/>
        <v>1</v>
      </c>
      <c r="F500" s="635"/>
      <c r="G500" s="21">
        <f t="shared" si="78"/>
        <v>1</v>
      </c>
      <c r="H500" s="635"/>
      <c r="I500" s="21">
        <f t="shared" si="79"/>
        <v>1</v>
      </c>
      <c r="J500" s="635"/>
      <c r="K500" s="21">
        <f t="shared" si="80"/>
        <v>1</v>
      </c>
      <c r="L500" s="635"/>
      <c r="M500" s="21">
        <f t="shared" si="81"/>
        <v>1</v>
      </c>
      <c r="N500" s="635"/>
      <c r="O500" s="21">
        <f t="shared" si="82"/>
        <v>1</v>
      </c>
      <c r="P500" s="635"/>
      <c r="Q500" s="21">
        <f t="shared" si="83"/>
        <v>0</v>
      </c>
      <c r="R500" s="21">
        <f t="shared" si="84"/>
        <v>0</v>
      </c>
      <c r="S500" s="308">
        <f t="shared" si="75"/>
        <v>0</v>
      </c>
    </row>
    <row r="501" spans="1:19">
      <c r="A501" s="142"/>
      <c r="B501" s="52"/>
      <c r="C501" s="21">
        <f t="shared" si="76"/>
        <v>1</v>
      </c>
      <c r="D501" s="635"/>
      <c r="E501" s="21">
        <f t="shared" si="77"/>
        <v>1</v>
      </c>
      <c r="F501" s="635"/>
      <c r="G501" s="21">
        <f t="shared" si="78"/>
        <v>1</v>
      </c>
      <c r="H501" s="635"/>
      <c r="I501" s="21">
        <f t="shared" si="79"/>
        <v>1</v>
      </c>
      <c r="J501" s="635"/>
      <c r="K501" s="21">
        <f t="shared" si="80"/>
        <v>1</v>
      </c>
      <c r="L501" s="635"/>
      <c r="M501" s="21">
        <f t="shared" si="81"/>
        <v>1</v>
      </c>
      <c r="N501" s="635"/>
      <c r="O501" s="21">
        <f t="shared" si="82"/>
        <v>1</v>
      </c>
      <c r="P501" s="635"/>
      <c r="Q501" s="21">
        <f t="shared" si="83"/>
        <v>0</v>
      </c>
      <c r="R501" s="21">
        <f t="shared" si="84"/>
        <v>0</v>
      </c>
      <c r="S501" s="308">
        <f t="shared" si="75"/>
        <v>0</v>
      </c>
    </row>
    <row r="502" spans="1:19">
      <c r="A502" s="142"/>
      <c r="B502" s="52"/>
      <c r="C502" s="21">
        <f t="shared" si="76"/>
        <v>1</v>
      </c>
      <c r="D502" s="635"/>
      <c r="E502" s="21">
        <f t="shared" si="77"/>
        <v>1</v>
      </c>
      <c r="F502" s="635"/>
      <c r="G502" s="21">
        <f t="shared" si="78"/>
        <v>1</v>
      </c>
      <c r="H502" s="635"/>
      <c r="I502" s="21">
        <f t="shared" si="79"/>
        <v>1</v>
      </c>
      <c r="J502" s="635"/>
      <c r="K502" s="21">
        <f t="shared" si="80"/>
        <v>1</v>
      </c>
      <c r="L502" s="635"/>
      <c r="M502" s="21">
        <f t="shared" si="81"/>
        <v>1</v>
      </c>
      <c r="N502" s="635"/>
      <c r="O502" s="21">
        <f t="shared" si="82"/>
        <v>1</v>
      </c>
      <c r="P502" s="635"/>
      <c r="Q502" s="21">
        <f t="shared" si="83"/>
        <v>0</v>
      </c>
      <c r="R502" s="21">
        <f t="shared" si="84"/>
        <v>0</v>
      </c>
      <c r="S502" s="308">
        <f t="shared" si="75"/>
        <v>0</v>
      </c>
    </row>
    <row r="503" spans="1:19">
      <c r="A503" s="142"/>
      <c r="B503" s="52"/>
      <c r="C503" s="21">
        <f t="shared" si="76"/>
        <v>1</v>
      </c>
      <c r="D503" s="635"/>
      <c r="E503" s="21">
        <f t="shared" si="77"/>
        <v>1</v>
      </c>
      <c r="F503" s="635"/>
      <c r="G503" s="21">
        <f t="shared" si="78"/>
        <v>1</v>
      </c>
      <c r="H503" s="635"/>
      <c r="I503" s="21">
        <f t="shared" si="79"/>
        <v>1</v>
      </c>
      <c r="J503" s="635"/>
      <c r="K503" s="21">
        <f t="shared" si="80"/>
        <v>1</v>
      </c>
      <c r="L503" s="635"/>
      <c r="M503" s="21">
        <f t="shared" si="81"/>
        <v>1</v>
      </c>
      <c r="N503" s="635"/>
      <c r="O503" s="21">
        <f t="shared" si="82"/>
        <v>1</v>
      </c>
      <c r="P503" s="635"/>
      <c r="Q503" s="21">
        <f t="shared" si="83"/>
        <v>0</v>
      </c>
      <c r="R503" s="21">
        <f t="shared" si="84"/>
        <v>0</v>
      </c>
      <c r="S503" s="308">
        <f t="shared" si="75"/>
        <v>0</v>
      </c>
    </row>
    <row r="504" spans="1:19">
      <c r="A504" s="142"/>
      <c r="B504" s="52"/>
      <c r="C504" s="21">
        <f t="shared" si="76"/>
        <v>1</v>
      </c>
      <c r="D504" s="635"/>
      <c r="E504" s="21">
        <f t="shared" si="77"/>
        <v>1</v>
      </c>
      <c r="F504" s="635"/>
      <c r="G504" s="21">
        <f t="shared" si="78"/>
        <v>1</v>
      </c>
      <c r="H504" s="635"/>
      <c r="I504" s="21">
        <f t="shared" si="79"/>
        <v>1</v>
      </c>
      <c r="J504" s="635"/>
      <c r="K504" s="21">
        <f t="shared" si="80"/>
        <v>1</v>
      </c>
      <c r="L504" s="635"/>
      <c r="M504" s="21">
        <f t="shared" si="81"/>
        <v>1</v>
      </c>
      <c r="N504" s="635"/>
      <c r="O504" s="21">
        <f t="shared" si="82"/>
        <v>1</v>
      </c>
      <c r="P504" s="635"/>
      <c r="Q504" s="21">
        <f t="shared" si="83"/>
        <v>0</v>
      </c>
      <c r="R504" s="21">
        <f t="shared" si="84"/>
        <v>0</v>
      </c>
      <c r="S504" s="308">
        <f t="shared" si="75"/>
        <v>0</v>
      </c>
    </row>
    <row r="505" spans="1:19">
      <c r="A505" s="142"/>
      <c r="B505" s="52"/>
      <c r="C505" s="21">
        <f t="shared" si="76"/>
        <v>1</v>
      </c>
      <c r="D505" s="635"/>
      <c r="E505" s="21">
        <f t="shared" si="77"/>
        <v>1</v>
      </c>
      <c r="F505" s="635"/>
      <c r="G505" s="21">
        <f t="shared" si="78"/>
        <v>1</v>
      </c>
      <c r="H505" s="635"/>
      <c r="I505" s="21">
        <f t="shared" si="79"/>
        <v>1</v>
      </c>
      <c r="J505" s="635"/>
      <c r="K505" s="21">
        <f t="shared" si="80"/>
        <v>1</v>
      </c>
      <c r="L505" s="635"/>
      <c r="M505" s="21">
        <f t="shared" si="81"/>
        <v>1</v>
      </c>
      <c r="N505" s="635"/>
      <c r="O505" s="21">
        <f t="shared" si="82"/>
        <v>1</v>
      </c>
      <c r="P505" s="635"/>
      <c r="Q505" s="21">
        <f t="shared" si="83"/>
        <v>0</v>
      </c>
      <c r="R505" s="21">
        <f t="shared" si="84"/>
        <v>0</v>
      </c>
      <c r="S505" s="308">
        <f t="shared" si="75"/>
        <v>0</v>
      </c>
    </row>
    <row r="506" spans="1:19">
      <c r="A506" s="142"/>
      <c r="B506" s="52"/>
      <c r="C506" s="21">
        <f t="shared" si="76"/>
        <v>1</v>
      </c>
      <c r="D506" s="635"/>
      <c r="E506" s="21">
        <f t="shared" si="77"/>
        <v>1</v>
      </c>
      <c r="F506" s="635"/>
      <c r="G506" s="21">
        <f t="shared" si="78"/>
        <v>1</v>
      </c>
      <c r="H506" s="635"/>
      <c r="I506" s="21">
        <f t="shared" si="79"/>
        <v>1</v>
      </c>
      <c r="J506" s="635"/>
      <c r="K506" s="21">
        <f t="shared" si="80"/>
        <v>1</v>
      </c>
      <c r="L506" s="635"/>
      <c r="M506" s="21">
        <f t="shared" si="81"/>
        <v>1</v>
      </c>
      <c r="N506" s="635"/>
      <c r="O506" s="21">
        <f t="shared" si="82"/>
        <v>1</v>
      </c>
      <c r="P506" s="635"/>
      <c r="Q506" s="21">
        <f t="shared" si="83"/>
        <v>0</v>
      </c>
      <c r="R506" s="21">
        <f t="shared" si="84"/>
        <v>0</v>
      </c>
      <c r="S506" s="308">
        <f t="shared" si="75"/>
        <v>0</v>
      </c>
    </row>
    <row r="507" spans="1:19">
      <c r="A507" s="142"/>
      <c r="B507" s="52"/>
      <c r="C507" s="21">
        <f t="shared" si="76"/>
        <v>1</v>
      </c>
      <c r="D507" s="635"/>
      <c r="E507" s="21">
        <f t="shared" si="77"/>
        <v>1</v>
      </c>
      <c r="F507" s="635"/>
      <c r="G507" s="21">
        <f t="shared" si="78"/>
        <v>1</v>
      </c>
      <c r="H507" s="635"/>
      <c r="I507" s="21">
        <f t="shared" si="79"/>
        <v>1</v>
      </c>
      <c r="J507" s="635"/>
      <c r="K507" s="21">
        <f t="shared" si="80"/>
        <v>1</v>
      </c>
      <c r="L507" s="635"/>
      <c r="M507" s="21">
        <f t="shared" si="81"/>
        <v>1</v>
      </c>
      <c r="N507" s="635"/>
      <c r="O507" s="21">
        <f t="shared" si="82"/>
        <v>1</v>
      </c>
      <c r="P507" s="635"/>
      <c r="Q507" s="21">
        <f t="shared" si="83"/>
        <v>0</v>
      </c>
      <c r="R507" s="21">
        <f t="shared" si="84"/>
        <v>0</v>
      </c>
      <c r="S507" s="308">
        <f t="shared" si="75"/>
        <v>0</v>
      </c>
    </row>
    <row r="508" spans="1:19">
      <c r="A508" s="142"/>
      <c r="B508" s="52"/>
      <c r="C508" s="21">
        <f t="shared" si="76"/>
        <v>1</v>
      </c>
      <c r="D508" s="635"/>
      <c r="E508" s="21">
        <f t="shared" si="77"/>
        <v>1</v>
      </c>
      <c r="F508" s="635"/>
      <c r="G508" s="21">
        <f t="shared" si="78"/>
        <v>1</v>
      </c>
      <c r="H508" s="635"/>
      <c r="I508" s="21">
        <f t="shared" si="79"/>
        <v>1</v>
      </c>
      <c r="J508" s="635"/>
      <c r="K508" s="21">
        <f t="shared" si="80"/>
        <v>1</v>
      </c>
      <c r="L508" s="635"/>
      <c r="M508" s="21">
        <f t="shared" si="81"/>
        <v>1</v>
      </c>
      <c r="N508" s="635"/>
      <c r="O508" s="21">
        <f t="shared" si="82"/>
        <v>1</v>
      </c>
      <c r="P508" s="635"/>
      <c r="Q508" s="21">
        <f t="shared" si="83"/>
        <v>0</v>
      </c>
      <c r="R508" s="21">
        <f t="shared" si="84"/>
        <v>0</v>
      </c>
      <c r="S508" s="308">
        <f t="shared" si="75"/>
        <v>0</v>
      </c>
    </row>
    <row r="509" spans="1:19">
      <c r="A509" s="142"/>
      <c r="B509" s="52"/>
      <c r="C509" s="21">
        <f t="shared" si="76"/>
        <v>1</v>
      </c>
      <c r="D509" s="635"/>
      <c r="E509" s="21">
        <f t="shared" si="77"/>
        <v>1</v>
      </c>
      <c r="F509" s="635"/>
      <c r="G509" s="21">
        <f t="shared" si="78"/>
        <v>1</v>
      </c>
      <c r="H509" s="635"/>
      <c r="I509" s="21">
        <f t="shared" si="79"/>
        <v>1</v>
      </c>
      <c r="J509" s="635"/>
      <c r="K509" s="21">
        <f t="shared" si="80"/>
        <v>1</v>
      </c>
      <c r="L509" s="635"/>
      <c r="M509" s="21">
        <f t="shared" si="81"/>
        <v>1</v>
      </c>
      <c r="N509" s="635"/>
      <c r="O509" s="21">
        <f t="shared" si="82"/>
        <v>1</v>
      </c>
      <c r="P509" s="635"/>
      <c r="Q509" s="21">
        <f t="shared" si="83"/>
        <v>0</v>
      </c>
      <c r="R509" s="21">
        <f t="shared" si="84"/>
        <v>0</v>
      </c>
      <c r="S509" s="308">
        <f t="shared" si="75"/>
        <v>0</v>
      </c>
    </row>
    <row r="510" spans="1:19">
      <c r="A510" s="142"/>
      <c r="B510" s="52"/>
      <c r="C510" s="21">
        <f t="shared" si="76"/>
        <v>1</v>
      </c>
      <c r="D510" s="635"/>
      <c r="E510" s="21">
        <f t="shared" si="77"/>
        <v>1</v>
      </c>
      <c r="F510" s="635"/>
      <c r="G510" s="21">
        <f t="shared" si="78"/>
        <v>1</v>
      </c>
      <c r="H510" s="635"/>
      <c r="I510" s="21">
        <f t="shared" si="79"/>
        <v>1</v>
      </c>
      <c r="J510" s="635"/>
      <c r="K510" s="21">
        <f t="shared" si="80"/>
        <v>1</v>
      </c>
      <c r="L510" s="635"/>
      <c r="M510" s="21">
        <f t="shared" si="81"/>
        <v>1</v>
      </c>
      <c r="N510" s="635"/>
      <c r="O510" s="21">
        <f t="shared" si="82"/>
        <v>1</v>
      </c>
      <c r="P510" s="635"/>
      <c r="Q510" s="21">
        <f t="shared" si="83"/>
        <v>0</v>
      </c>
      <c r="R510" s="21">
        <f t="shared" si="84"/>
        <v>0</v>
      </c>
      <c r="S510" s="308">
        <f t="shared" si="75"/>
        <v>0</v>
      </c>
    </row>
    <row r="511" spans="1:19">
      <c r="A511" s="142"/>
      <c r="B511" s="52"/>
      <c r="C511" s="21">
        <f t="shared" si="76"/>
        <v>1</v>
      </c>
      <c r="D511" s="635"/>
      <c r="E511" s="21">
        <f t="shared" si="77"/>
        <v>1</v>
      </c>
      <c r="F511" s="635"/>
      <c r="G511" s="21">
        <f t="shared" si="78"/>
        <v>1</v>
      </c>
      <c r="H511" s="635"/>
      <c r="I511" s="21">
        <f t="shared" si="79"/>
        <v>1</v>
      </c>
      <c r="J511" s="635"/>
      <c r="K511" s="21">
        <f t="shared" si="80"/>
        <v>1</v>
      </c>
      <c r="L511" s="635"/>
      <c r="M511" s="21">
        <f t="shared" si="81"/>
        <v>1</v>
      </c>
      <c r="N511" s="635"/>
      <c r="O511" s="21">
        <f t="shared" si="82"/>
        <v>1</v>
      </c>
      <c r="P511" s="635"/>
      <c r="Q511" s="21">
        <f t="shared" si="83"/>
        <v>0</v>
      </c>
      <c r="R511" s="21">
        <f t="shared" si="84"/>
        <v>0</v>
      </c>
      <c r="S511" s="308">
        <f t="shared" si="75"/>
        <v>0</v>
      </c>
    </row>
    <row r="512" spans="1:19">
      <c r="A512" s="142"/>
      <c r="B512" s="52"/>
      <c r="C512" s="21">
        <f t="shared" si="76"/>
        <v>1</v>
      </c>
      <c r="D512" s="635"/>
      <c r="E512" s="21">
        <f t="shared" si="77"/>
        <v>1</v>
      </c>
      <c r="F512" s="635"/>
      <c r="G512" s="21">
        <f t="shared" si="78"/>
        <v>1</v>
      </c>
      <c r="H512" s="635"/>
      <c r="I512" s="21">
        <f t="shared" si="79"/>
        <v>1</v>
      </c>
      <c r="J512" s="635"/>
      <c r="K512" s="21">
        <f t="shared" si="80"/>
        <v>1</v>
      </c>
      <c r="L512" s="635"/>
      <c r="M512" s="21">
        <f t="shared" si="81"/>
        <v>1</v>
      </c>
      <c r="N512" s="635"/>
      <c r="O512" s="21">
        <f t="shared" si="82"/>
        <v>1</v>
      </c>
      <c r="P512" s="635"/>
      <c r="Q512" s="21">
        <f t="shared" si="83"/>
        <v>0</v>
      </c>
      <c r="R512" s="21">
        <f t="shared" si="84"/>
        <v>0</v>
      </c>
      <c r="S512" s="308">
        <f t="shared" si="75"/>
        <v>0</v>
      </c>
    </row>
    <row r="513" spans="1:19">
      <c r="A513" s="142"/>
      <c r="B513" s="52"/>
      <c r="C513" s="21">
        <f t="shared" si="76"/>
        <v>1</v>
      </c>
      <c r="D513" s="635"/>
      <c r="E513" s="21">
        <f t="shared" si="77"/>
        <v>1</v>
      </c>
      <c r="F513" s="635"/>
      <c r="G513" s="21">
        <f t="shared" si="78"/>
        <v>1</v>
      </c>
      <c r="H513" s="635"/>
      <c r="I513" s="21">
        <f t="shared" si="79"/>
        <v>1</v>
      </c>
      <c r="J513" s="635"/>
      <c r="K513" s="21">
        <f t="shared" si="80"/>
        <v>1</v>
      </c>
      <c r="L513" s="635"/>
      <c r="M513" s="21">
        <f t="shared" si="81"/>
        <v>1</v>
      </c>
      <c r="N513" s="635"/>
      <c r="O513" s="21">
        <f t="shared" si="82"/>
        <v>1</v>
      </c>
      <c r="P513" s="635"/>
      <c r="Q513" s="21">
        <f t="shared" si="83"/>
        <v>0</v>
      </c>
      <c r="R513" s="21">
        <f t="shared" si="84"/>
        <v>0</v>
      </c>
      <c r="S513" s="308">
        <f t="shared" si="75"/>
        <v>0</v>
      </c>
    </row>
    <row r="514" spans="1:19">
      <c r="A514" s="142"/>
      <c r="B514" s="52"/>
      <c r="C514" s="21">
        <f t="shared" si="76"/>
        <v>1</v>
      </c>
      <c r="D514" s="635"/>
      <c r="E514" s="21">
        <f t="shared" si="77"/>
        <v>1</v>
      </c>
      <c r="F514" s="635"/>
      <c r="G514" s="21">
        <f t="shared" si="78"/>
        <v>1</v>
      </c>
      <c r="H514" s="635"/>
      <c r="I514" s="21">
        <f t="shared" si="79"/>
        <v>1</v>
      </c>
      <c r="J514" s="635"/>
      <c r="K514" s="21">
        <f t="shared" si="80"/>
        <v>1</v>
      </c>
      <c r="L514" s="635"/>
      <c r="M514" s="21">
        <f t="shared" si="81"/>
        <v>1</v>
      </c>
      <c r="N514" s="635"/>
      <c r="O514" s="21">
        <f t="shared" si="82"/>
        <v>1</v>
      </c>
      <c r="P514" s="635"/>
      <c r="Q514" s="21">
        <f t="shared" si="83"/>
        <v>0</v>
      </c>
      <c r="R514" s="21">
        <f t="shared" si="84"/>
        <v>0</v>
      </c>
      <c r="S514" s="308">
        <f t="shared" si="75"/>
        <v>0</v>
      </c>
    </row>
    <row r="515" spans="1:19">
      <c r="A515" s="142"/>
      <c r="B515" s="52"/>
      <c r="C515" s="21">
        <f t="shared" si="76"/>
        <v>1</v>
      </c>
      <c r="D515" s="635"/>
      <c r="E515" s="21">
        <f t="shared" si="77"/>
        <v>1</v>
      </c>
      <c r="F515" s="635"/>
      <c r="G515" s="21">
        <f t="shared" si="78"/>
        <v>1</v>
      </c>
      <c r="H515" s="635"/>
      <c r="I515" s="21">
        <f t="shared" si="79"/>
        <v>1</v>
      </c>
      <c r="J515" s="635"/>
      <c r="K515" s="21">
        <f t="shared" si="80"/>
        <v>1</v>
      </c>
      <c r="L515" s="635"/>
      <c r="M515" s="21">
        <f t="shared" si="81"/>
        <v>1</v>
      </c>
      <c r="N515" s="635"/>
      <c r="O515" s="21">
        <f t="shared" si="82"/>
        <v>1</v>
      </c>
      <c r="P515" s="635"/>
      <c r="Q515" s="21">
        <f t="shared" si="83"/>
        <v>0</v>
      </c>
      <c r="R515" s="21">
        <f t="shared" si="84"/>
        <v>0</v>
      </c>
      <c r="S515" s="308">
        <f t="shared" si="75"/>
        <v>0</v>
      </c>
    </row>
    <row r="516" spans="1:19">
      <c r="A516" s="142"/>
      <c r="B516" s="52"/>
      <c r="C516" s="21">
        <f t="shared" si="76"/>
        <v>1</v>
      </c>
      <c r="D516" s="635"/>
      <c r="E516" s="21">
        <f t="shared" si="77"/>
        <v>1</v>
      </c>
      <c r="F516" s="635"/>
      <c r="G516" s="21">
        <f t="shared" si="78"/>
        <v>1</v>
      </c>
      <c r="H516" s="635"/>
      <c r="I516" s="21">
        <f t="shared" si="79"/>
        <v>1</v>
      </c>
      <c r="J516" s="635"/>
      <c r="K516" s="21">
        <f t="shared" si="80"/>
        <v>1</v>
      </c>
      <c r="L516" s="635"/>
      <c r="M516" s="21">
        <f t="shared" si="81"/>
        <v>1</v>
      </c>
      <c r="N516" s="635"/>
      <c r="O516" s="21">
        <f t="shared" si="82"/>
        <v>1</v>
      </c>
      <c r="P516" s="635"/>
      <c r="Q516" s="21">
        <f t="shared" si="83"/>
        <v>0</v>
      </c>
      <c r="R516" s="21">
        <f t="shared" si="84"/>
        <v>0</v>
      </c>
      <c r="S516" s="308">
        <f t="shared" si="75"/>
        <v>0</v>
      </c>
    </row>
    <row r="517" spans="1:19">
      <c r="A517" s="142"/>
      <c r="B517" s="52"/>
      <c r="C517" s="21">
        <f t="shared" si="76"/>
        <v>1</v>
      </c>
      <c r="D517" s="635"/>
      <c r="E517" s="21">
        <f t="shared" si="77"/>
        <v>1</v>
      </c>
      <c r="F517" s="635"/>
      <c r="G517" s="21">
        <f t="shared" si="78"/>
        <v>1</v>
      </c>
      <c r="H517" s="635"/>
      <c r="I517" s="21">
        <f t="shared" si="79"/>
        <v>1</v>
      </c>
      <c r="J517" s="635"/>
      <c r="K517" s="21">
        <f t="shared" si="80"/>
        <v>1</v>
      </c>
      <c r="L517" s="635"/>
      <c r="M517" s="21">
        <f t="shared" si="81"/>
        <v>1</v>
      </c>
      <c r="N517" s="635"/>
      <c r="O517" s="21">
        <f t="shared" si="82"/>
        <v>1</v>
      </c>
      <c r="P517" s="635"/>
      <c r="Q517" s="21">
        <f t="shared" si="83"/>
        <v>0</v>
      </c>
      <c r="R517" s="21">
        <f t="shared" si="84"/>
        <v>0</v>
      </c>
      <c r="S517" s="308">
        <f t="shared" si="75"/>
        <v>0</v>
      </c>
    </row>
    <row r="518" spans="1:19">
      <c r="A518" s="142"/>
      <c r="B518" s="52"/>
      <c r="C518" s="21">
        <f t="shared" si="76"/>
        <v>1</v>
      </c>
      <c r="D518" s="635"/>
      <c r="E518" s="21">
        <f t="shared" si="77"/>
        <v>1</v>
      </c>
      <c r="F518" s="635"/>
      <c r="G518" s="21">
        <f t="shared" si="78"/>
        <v>1</v>
      </c>
      <c r="H518" s="635"/>
      <c r="I518" s="21">
        <f t="shared" si="79"/>
        <v>1</v>
      </c>
      <c r="J518" s="635"/>
      <c r="K518" s="21">
        <f t="shared" si="80"/>
        <v>1</v>
      </c>
      <c r="L518" s="635"/>
      <c r="M518" s="21">
        <f t="shared" si="81"/>
        <v>1</v>
      </c>
      <c r="N518" s="635"/>
      <c r="O518" s="21">
        <f t="shared" si="82"/>
        <v>1</v>
      </c>
      <c r="P518" s="635"/>
      <c r="Q518" s="21">
        <f t="shared" si="83"/>
        <v>0</v>
      </c>
      <c r="R518" s="21">
        <f t="shared" si="84"/>
        <v>0</v>
      </c>
      <c r="S518" s="308">
        <f t="shared" si="75"/>
        <v>0</v>
      </c>
    </row>
    <row r="519" spans="1:19">
      <c r="A519" s="142"/>
      <c r="B519" s="52"/>
      <c r="C519" s="21">
        <f t="shared" si="76"/>
        <v>1</v>
      </c>
      <c r="D519" s="635"/>
      <c r="E519" s="21">
        <f t="shared" si="77"/>
        <v>1</v>
      </c>
      <c r="F519" s="635"/>
      <c r="G519" s="21">
        <f t="shared" si="78"/>
        <v>1</v>
      </c>
      <c r="H519" s="635"/>
      <c r="I519" s="21">
        <f t="shared" si="79"/>
        <v>1</v>
      </c>
      <c r="J519" s="635"/>
      <c r="K519" s="21">
        <f t="shared" si="80"/>
        <v>1</v>
      </c>
      <c r="L519" s="635"/>
      <c r="M519" s="21">
        <f t="shared" si="81"/>
        <v>1</v>
      </c>
      <c r="N519" s="635"/>
      <c r="O519" s="21">
        <f t="shared" si="82"/>
        <v>1</v>
      </c>
      <c r="P519" s="635"/>
      <c r="Q519" s="21">
        <f t="shared" si="83"/>
        <v>0</v>
      </c>
      <c r="R519" s="21">
        <f t="shared" si="84"/>
        <v>0</v>
      </c>
      <c r="S519" s="308">
        <f t="shared" si="75"/>
        <v>0</v>
      </c>
    </row>
    <row r="520" spans="1:19">
      <c r="A520" s="142"/>
      <c r="B520" s="52"/>
      <c r="C520" s="21">
        <f t="shared" si="76"/>
        <v>1</v>
      </c>
      <c r="D520" s="635"/>
      <c r="E520" s="21">
        <f t="shared" si="77"/>
        <v>1</v>
      </c>
      <c r="F520" s="635"/>
      <c r="G520" s="21">
        <f t="shared" si="78"/>
        <v>1</v>
      </c>
      <c r="H520" s="635"/>
      <c r="I520" s="21">
        <f t="shared" si="79"/>
        <v>1</v>
      </c>
      <c r="J520" s="635"/>
      <c r="K520" s="21">
        <f t="shared" si="80"/>
        <v>1</v>
      </c>
      <c r="L520" s="635"/>
      <c r="M520" s="21">
        <f t="shared" si="81"/>
        <v>1</v>
      </c>
      <c r="N520" s="635"/>
      <c r="O520" s="21">
        <f t="shared" si="82"/>
        <v>1</v>
      </c>
      <c r="P520" s="635"/>
      <c r="Q520" s="21">
        <f t="shared" si="83"/>
        <v>0</v>
      </c>
      <c r="R520" s="21">
        <f t="shared" si="84"/>
        <v>0</v>
      </c>
      <c r="S520" s="308">
        <f t="shared" si="75"/>
        <v>0</v>
      </c>
    </row>
    <row r="521" spans="1:19">
      <c r="A521" s="142"/>
      <c r="B521" s="52"/>
      <c r="C521" s="21">
        <f t="shared" si="76"/>
        <v>1</v>
      </c>
      <c r="D521" s="635"/>
      <c r="E521" s="21">
        <f t="shared" si="77"/>
        <v>1</v>
      </c>
      <c r="F521" s="635"/>
      <c r="G521" s="21">
        <f t="shared" si="78"/>
        <v>1</v>
      </c>
      <c r="H521" s="635"/>
      <c r="I521" s="21">
        <f t="shared" si="79"/>
        <v>1</v>
      </c>
      <c r="J521" s="635"/>
      <c r="K521" s="21">
        <f t="shared" si="80"/>
        <v>1</v>
      </c>
      <c r="L521" s="635"/>
      <c r="M521" s="21">
        <f t="shared" si="81"/>
        <v>1</v>
      </c>
      <c r="N521" s="635"/>
      <c r="O521" s="21">
        <f t="shared" si="82"/>
        <v>1</v>
      </c>
      <c r="P521" s="635"/>
      <c r="Q521" s="21">
        <f t="shared" si="83"/>
        <v>0</v>
      </c>
      <c r="R521" s="21">
        <f t="shared" si="84"/>
        <v>0</v>
      </c>
      <c r="S521" s="308">
        <f t="shared" si="75"/>
        <v>0</v>
      </c>
    </row>
    <row r="522" spans="1:19">
      <c r="A522" s="142"/>
      <c r="B522" s="52"/>
      <c r="C522" s="21">
        <f t="shared" si="76"/>
        <v>1</v>
      </c>
      <c r="D522" s="635"/>
      <c r="E522" s="21">
        <f t="shared" si="77"/>
        <v>1</v>
      </c>
      <c r="F522" s="635"/>
      <c r="G522" s="21">
        <f t="shared" si="78"/>
        <v>1</v>
      </c>
      <c r="H522" s="635"/>
      <c r="I522" s="21">
        <f t="shared" si="79"/>
        <v>1</v>
      </c>
      <c r="J522" s="635"/>
      <c r="K522" s="21">
        <f t="shared" si="80"/>
        <v>1</v>
      </c>
      <c r="L522" s="635"/>
      <c r="M522" s="21">
        <f t="shared" si="81"/>
        <v>1</v>
      </c>
      <c r="N522" s="635"/>
      <c r="O522" s="21">
        <f t="shared" si="82"/>
        <v>1</v>
      </c>
      <c r="P522" s="635"/>
      <c r="Q522" s="21">
        <f t="shared" si="83"/>
        <v>0</v>
      </c>
      <c r="R522" s="21">
        <f t="shared" si="84"/>
        <v>0</v>
      </c>
      <c r="S522" s="308">
        <f t="shared" si="75"/>
        <v>0</v>
      </c>
    </row>
    <row r="523" spans="1:19">
      <c r="A523" s="142"/>
      <c r="B523" s="52"/>
      <c r="C523" s="21">
        <f t="shared" si="76"/>
        <v>1</v>
      </c>
      <c r="D523" s="635"/>
      <c r="E523" s="21">
        <f t="shared" si="77"/>
        <v>1</v>
      </c>
      <c r="F523" s="635"/>
      <c r="G523" s="21">
        <f t="shared" si="78"/>
        <v>1</v>
      </c>
      <c r="H523" s="635"/>
      <c r="I523" s="21">
        <f t="shared" si="79"/>
        <v>1</v>
      </c>
      <c r="J523" s="635"/>
      <c r="K523" s="21">
        <f t="shared" si="80"/>
        <v>1</v>
      </c>
      <c r="L523" s="635"/>
      <c r="M523" s="21">
        <f t="shared" si="81"/>
        <v>1</v>
      </c>
      <c r="N523" s="635"/>
      <c r="O523" s="21">
        <f t="shared" si="82"/>
        <v>1</v>
      </c>
      <c r="P523" s="635"/>
      <c r="Q523" s="21">
        <f t="shared" si="83"/>
        <v>0</v>
      </c>
      <c r="R523" s="21">
        <f t="shared" si="84"/>
        <v>0</v>
      </c>
      <c r="S523" s="308">
        <f t="shared" si="75"/>
        <v>0</v>
      </c>
    </row>
    <row r="524" spans="1:19">
      <c r="A524" s="142"/>
      <c r="B524" s="52"/>
      <c r="C524" s="21">
        <f t="shared" si="76"/>
        <v>1</v>
      </c>
      <c r="D524" s="635"/>
      <c r="E524" s="21">
        <f t="shared" si="77"/>
        <v>1</v>
      </c>
      <c r="F524" s="635"/>
      <c r="G524" s="21">
        <f t="shared" si="78"/>
        <v>1</v>
      </c>
      <c r="H524" s="635"/>
      <c r="I524" s="21">
        <f t="shared" si="79"/>
        <v>1</v>
      </c>
      <c r="J524" s="635"/>
      <c r="K524" s="21">
        <f t="shared" si="80"/>
        <v>1</v>
      </c>
      <c r="L524" s="635"/>
      <c r="M524" s="21">
        <f t="shared" si="81"/>
        <v>1</v>
      </c>
      <c r="N524" s="635"/>
      <c r="O524" s="21">
        <f t="shared" si="82"/>
        <v>1</v>
      </c>
      <c r="P524" s="635"/>
      <c r="Q524" s="21">
        <f t="shared" si="83"/>
        <v>0</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H20" xr:uid="{58B96FFD-FC1D-443D-BE14-1D37A234E9BF}">
      <formula1>估价方法</formula1>
    </dataValidation>
    <dataValidation type="list" allowBlank="1" showInputMessage="1" showErrorMessage="1" sqref="D20" xr:uid="{EBA7B0C7-4285-44C3-8006-2F225D5BBAB6}">
      <formula1>"需扣减承租人权益,——"</formula1>
    </dataValidation>
    <dataValidation type="list" allowBlank="1" showInputMessage="1" showErrorMessage="1" sqref="P24:P524" xr:uid="{4F5C18DC-C45C-4C8E-9B30-F7CEFF8CB788}">
      <formula1>一修多修正项8</formula1>
    </dataValidation>
    <dataValidation type="list" allowBlank="1" showInputMessage="1" showErrorMessage="1" sqref="N24:N524" xr:uid="{28FEE25A-E700-4808-902E-1704F494A05C}">
      <formula1>一修多修正项7</formula1>
    </dataValidation>
    <dataValidation type="list" allowBlank="1" showInputMessage="1" showErrorMessage="1" sqref="L24:L524" xr:uid="{EBBCB46D-0A80-421C-B139-B9F369D7C963}">
      <formula1>一修多修正项6</formula1>
    </dataValidation>
    <dataValidation type="list" allowBlank="1" showInputMessage="1" showErrorMessage="1" sqref="J24:J524" xr:uid="{B6132728-E66B-4710-82A5-669F0BB4F10F}">
      <formula1>一修多修正项5</formula1>
    </dataValidation>
    <dataValidation type="list" allowBlank="1" showInputMessage="1" showErrorMessage="1" sqref="H24:H524" xr:uid="{39C7382D-A63F-44CB-A1D8-24CD13ECF758}">
      <formula1>一修多修正项4</formula1>
    </dataValidation>
    <dataValidation type="list" allowBlank="1" showInputMessage="1" showErrorMessage="1" sqref="F24:F524" xr:uid="{9D27C811-88C5-41AA-99D2-18F8BE245FE0}">
      <formula1>一修多修正项3</formula1>
    </dataValidation>
    <dataValidation type="list" allowBlank="1" showInputMessage="1" showErrorMessage="1" sqref="D24:D524" xr:uid="{31DE36A4-62AD-431D-96DC-58293E2B1409}">
      <formula1>一修多修正项2</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E16" sqref="E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1258</v>
      </c>
      <c r="B1" s="646"/>
      <c r="C1" s="1620" t="s">
        <v>4787</v>
      </c>
      <c r="D1" s="646"/>
      <c r="E1" s="646"/>
      <c r="F1" s="1621" t="s">
        <v>1259</v>
      </c>
      <c r="G1" s="1453" t="s">
        <v>4815</v>
      </c>
      <c r="H1" s="1621" t="str">
        <f>IF(G1="现房","——","估价对象范围")</f>
        <v>——</v>
      </c>
      <c r="I1" s="1622" t="s">
        <v>4817</v>
      </c>
    </row>
    <row r="2" spans="1:12" ht="21.75" customHeight="1" thickBot="1">
      <c r="A2" s="3413" t="str">
        <f>项目基本情况!S2</f>
        <v>北京市房地产</v>
      </c>
      <c r="B2" s="3414"/>
      <c r="C2" s="3414"/>
      <c r="D2" s="3414"/>
      <c r="E2" s="3414"/>
      <c r="F2" s="3414"/>
      <c r="G2" s="3414"/>
      <c r="H2" s="3414"/>
      <c r="I2" s="3415"/>
    </row>
    <row r="3" spans="1:12" ht="12.75">
      <c r="A3" s="3416" t="s">
        <v>1260</v>
      </c>
      <c r="B3" s="3417"/>
      <c r="C3" s="3417"/>
      <c r="D3" s="3417"/>
      <c r="E3" s="3417"/>
      <c r="F3" s="3417"/>
      <c r="G3" s="3417"/>
      <c r="H3" s="3417"/>
      <c r="I3" s="3417"/>
    </row>
    <row r="4" spans="1:12" ht="14.25">
      <c r="A4" s="1624" t="s">
        <v>1261</v>
      </c>
      <c r="B4" s="1625" t="s">
        <v>1262</v>
      </c>
      <c r="C4" s="1626" t="s">
        <v>4835</v>
      </c>
      <c r="D4" s="1626" t="s">
        <v>4812</v>
      </c>
      <c r="E4" s="3418" t="s">
        <v>1263</v>
      </c>
      <c r="F4" s="3419"/>
      <c r="G4" s="3419"/>
      <c r="H4" s="3419"/>
      <c r="I4" s="3420"/>
      <c r="K4" s="138" t="str">
        <f>IF(ISNUMBER(FIND("比较法",'结果表-地下仓储'!C4)),"比较法",IF(ISNUMBER(FIND("成本法",'结果表-地下仓储'!C4)),"成本法",IF(ISNUMBER(FIND("假设开发法",'结果表-地下仓储'!C4)),"假设开发法",IF(ISNUMBER(FIND("收益法",'结果表-地下仓储'!C4)),"收益法","基准地价系数修正法"))))</f>
        <v>比较法</v>
      </c>
      <c r="L4" s="138" t="str">
        <f>IF(ISNUMBER(FIND("比较法",'结果表-地下仓储'!D4)),"比较法",IF(ISNUMBER(FIND("成本法",'结果表-地下仓储'!D4)),"成本法",IF(ISNUMBER(FIND("假设开发法",'结果表-地下仓储'!D4)),"假设开发法",IF(ISNUMBER(FIND("收益法",'结果表-地下仓储'!D4)),"收益法","基准地价系数修正法"))))</f>
        <v>成本法</v>
      </c>
    </row>
    <row r="5" spans="1:12" ht="12.75">
      <c r="A5" s="3328" t="s">
        <v>1264</v>
      </c>
      <c r="B5" s="3303">
        <v>25</v>
      </c>
      <c r="C5" s="3409"/>
      <c r="D5" s="3411"/>
      <c r="E5" s="123" t="s">
        <v>1265</v>
      </c>
      <c r="F5" s="1627"/>
      <c r="G5" s="1627"/>
      <c r="H5" s="1627"/>
      <c r="I5" s="1281"/>
    </row>
    <row r="6" spans="1:12" ht="12.75">
      <c r="A6" s="3328"/>
      <c r="B6" s="3303"/>
      <c r="C6" s="3412"/>
      <c r="D6" s="3411"/>
      <c r="E6" s="123" t="s">
        <v>1266</v>
      </c>
      <c r="F6" s="1627"/>
      <c r="G6" s="1627"/>
      <c r="H6" s="1627"/>
      <c r="I6" s="1281"/>
    </row>
    <row r="7" spans="1:12" ht="12.75">
      <c r="A7" s="3328"/>
      <c r="B7" s="3303"/>
      <c r="C7" s="3410"/>
      <c r="D7" s="3411"/>
      <c r="E7" s="123" t="s">
        <v>1267</v>
      </c>
      <c r="F7" s="1627"/>
      <c r="G7" s="1627"/>
      <c r="H7" s="1627"/>
      <c r="I7" s="1281"/>
    </row>
    <row r="8" spans="1:12" ht="12.75">
      <c r="A8" s="3328" t="s">
        <v>1268</v>
      </c>
      <c r="B8" s="3303">
        <v>15</v>
      </c>
      <c r="C8" s="3409"/>
      <c r="D8" s="3411"/>
      <c r="E8" s="123" t="s">
        <v>1269</v>
      </c>
      <c r="F8" s="1627"/>
      <c r="G8" s="1627"/>
      <c r="H8" s="1627"/>
      <c r="I8" s="1281"/>
    </row>
    <row r="9" spans="1:12" ht="12.75">
      <c r="A9" s="3328"/>
      <c r="B9" s="3303"/>
      <c r="C9" s="3410"/>
      <c r="D9" s="3411"/>
      <c r="E9" s="123" t="s">
        <v>1270</v>
      </c>
      <c r="F9" s="1627"/>
      <c r="G9" s="1627"/>
      <c r="H9" s="1627"/>
      <c r="I9" s="1281"/>
    </row>
    <row r="10" spans="1:12" ht="12.75">
      <c r="A10" s="3328" t="s">
        <v>1271</v>
      </c>
      <c r="B10" s="3303">
        <v>15</v>
      </c>
      <c r="C10" s="3409"/>
      <c r="D10" s="3411"/>
      <c r="E10" s="123" t="s">
        <v>1272</v>
      </c>
      <c r="F10" s="1627"/>
      <c r="G10" s="1627"/>
      <c r="H10" s="1627"/>
      <c r="I10" s="1281"/>
    </row>
    <row r="11" spans="1:12" ht="12.75">
      <c r="A11" s="3328"/>
      <c r="B11" s="3303"/>
      <c r="C11" s="3410"/>
      <c r="D11" s="3411"/>
      <c r="E11" s="123" t="s">
        <v>1273</v>
      </c>
      <c r="F11" s="1627"/>
      <c r="G11" s="1627"/>
      <c r="H11" s="1627"/>
      <c r="I11" s="1281"/>
    </row>
    <row r="12" spans="1:12" ht="12.75">
      <c r="A12" s="3328" t="s">
        <v>1274</v>
      </c>
      <c r="B12" s="3303">
        <v>15</v>
      </c>
      <c r="C12" s="3409"/>
      <c r="D12" s="3411"/>
      <c r="E12" s="123" t="s">
        <v>1275</v>
      </c>
      <c r="F12" s="1627"/>
      <c r="G12" s="1627"/>
      <c r="H12" s="1627"/>
      <c r="I12" s="1281"/>
    </row>
    <row r="13" spans="1:12" ht="12.75">
      <c r="A13" s="3328"/>
      <c r="B13" s="3303"/>
      <c r="C13" s="3410"/>
      <c r="D13" s="3411"/>
      <c r="E13" s="123" t="s">
        <v>1276</v>
      </c>
      <c r="F13" s="1627"/>
      <c r="G13" s="1627"/>
      <c r="H13" s="1627"/>
      <c r="I13" s="1281"/>
    </row>
    <row r="14" spans="1:12" ht="12.75">
      <c r="A14" s="3328" t="s">
        <v>1277</v>
      </c>
      <c r="B14" s="3303">
        <v>30</v>
      </c>
      <c r="C14" s="3409">
        <v>7</v>
      </c>
      <c r="D14" s="3411">
        <v>3</v>
      </c>
      <c r="E14" s="123" t="s">
        <v>1278</v>
      </c>
      <c r="F14" s="1627"/>
      <c r="G14" s="1627"/>
      <c r="H14" s="1627"/>
      <c r="I14" s="1281"/>
    </row>
    <row r="15" spans="1:12" ht="12.75">
      <c r="A15" s="3328"/>
      <c r="B15" s="3303"/>
      <c r="C15" s="3412"/>
      <c r="D15" s="3411"/>
      <c r="E15" s="123" t="s">
        <v>1279</v>
      </c>
      <c r="F15" s="1627"/>
      <c r="G15" s="1627"/>
      <c r="H15" s="1627"/>
      <c r="I15" s="1281"/>
    </row>
    <row r="16" spans="1:12" ht="12.75">
      <c r="A16" s="3328"/>
      <c r="B16" s="3303"/>
      <c r="C16" s="3410"/>
      <c r="D16" s="3411"/>
      <c r="E16" s="123" t="s">
        <v>1280</v>
      </c>
      <c r="F16" s="1627"/>
      <c r="G16" s="1627"/>
      <c r="H16" s="1627"/>
      <c r="I16" s="1281"/>
    </row>
    <row r="17" spans="1:36" ht="15">
      <c r="A17" s="1628" t="s">
        <v>1281</v>
      </c>
      <c r="B17" s="54"/>
      <c r="C17" s="124">
        <f>SUM(C5:C16)</f>
        <v>7</v>
      </c>
      <c r="D17" s="124">
        <f>SUM(D5:D16)</f>
        <v>3</v>
      </c>
      <c r="E17" s="121"/>
      <c r="F17" s="121"/>
      <c r="G17" s="121"/>
      <c r="H17" s="121"/>
      <c r="I17" s="121"/>
      <c r="K17" s="294"/>
      <c r="L17" s="294" t="s">
        <v>1282</v>
      </c>
      <c r="M17" s="294" t="s">
        <v>1283</v>
      </c>
    </row>
    <row r="18" spans="1:36" ht="31.9" customHeight="1" thickBot="1">
      <c r="A18" s="1629" t="s">
        <v>1284</v>
      </c>
      <c r="B18" s="1542"/>
      <c r="C18" s="125">
        <f>ROUND(C17/SUM(C17:D17),2)</f>
        <v>0.7</v>
      </c>
      <c r="D18" s="125">
        <f>1-C18</f>
        <v>0.30000000000000004</v>
      </c>
      <c r="E18" s="3395" t="s">
        <v>2125</v>
      </c>
      <c r="F18" s="3396"/>
      <c r="G18" s="3396"/>
      <c r="H18" s="3396"/>
      <c r="I18" s="3396"/>
      <c r="K18" s="294" t="s">
        <v>1285</v>
      </c>
      <c r="L18" s="294">
        <f>IF(C1="",'数据-汇总表'!E3,SUMIF(项目类型,C1,'数据-汇总表'!E17:E26)+SUMIF(项目类型,C1,'数据-汇总表'!I17:I26))</f>
        <v>42.4</v>
      </c>
      <c r="M18" s="294">
        <f>IF(C1="",'数据-汇总表'!E3,SUMIF(项目类型,C1,'数据-汇总表'!E17:E26))</f>
        <v>42.4</v>
      </c>
    </row>
    <row r="19" spans="1:36" ht="15">
      <c r="A19" s="1630" t="s">
        <v>1286</v>
      </c>
      <c r="B19" s="1631" t="s">
        <v>1287</v>
      </c>
      <c r="C19" s="126">
        <f ca="1">SUMIF(INDIRECT("'"&amp;C4&amp;"'"&amp;"!A:A"),'结果表-地下仓储'!B19,INDIRECT("'"&amp;C4&amp;"'"&amp;"!B:B"))</f>
        <v>125.398</v>
      </c>
      <c r="D19" s="127">
        <f ca="1">SUMIF(INDIRECT("'"&amp;D4&amp;"'"&amp;"!A:A"),'结果表-地下仓储'!B19,INDIRECT("'"&amp;D4&amp;"'"&amp;"!B:B"))</f>
        <v>66.105199999999996</v>
      </c>
      <c r="E19" s="1630" t="s">
        <v>1288</v>
      </c>
      <c r="F19" s="1631" t="s">
        <v>1287</v>
      </c>
      <c r="G19" s="128">
        <f ca="1">ROUND(C19*$C$18+D19*$D$18,0)</f>
        <v>108</v>
      </c>
      <c r="H19" s="1632" t="s">
        <v>1289</v>
      </c>
      <c r="I19" s="121"/>
      <c r="K19" s="294" t="s">
        <v>1290</v>
      </c>
      <c r="L19" s="294">
        <f>IF(C1="",'数据-汇总表'!D3,SUMIF(项目类型,C1,'数据-汇总表'!D17:D26)+SUMIF(项目类型,C1,'数据-汇总表'!H17:H27))</f>
        <v>0</v>
      </c>
      <c r="M19" s="294">
        <f>IF(C1="",'数据-汇总表'!D3,SUMIF(项目类型,C1,'数据-汇总表'!D17:D26))</f>
        <v>0</v>
      </c>
    </row>
    <row r="20" spans="1:36" ht="15">
      <c r="A20" s="1633"/>
      <c r="B20" s="43" t="s">
        <v>1291</v>
      </c>
      <c r="C20" s="129">
        <f ca="1">SUMIF(INDIRECT("'"&amp;C4&amp;"'"&amp;"!A:A"),'结果表-地下仓储'!B20,INDIRECT("'"&amp;C4&amp;"'"&amp;"!B:B"))</f>
        <v>29575</v>
      </c>
      <c r="D20" s="130">
        <f ca="1">SUMIF(INDIRECT("'"&amp;D4&amp;"'"&amp;"!A:A"),'结果表-地下仓储'!B20,INDIRECT("'"&amp;D4&amp;"'"&amp;"!B:B"))</f>
        <v>15591</v>
      </c>
      <c r="E20" s="1633"/>
      <c r="F20" s="43" t="s">
        <v>1291</v>
      </c>
      <c r="G20" s="131">
        <f ca="1">ROUND(C20*$C$18+D20*$D$18,0)</f>
        <v>25380</v>
      </c>
      <c r="H20" s="760" t="s">
        <v>1292</v>
      </c>
      <c r="I20" s="121"/>
    </row>
    <row r="21" spans="1:36" ht="15" customHeight="1" thickBot="1">
      <c r="A21" s="449"/>
      <c r="B21" s="93" t="s">
        <v>1293</v>
      </c>
      <c r="C21" s="678" t="e">
        <f ca="1">ROUND(C19*10000/L19,0)</f>
        <v>#DIV/0!</v>
      </c>
      <c r="D21" s="679" t="e">
        <f ca="1">ROUND(D19*10000/L19,0)</f>
        <v>#DIV/0!</v>
      </c>
      <c r="E21" s="449"/>
      <c r="F21" s="93" t="s">
        <v>1293</v>
      </c>
      <c r="G21" s="132" t="e">
        <f ca="1">ROUND(G19*10000/L19,0)</f>
        <v>#DIV/0!</v>
      </c>
      <c r="H21" s="1634" t="s">
        <v>1292</v>
      </c>
      <c r="I21" s="121"/>
    </row>
    <row r="22" spans="1:36" ht="15" thickBot="1">
      <c r="A22" s="1564" t="s">
        <v>1294</v>
      </c>
      <c r="B22" s="1635"/>
      <c r="C22" s="1636"/>
      <c r="D22" s="680">
        <f ca="1">IF(C19&lt;D19,D19/C19-1,C19/D19-1)</f>
        <v>0.89694607988478969</v>
      </c>
      <c r="E22" s="121"/>
      <c r="F22" s="121"/>
      <c r="G22" s="121"/>
      <c r="H22" s="121"/>
      <c r="I22" s="121"/>
    </row>
    <row r="23" spans="1:36" ht="13.5" thickBot="1">
      <c r="A23" s="646"/>
      <c r="B23" s="646"/>
      <c r="C23" s="646"/>
      <c r="D23" s="646"/>
      <c r="E23" s="121"/>
      <c r="F23" s="121"/>
      <c r="G23" s="121"/>
      <c r="H23" s="121"/>
      <c r="I23" s="121"/>
    </row>
    <row r="24" spans="1:36" ht="14.25">
      <c r="A24" s="3397" t="s">
        <v>1295</v>
      </c>
      <c r="B24" s="1631" t="s">
        <v>1287</v>
      </c>
      <c r="C24" s="128">
        <f>IF(B30=0,0,D30)</f>
        <v>0</v>
      </c>
      <c r="D24" s="1637"/>
      <c r="E24" s="121"/>
      <c r="F24" s="121"/>
      <c r="G24" s="121"/>
      <c r="H24" s="121"/>
      <c r="I24" s="121"/>
    </row>
    <row r="25" spans="1:36" ht="14.25">
      <c r="A25" s="3398"/>
      <c r="B25" s="43" t="s">
        <v>1291</v>
      </c>
      <c r="C25" s="133">
        <f>IF(B30=0,0,C30)</f>
        <v>0</v>
      </c>
      <c r="D25" s="1638"/>
      <c r="E25" s="121"/>
      <c r="F25" s="121"/>
      <c r="G25" s="121"/>
      <c r="H25" s="121"/>
      <c r="I25" s="121"/>
    </row>
    <row r="26" spans="1:36" ht="13.5" customHeight="1">
      <c r="A26" s="1639" t="s">
        <v>1296</v>
      </c>
      <c r="B26" s="134" t="s">
        <v>1297</v>
      </c>
      <c r="C26" s="134" t="s">
        <v>1298</v>
      </c>
      <c r="D26" s="135" t="s">
        <v>1299</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1300</v>
      </c>
      <c r="B30" s="134"/>
      <c r="C30" s="134"/>
      <c r="D30" s="134"/>
      <c r="E30" s="2127" t="s">
        <v>2126</v>
      </c>
      <c r="F30" s="121"/>
      <c r="G30" s="121"/>
      <c r="H30" s="121"/>
      <c r="I30" s="121"/>
    </row>
    <row r="31" spans="1:36" s="2133" customFormat="1" ht="26.45" customHeight="1" thickTop="1" thickBot="1">
      <c r="A31" s="2128"/>
      <c r="B31" s="2129"/>
      <c r="C31" s="2129"/>
      <c r="D31" s="2129"/>
      <c r="E31" s="2129"/>
      <c r="F31" s="2129"/>
      <c r="G31" s="2129"/>
      <c r="H31" s="2129"/>
      <c r="I31" s="2130" t="s">
        <v>2127</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1301</v>
      </c>
      <c r="B32" s="1535"/>
      <c r="C32" s="136">
        <f ca="1">IF(D32="总价",G19-C24,G20-C25)</f>
        <v>108</v>
      </c>
      <c r="D32" s="1641" t="s">
        <v>4829</v>
      </c>
      <c r="E32" s="121"/>
      <c r="F32" s="121"/>
      <c r="G32" s="121"/>
      <c r="H32" s="121"/>
      <c r="I32" s="121"/>
    </row>
    <row r="33" spans="1:15" ht="15">
      <c r="A33" s="740" t="s">
        <v>1302</v>
      </c>
      <c r="B33" s="123"/>
      <c r="C33" s="1642" t="s">
        <v>4851</v>
      </c>
      <c r="D33" s="1643" t="s">
        <v>4812</v>
      </c>
      <c r="E33" s="1644" t="s">
        <v>1303</v>
      </c>
      <c r="F33" s="1645" t="str">
        <f>IF(D32="楼面单价","取值（单价）","取值（总价）")</f>
        <v>取值（总价）</v>
      </c>
      <c r="G33" s="121"/>
      <c r="H33" s="121"/>
      <c r="I33" s="121"/>
    </row>
    <row r="34" spans="1:15" ht="15">
      <c r="A34" s="1646"/>
      <c r="B34" s="1647" t="s">
        <v>1304</v>
      </c>
      <c r="C34" s="140">
        <f ca="1">IF(C33="自定义",F34,C32-C35)</f>
        <v>46</v>
      </c>
      <c r="D34" s="808">
        <f ca="1">IF(C33="自定义",ROUND(C34/C32,3),IF(C33="收益比率",SUMIF(INDIRECT("'"&amp;D33&amp;"'"&amp;"!b:b"),"土地收益比率",INDIRECT("'"&amp;D33&amp;"'"&amp;"!c:c")),SUMIF(INDIRECT("'"&amp;D33&amp;"'"&amp;"!b:b"),"土地成本比率",INDIRECT("'"&amp;D33&amp;"'"&amp;"!c:c"))))</f>
        <v>0.42700000000000005</v>
      </c>
      <c r="E34" s="1648" t="s">
        <v>1305</v>
      </c>
      <c r="F34" s="1243"/>
      <c r="G34" s="121"/>
      <c r="H34" s="121"/>
      <c r="I34" s="121"/>
    </row>
    <row r="35" spans="1:15" ht="15.75" thickBot="1">
      <c r="A35" s="1649"/>
      <c r="B35" s="1650" t="s">
        <v>1306</v>
      </c>
      <c r="C35" s="1090">
        <f ca="1">IF(C33="自定义",F35,ROUND(C32*D35,0))</f>
        <v>62</v>
      </c>
      <c r="D35" s="1091">
        <f ca="1">IF(C33="自定义",ROUND(C35/C32,3),IF(C33="收益比率",SUMIF(INDIRECT("'"&amp;D33&amp;"'"&amp;"!b:b"),"建筑物收益比率",INDIRECT("'"&amp;D33&amp;"'"&amp;"!c:c")),SUMIF(INDIRECT("'"&amp;D33&amp;"'"&amp;"!b:b"),"建筑物成本比率",INDIRECT("'"&amp;D33&amp;"'"&amp;"!c:c"))))</f>
        <v>0.57299999999999995</v>
      </c>
      <c r="E35" s="1651" t="s">
        <v>1307</v>
      </c>
      <c r="F35" s="146"/>
      <c r="G35" s="121"/>
      <c r="H35" s="121"/>
      <c r="I35" s="121"/>
    </row>
    <row r="36" spans="1:15" ht="15.75" thickBot="1">
      <c r="A36" s="3399" t="s">
        <v>1308</v>
      </c>
      <c r="B36" s="1652" t="s">
        <v>1309</v>
      </c>
      <c r="C36" s="137"/>
      <c r="D36" s="1653"/>
      <c r="E36" s="1567"/>
      <c r="F36" s="1654"/>
      <c r="G36" s="121"/>
      <c r="H36" s="121"/>
      <c r="I36" s="121"/>
    </row>
    <row r="37" spans="1:15" ht="15.75" thickBot="1">
      <c r="A37" s="3400"/>
      <c r="B37" s="1555" t="s">
        <v>1310</v>
      </c>
      <c r="C37" s="139"/>
      <c r="D37" s="1071"/>
      <c r="E37" s="1071"/>
      <c r="F37" s="1654"/>
      <c r="G37" s="121"/>
      <c r="H37" s="121"/>
      <c r="I37" s="121"/>
    </row>
    <row r="38" spans="1:15" ht="15.75" thickBot="1">
      <c r="A38" s="3401"/>
      <c r="B38" s="1655" t="s">
        <v>1311</v>
      </c>
      <c r="C38" s="641"/>
      <c r="D38" s="1656" t="s">
        <v>1312</v>
      </c>
      <c r="E38" s="1071"/>
      <c r="F38" s="1654"/>
      <c r="G38" s="121"/>
      <c r="H38" s="121"/>
      <c r="I38" s="121"/>
    </row>
    <row r="39" spans="1:15" ht="15">
      <c r="A39" s="1633" t="s">
        <v>1313</v>
      </c>
      <c r="B39" s="1657" t="s">
        <v>1314</v>
      </c>
      <c r="C39" s="1658" t="s">
        <v>1315</v>
      </c>
      <c r="D39" s="1658" t="s">
        <v>1316</v>
      </c>
      <c r="E39" s="1659" t="s">
        <v>1317</v>
      </c>
      <c r="F39" s="1654"/>
      <c r="G39" s="121"/>
      <c r="H39" s="121"/>
      <c r="I39" s="121"/>
    </row>
    <row r="40" spans="1:15" ht="14.25">
      <c r="A40" s="1660" t="s">
        <v>1318</v>
      </c>
      <c r="B40" s="141"/>
      <c r="C40" s="142"/>
      <c r="D40" s="142"/>
      <c r="E40" s="143"/>
      <c r="F40" s="1654"/>
      <c r="G40" s="121"/>
      <c r="H40" s="121"/>
      <c r="I40" s="121"/>
    </row>
    <row r="41" spans="1:15" ht="14.25">
      <c r="A41" s="1660" t="s">
        <v>1319</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1320</v>
      </c>
      <c r="B44" s="1664"/>
      <c r="C44" s="1664"/>
      <c r="D44" s="1665"/>
      <c r="E44" s="1665"/>
      <c r="F44" s="1666"/>
      <c r="G44" s="1666"/>
      <c r="H44" s="1666"/>
      <c r="I44" s="1666"/>
      <c r="J44" s="1667" t="s">
        <v>1321</v>
      </c>
      <c r="K44" s="4"/>
      <c r="L44" s="4"/>
      <c r="M44" s="4"/>
      <c r="N44" s="4"/>
      <c r="O44" s="4"/>
    </row>
    <row r="45" spans="1:15" ht="14.25" customHeight="1" thickBot="1">
      <c r="A45" s="3402" t="s">
        <v>1322</v>
      </c>
      <c r="B45" s="3403"/>
      <c r="C45" s="3404"/>
      <c r="D45" s="147">
        <f ca="1">ROUND(H101*F45,0)</f>
        <v>108</v>
      </c>
      <c r="E45" s="148" t="s">
        <v>1323</v>
      </c>
      <c r="F45" s="149">
        <v>1</v>
      </c>
      <c r="G45" s="150" t="s">
        <v>1324</v>
      </c>
      <c r="H45" s="121"/>
      <c r="I45" s="121"/>
      <c r="J45" s="3387" t="s">
        <v>1325</v>
      </c>
      <c r="K45" s="3387"/>
      <c r="L45" s="3387"/>
      <c r="M45" s="3387"/>
      <c r="N45" s="3387"/>
      <c r="O45" s="3387"/>
    </row>
    <row r="46" spans="1:15" ht="14.25" customHeight="1">
      <c r="A46" s="3405" t="s">
        <v>1326</v>
      </c>
      <c r="B46" s="3406"/>
      <c r="C46" s="3406"/>
      <c r="D46" s="3406"/>
      <c r="E46" s="3406"/>
      <c r="F46" s="3406"/>
      <c r="G46" s="3407"/>
      <c r="H46" s="1668"/>
      <c r="I46" s="151"/>
      <c r="J46" s="2310">
        <v>1</v>
      </c>
      <c r="K46" s="3388" t="s">
        <v>1327</v>
      </c>
      <c r="L46" s="3388"/>
      <c r="M46" s="3408"/>
      <c r="N46" s="3408"/>
      <c r="O46" s="3408"/>
    </row>
    <row r="47" spans="1:15" ht="12" customHeight="1">
      <c r="A47" s="152" t="s">
        <v>1328</v>
      </c>
      <c r="B47" s="153"/>
      <c r="C47" s="154"/>
      <c r="D47" s="1024" t="s">
        <v>1329</v>
      </c>
      <c r="E47" s="294" t="s">
        <v>1330</v>
      </c>
      <c r="F47" s="155" t="s">
        <v>1331</v>
      </c>
      <c r="G47" s="2333" t="s">
        <v>1332</v>
      </c>
      <c r="H47" s="2334"/>
      <c r="I47" s="151"/>
      <c r="J47" s="2310">
        <v>2</v>
      </c>
      <c r="K47" s="3388" t="s">
        <v>1333</v>
      </c>
      <c r="L47" s="3388"/>
      <c r="M47" s="3389">
        <f>'数据-取费表'!B2</f>
        <v>46014</v>
      </c>
      <c r="N47" s="3389"/>
      <c r="O47" s="3389"/>
    </row>
    <row r="48" spans="1:15" ht="25.5">
      <c r="A48" s="3390" t="s">
        <v>1334</v>
      </c>
      <c r="B48" s="3385"/>
      <c r="C48" s="3385"/>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1335</v>
      </c>
      <c r="H48" s="2337"/>
      <c r="I48" s="1668"/>
      <c r="J48" s="2310">
        <v>3</v>
      </c>
      <c r="K48" s="3388" t="s">
        <v>1336</v>
      </c>
      <c r="L48" s="3388"/>
      <c r="M48" s="3391">
        <f ca="1">H101</f>
        <v>108</v>
      </c>
      <c r="N48" s="3391"/>
      <c r="O48" s="3391"/>
    </row>
    <row r="49" spans="1:35" ht="25.5" customHeight="1">
      <c r="A49" s="2152" t="s">
        <v>1337</v>
      </c>
      <c r="B49" s="3366" t="s">
        <v>1338</v>
      </c>
      <c r="C49" s="3366"/>
      <c r="D49" s="1478">
        <v>0</v>
      </c>
      <c r="E49" s="316" t="s">
        <v>1339</v>
      </c>
      <c r="F49" s="2233" t="s">
        <v>28</v>
      </c>
      <c r="G49" s="3392"/>
      <c r="H49" s="2134" t="s">
        <v>2128</v>
      </c>
      <c r="I49" s="2135"/>
      <c r="J49" s="2310">
        <v>4</v>
      </c>
      <c r="K49" s="3388" t="str">
        <f>IF(项目基本情况!E8="房地产抵押价值","房地产抵押价值","抵押担保权已注销时的房地产抵押价值")</f>
        <v>房地产抵押价值</v>
      </c>
      <c r="L49" s="3388"/>
      <c r="M49" s="3391">
        <f ca="1">IF(项目基本情况!E8="房地产抵押价值",H107,H109)</f>
        <v>108</v>
      </c>
      <c r="N49" s="3391"/>
      <c r="O49" s="3391"/>
    </row>
    <row r="50" spans="1:35" ht="25.5" customHeight="1">
      <c r="A50" s="2338"/>
      <c r="B50" s="3366" t="s">
        <v>1340</v>
      </c>
      <c r="C50" s="3366"/>
      <c r="D50" s="2189"/>
      <c r="E50" s="323"/>
      <c r="F50" s="2233"/>
      <c r="G50" s="3393"/>
      <c r="H50" s="2136" t="s">
        <v>2129</v>
      </c>
      <c r="I50" s="2135"/>
      <c r="J50" s="3387" t="s">
        <v>1341</v>
      </c>
      <c r="K50" s="3387"/>
      <c r="L50" s="3387"/>
      <c r="M50" s="3387"/>
      <c r="N50" s="3387"/>
      <c r="O50" s="3387"/>
    </row>
    <row r="51" spans="1:35" ht="20.45" customHeight="1">
      <c r="A51" s="2339"/>
      <c r="B51" s="3366" t="s">
        <v>1342</v>
      </c>
      <c r="C51" s="3366"/>
      <c r="D51" s="1024"/>
      <c r="E51" s="319"/>
      <c r="F51" s="2233"/>
      <c r="G51" s="3394"/>
      <c r="H51" s="2136" t="s">
        <v>2130</v>
      </c>
      <c r="I51" s="2135"/>
      <c r="J51" s="2311" t="s">
        <v>1343</v>
      </c>
      <c r="K51" s="3388" t="s">
        <v>1344</v>
      </c>
      <c r="L51" s="3388"/>
      <c r="M51" s="2311" t="s">
        <v>1345</v>
      </c>
      <c r="N51" s="2311" t="s">
        <v>1346</v>
      </c>
      <c r="O51" s="2311" t="s">
        <v>1347</v>
      </c>
    </row>
    <row r="52" spans="1:35" ht="24" customHeight="1">
      <c r="A52" s="2153" t="s">
        <v>1348</v>
      </c>
      <c r="B52" s="3366" t="s">
        <v>1349</v>
      </c>
      <c r="C52" s="3366"/>
      <c r="D52" s="1024">
        <f ca="1">ROUND(D45*'数据-取费表'!B41/(1+'数据-取费表'!C42),0)</f>
        <v>6</v>
      </c>
      <c r="E52" s="1256" t="s">
        <v>1350</v>
      </c>
      <c r="F52" s="2340">
        <f>'数据-取费表'!B41</f>
        <v>5.6000000000000001E-2</v>
      </c>
      <c r="G52" s="2341"/>
      <c r="H52" s="2331"/>
      <c r="I52" s="1669"/>
      <c r="J52" s="2310">
        <v>1</v>
      </c>
      <c r="K52" s="3375" t="s">
        <v>1351</v>
      </c>
      <c r="L52" s="3375"/>
      <c r="M52" s="2312" t="b">
        <f>D48</f>
        <v>0</v>
      </c>
      <c r="N52" s="2310" t="str">
        <f>E48</f>
        <v>销售额×税（费）率</v>
      </c>
      <c r="O52" s="2313">
        <f>F48</f>
        <v>5.6000000000000001E-2</v>
      </c>
    </row>
    <row r="53" spans="1:35" ht="12" customHeight="1">
      <c r="A53" s="2153" t="s">
        <v>1352</v>
      </c>
      <c r="B53" s="3365" t="s">
        <v>2276</v>
      </c>
      <c r="C53" s="3379"/>
      <c r="D53" s="1024">
        <f ca="1">ROUND(D45*'数据-取费表'!B41/(1+'数据-取费表'!C42),0)</f>
        <v>6</v>
      </c>
      <c r="E53" s="1256" t="s">
        <v>1350</v>
      </c>
      <c r="F53" s="2340">
        <f>'数据-取费表'!B41</f>
        <v>5.6000000000000001E-2</v>
      </c>
      <c r="G53" s="2341"/>
      <c r="H53" s="2331"/>
      <c r="I53" s="1669"/>
      <c r="J53" s="2310">
        <v>2</v>
      </c>
      <c r="K53" s="3375" t="s">
        <v>1353</v>
      </c>
      <c r="L53" s="3375"/>
      <c r="M53" s="2312">
        <f t="shared" ref="M53:O54" ca="1" si="0">D55</f>
        <v>0</v>
      </c>
      <c r="N53" s="2310" t="str">
        <f t="shared" si="0"/>
        <v>销售额×税（费）率</v>
      </c>
      <c r="O53" s="2313" t="str">
        <f t="shared" si="0"/>
        <v>免征</v>
      </c>
    </row>
    <row r="54" spans="1:35" ht="12" customHeight="1">
      <c r="A54" s="2153" t="s">
        <v>1354</v>
      </c>
      <c r="B54" s="3365" t="s">
        <v>2277</v>
      </c>
      <c r="C54" s="3379"/>
      <c r="D54" s="1024">
        <f ca="1">C68</f>
        <v>6</v>
      </c>
      <c r="E54" s="319" t="s">
        <v>1355</v>
      </c>
      <c r="F54" s="2340">
        <f>'数据-取费表'!B41</f>
        <v>5.6000000000000001E-2</v>
      </c>
      <c r="G54" s="2341"/>
      <c r="H54" s="2342"/>
      <c r="I54" s="1669"/>
      <c r="J54" s="2310">
        <v>3</v>
      </c>
      <c r="K54" s="3375" t="s">
        <v>1356</v>
      </c>
      <c r="L54" s="3375"/>
      <c r="M54" s="2312">
        <f t="shared" ca="1" si="0"/>
        <v>61</v>
      </c>
      <c r="N54" s="2310" t="str">
        <f t="shared" si="0"/>
        <v>增值额×税（费）率</v>
      </c>
      <c r="O54" s="2314" t="str">
        <f t="shared" si="0"/>
        <v>免征</v>
      </c>
    </row>
    <row r="55" spans="1:35" ht="24" customHeight="1">
      <c r="A55" s="3384" t="s">
        <v>1357</v>
      </c>
      <c r="B55" s="3385"/>
      <c r="C55" s="3385"/>
      <c r="D55" s="12">
        <f ca="1">IF(H55="个人住宅",0,ROUND(D45*I55,0))</f>
        <v>0</v>
      </c>
      <c r="E55" s="1256" t="s">
        <v>1358</v>
      </c>
      <c r="F55" s="2340" t="str">
        <f>IF(H55="正常",I55,"免征")</f>
        <v>免征</v>
      </c>
      <c r="G55" s="2341"/>
      <c r="H55" s="2337"/>
      <c r="I55" s="157">
        <f>'数据-取费表'!B49</f>
        <v>5.0000000000000001E-4</v>
      </c>
      <c r="J55" s="2310">
        <f>IF(H59="非个人房产","",4)</f>
        <v>4</v>
      </c>
      <c r="K55" s="3375" t="str">
        <f>IF(H59="非个人房产","——","个人所得税")</f>
        <v>个人所得税</v>
      </c>
      <c r="L55" s="3375"/>
      <c r="M55" s="2315">
        <f ca="1">D59</f>
        <v>1</v>
      </c>
      <c r="N55" s="1883" t="str">
        <f>E59</f>
        <v>差额计税</v>
      </c>
      <c r="O55" s="2316">
        <f>F59</f>
        <v>0.01</v>
      </c>
    </row>
    <row r="56" spans="1:35" ht="24.75">
      <c r="A56" s="3384" t="s">
        <v>1359</v>
      </c>
      <c r="B56" s="3385"/>
      <c r="C56" s="3385"/>
      <c r="D56" s="12">
        <f ca="1">IF(H56="个人住宅",D57,D58)</f>
        <v>61</v>
      </c>
      <c r="E56" s="1256" t="s">
        <v>1360</v>
      </c>
      <c r="F56" s="2340" t="str">
        <f>IF(H56="正常",F58,"免征")</f>
        <v>免征</v>
      </c>
      <c r="G56" s="2343" t="s">
        <v>1361</v>
      </c>
      <c r="H56" s="2344"/>
      <c r="I56" s="1670"/>
      <c r="J56" s="2310" t="str">
        <f>IF(项目基本情况!K6="上海银行",IF(J55="",4,J55+1),"")</f>
        <v/>
      </c>
      <c r="K56" s="3377" t="str">
        <f>IF(项目基本情况!K6="上海银行","其他处置费用","")</f>
        <v/>
      </c>
      <c r="L56" s="3386"/>
      <c r="M56" s="2312" t="str">
        <f>IF(项目基本情况!K6="上海银行",M69,"")</f>
        <v/>
      </c>
      <c r="N56" s="3377" t="str">
        <f>IF(项目基本情况!K6="上海银行","包含处置中涉及的律师、诉讼、拍卖、评估等费用","")</f>
        <v/>
      </c>
      <c r="O56" s="3378"/>
    </row>
    <row r="57" spans="1:35" ht="12.75">
      <c r="A57" s="2153" t="s">
        <v>1337</v>
      </c>
      <c r="B57" s="3365" t="s">
        <v>1362</v>
      </c>
      <c r="C57" s="3379"/>
      <c r="D57" s="1478">
        <v>0</v>
      </c>
      <c r="E57" s="316" t="s">
        <v>1339</v>
      </c>
      <c r="F57" s="294"/>
      <c r="G57" s="2341"/>
      <c r="H57" s="2345"/>
      <c r="I57" s="1670"/>
      <c r="J57" s="3375">
        <f>IF(AND(J55="",J56=""),4,IF(项目基本情况!K6="上海银行",'结果表-地下仓储'!J56+1,'结果表-地下仓储'!J55+1))</f>
        <v>5</v>
      </c>
      <c r="K57" s="3375" t="s">
        <v>1363</v>
      </c>
      <c r="L57" s="2317" t="s">
        <v>1364</v>
      </c>
      <c r="M57" s="2318"/>
      <c r="N57" s="2319">
        <f ca="1">SUMIF(M52:M56,"&lt;9e307")</f>
        <v>62</v>
      </c>
      <c r="O57" s="2320"/>
      <c r="P57" s="2465">
        <f ca="1">N57/M49</f>
        <v>0.57407407407407407</v>
      </c>
    </row>
    <row r="58" spans="1:35" ht="24.75">
      <c r="A58" s="2153" t="s">
        <v>1348</v>
      </c>
      <c r="B58" s="3365" t="s">
        <v>1365</v>
      </c>
      <c r="C58" s="3366"/>
      <c r="D58" s="12">
        <f ca="1">IF(H58="转让取得",C81,C97)</f>
        <v>61</v>
      </c>
      <c r="E58" s="1256" t="s">
        <v>1360</v>
      </c>
      <c r="F58" s="294" t="s">
        <v>28</v>
      </c>
      <c r="G58" s="2341"/>
      <c r="H58" s="2344"/>
      <c r="I58" s="1670"/>
      <c r="J58" s="3375"/>
      <c r="K58" s="3375"/>
      <c r="L58" s="2317" t="s">
        <v>1366</v>
      </c>
      <c r="M58" s="2321"/>
      <c r="N58" s="2322" t="str">
        <f ca="1">NUMBERSTRING(INT(N57*10000),2)&amp;"元整"</f>
        <v>陆拾贰万元整</v>
      </c>
      <c r="O58" s="2323"/>
    </row>
    <row r="59" spans="1:35" ht="24.75" thickBot="1">
      <c r="A59" s="3380" t="s">
        <v>1367</v>
      </c>
      <c r="B59" s="3381"/>
      <c r="C59" s="3381"/>
      <c r="D59" s="2346">
        <f ca="1">IF(H59="非个人房产","——",IF(H59="个人住宅（满五唯一有凭证）",0,IF(H59="个人其他（无凭证）",ROUND(D45/(1+'数据-取费表'!C42)*F59,0),ROUND(C67*F59,0))))</f>
        <v>1</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1361</v>
      </c>
      <c r="H59" s="2138"/>
      <c r="I59" s="2137" t="s">
        <v>2131</v>
      </c>
      <c r="J59" s="3382">
        <f>J57+1</f>
        <v>6</v>
      </c>
      <c r="K59" s="3375" t="s">
        <v>1368</v>
      </c>
      <c r="L59" s="2310" t="s">
        <v>1364</v>
      </c>
      <c r="M59" s="2324"/>
      <c r="N59" s="2325">
        <f ca="1">M49-N57</f>
        <v>46</v>
      </c>
      <c r="O59" s="2326"/>
    </row>
    <row r="60" spans="1:35" ht="12" customHeight="1">
      <c r="A60" s="1671"/>
      <c r="B60" s="646"/>
      <c r="C60" s="646"/>
      <c r="D60" s="646"/>
      <c r="E60" s="1466"/>
      <c r="F60" s="1670"/>
      <c r="G60" s="1670"/>
      <c r="H60" s="151"/>
      <c r="I60" s="121"/>
      <c r="J60" s="3383"/>
      <c r="K60" s="3375"/>
      <c r="L60" s="2317" t="s">
        <v>1366</v>
      </c>
      <c r="M60" s="2321"/>
      <c r="N60" s="2322" t="str">
        <f ca="1">NUMBERSTRING(INT(N59*10000),2)&amp;"元整"</f>
        <v>肆拾陆万元整</v>
      </c>
      <c r="O60" s="2323"/>
    </row>
    <row r="61" spans="1:35" ht="13.5" thickBot="1">
      <c r="A61" s="3374" t="s">
        <v>1369</v>
      </c>
      <c r="B61" s="3374"/>
      <c r="C61" s="3374"/>
      <c r="D61" s="3374"/>
      <c r="E61" s="3374"/>
      <c r="F61" s="1670"/>
      <c r="G61" s="1670"/>
      <c r="H61" s="151"/>
      <c r="I61" s="121"/>
      <c r="J61" s="2310">
        <f>J59+1</f>
        <v>7</v>
      </c>
      <c r="K61" s="3375" t="s">
        <v>1370</v>
      </c>
      <c r="L61" s="3375"/>
      <c r="M61" s="2327"/>
      <c r="N61" s="2328">
        <f ca="1">ROUND(N59*10000/'数据-汇总表'!E3,0)</f>
        <v>1459</v>
      </c>
      <c r="O61" s="2329"/>
    </row>
    <row r="62" spans="1:35" ht="12.75">
      <c r="A62" s="3370" t="s">
        <v>1371</v>
      </c>
      <c r="B62" s="3371"/>
      <c r="C62" s="1865"/>
      <c r="D62" s="1865" t="s">
        <v>1372</v>
      </c>
      <c r="E62" s="158" t="s">
        <v>1373</v>
      </c>
      <c r="F62" s="1670"/>
      <c r="G62" s="1670"/>
      <c r="H62" s="151"/>
      <c r="I62" s="121"/>
    </row>
    <row r="63" spans="1:35" ht="12.75">
      <c r="A63" s="165" t="s">
        <v>330</v>
      </c>
      <c r="B63" s="159" t="s">
        <v>1374</v>
      </c>
      <c r="C63" s="2350">
        <f ca="1">ROUND((C64+C65)/(1+'数据-取费表'!C42),0)</f>
        <v>103</v>
      </c>
      <c r="D63" s="159"/>
      <c r="E63" s="160"/>
      <c r="F63" s="1670"/>
      <c r="G63" s="1670"/>
      <c r="H63" s="151"/>
      <c r="I63" s="121"/>
      <c r="J63" s="3376" t="s">
        <v>1375</v>
      </c>
      <c r="K63" s="1245" t="s">
        <v>1376</v>
      </c>
      <c r="L63" s="1245">
        <f ca="1">IF(M49&gt;10000,M49*0.5%,IF(AND(M49&gt;1000,M49&lt;=10000),M49*1%,IF(AND(M49&gt;100,M49&lt;=1000),M49*3%,IF(AND(M49&gt;10,M49&lt;=100),M49*5%,M49*8%))))</f>
        <v>3.2399999999999998</v>
      </c>
      <c r="M63" s="294">
        <f ca="1">ROUND(L63,1)</f>
        <v>3.2</v>
      </c>
      <c r="N63" s="2330"/>
      <c r="Z63" s="1623"/>
      <c r="AI63" s="1561"/>
    </row>
    <row r="64" spans="1:35" ht="14.25" customHeight="1">
      <c r="A64" s="161" t="s">
        <v>325</v>
      </c>
      <c r="B64" s="162" t="s">
        <v>1377</v>
      </c>
      <c r="C64" s="2351">
        <f ca="1">D45</f>
        <v>108</v>
      </c>
      <c r="D64" s="162" t="s">
        <v>26</v>
      </c>
      <c r="E64" s="164"/>
      <c r="F64" s="1670"/>
      <c r="G64" s="1670"/>
      <c r="H64" s="151"/>
      <c r="I64" s="121"/>
      <c r="J64" s="3376"/>
      <c r="K64" s="1245" t="s">
        <v>1378</v>
      </c>
      <c r="L64" s="1245">
        <f ca="1">IF(M49&gt;2000,M49*0.5%,IF(AND(M49&gt;1000,M49&lt;=2000),M49*0.6%,IF(AND(M49&gt;500,M49&lt;=1000),M49*0.7%,IF(AND(M49&gt;200,M49&lt;=500),M49*0.8%,IF(AND(M49&gt;100,M49&lt;=200),M49*0.9%,IF(AND(M49&gt;50,M49&lt;=100),M49*1%,IF(AND(M49&gt;20,M49&lt;=50),M49*1.5%,IF(AND(M49&gt;10,M49&lt;=20),M49*2%,IF(AND(M49&gt;1,M49&lt;=10),M49*2.5%)))))))))</f>
        <v>0.97200000000000009</v>
      </c>
      <c r="M64" s="294">
        <f t="shared" ref="M64:M65" ca="1" si="1">ROUND(L64,1)</f>
        <v>1</v>
      </c>
      <c r="N64" s="2331" t="s">
        <v>1379</v>
      </c>
      <c r="Z64" s="1623"/>
      <c r="AI64" s="1561"/>
    </row>
    <row r="65" spans="1:35" ht="14.25" customHeight="1">
      <c r="A65" s="161" t="s">
        <v>326</v>
      </c>
      <c r="B65" s="162" t="s">
        <v>1380</v>
      </c>
      <c r="C65" s="2352"/>
      <c r="D65" s="162"/>
      <c r="E65" s="164"/>
      <c r="F65" s="1670"/>
      <c r="G65" s="1670"/>
      <c r="H65" s="151"/>
      <c r="I65" s="121"/>
      <c r="J65" s="3376"/>
      <c r="K65" s="1245" t="s">
        <v>1381</v>
      </c>
      <c r="L65" s="1245">
        <f ca="1">IF(M49&gt;1000,M49*0.1%,IF(AND(M49&gt;500,M49&lt;=1000),M49*0.5%,IF(AND(M49&gt;50,M49&lt;=500),M49*1%,IF(AND(M49&gt;1,M49&lt;=50),M49*1.5%))))</f>
        <v>1.08</v>
      </c>
      <c r="M65" s="294">
        <f t="shared" ca="1" si="1"/>
        <v>1.1000000000000001</v>
      </c>
      <c r="N65" s="2331" t="s">
        <v>1379</v>
      </c>
      <c r="Z65" s="1623"/>
      <c r="AI65" s="1561"/>
    </row>
    <row r="66" spans="1:35" ht="14.25" customHeight="1">
      <c r="A66" s="165" t="s">
        <v>327</v>
      </c>
      <c r="B66" s="166" t="s">
        <v>1382</v>
      </c>
      <c r="C66" s="2353"/>
      <c r="D66" s="166" t="s">
        <v>26</v>
      </c>
      <c r="E66" s="1251" t="s">
        <v>667</v>
      </c>
      <c r="F66" s="1670"/>
      <c r="G66" s="1670"/>
      <c r="H66" s="151"/>
      <c r="I66" s="121"/>
      <c r="J66" s="3376"/>
      <c r="K66" s="1245" t="s">
        <v>1383</v>
      </c>
      <c r="L66" s="1245">
        <f ca="1">M49*0.5%</f>
        <v>0.54</v>
      </c>
      <c r="M66" s="294">
        <f ca="1">IF(L66&gt;0.5,0.5,ROUND(L66,0))</f>
        <v>0.5</v>
      </c>
      <c r="N66" s="2331" t="s">
        <v>1384</v>
      </c>
      <c r="Z66" s="1623"/>
      <c r="AI66" s="1561"/>
    </row>
    <row r="67" spans="1:35" ht="14.25" customHeight="1">
      <c r="A67" s="165" t="s">
        <v>328</v>
      </c>
      <c r="B67" s="166" t="s">
        <v>1385</v>
      </c>
      <c r="C67" s="2354">
        <f ca="1">C63-C66</f>
        <v>103</v>
      </c>
      <c r="D67" s="162" t="s">
        <v>26</v>
      </c>
      <c r="E67" s="164"/>
      <c r="F67" s="1670"/>
      <c r="G67" s="1670"/>
      <c r="H67" s="151"/>
      <c r="I67" s="121"/>
      <c r="J67" s="3376"/>
      <c r="K67" s="1245" t="s">
        <v>1386</v>
      </c>
      <c r="L67" s="1245">
        <f ca="1">IF(M49&gt;=10000,(8.25+(M49-10000)*0.01%),IF(AND(M49&gt;=8000,M49&lt;10000),(7.85+(M49-8000)*0.02%),IF(AND(M49&gt;=5000,M49&lt;8000),(6.65+(M49-5000)*0.04%),IF(AND(M49&gt;=2000,M49&lt;5000),(4.25+(PM49-2000)*0.08%),IF(AND(M49&gt;=1000,M49&lt;2000),(2.75+(M49-1000)*0.15%),IF(AND(M49&gt;=100,M49&lt;1000),(0.5+(M49-100)*0.25%),IF(AND(M49&gt;0,M49&lt;100),M49*0.5%)))))))</f>
        <v>0.52</v>
      </c>
      <c r="M67" s="294">
        <f ca="1">ROUND(L67*0.9,1)</f>
        <v>0.5</v>
      </c>
      <c r="N67" s="2330"/>
      <c r="Z67" s="1623"/>
      <c r="AI67" s="1561"/>
    </row>
    <row r="68" spans="1:35" ht="14.25" customHeight="1" thickBot="1">
      <c r="A68" s="168" t="s">
        <v>329</v>
      </c>
      <c r="B68" s="169" t="s">
        <v>1387</v>
      </c>
      <c r="C68" s="2355">
        <f ca="1">IF(C67&lt;=0,0,ROUND(C67*D68,0))</f>
        <v>6</v>
      </c>
      <c r="D68" s="2356">
        <f>'数据-取费表'!B41</f>
        <v>5.6000000000000001E-2</v>
      </c>
      <c r="E68" s="170"/>
      <c r="F68" s="1670"/>
      <c r="G68" s="1670"/>
      <c r="H68" s="151"/>
      <c r="I68" s="121"/>
      <c r="J68" s="3376"/>
      <c r="K68" s="1245" t="s">
        <v>1388</v>
      </c>
      <c r="L68" s="1245">
        <f ca="1">IF(M49&gt;10000,M49*0.5%,IF(AND(M49&gt;5000,M49&lt;=10000),M49*1%,IF(AND(M49&gt;1000,M49&lt;=5000),M49*2%,IF(AND(M49&gt;200,M49&lt;=1000),M49*3%,M49*5%))))</f>
        <v>5.4</v>
      </c>
      <c r="M68" s="294">
        <f ca="1">ROUND(L68,1)</f>
        <v>5.4</v>
      </c>
      <c r="N68" s="2330"/>
      <c r="Z68" s="1623"/>
      <c r="AI68" s="1561"/>
    </row>
    <row r="69" spans="1:35" ht="16.5" customHeight="1">
      <c r="A69" s="1672"/>
      <c r="B69" s="1673"/>
      <c r="C69" s="1674"/>
      <c r="D69" s="1675"/>
      <c r="E69" s="1676"/>
      <c r="F69" s="1466"/>
      <c r="G69" s="1466"/>
      <c r="H69" s="1467"/>
      <c r="I69" s="646"/>
      <c r="J69" s="3376"/>
      <c r="K69" s="1245" t="s">
        <v>1389</v>
      </c>
      <c r="L69" s="1245"/>
      <c r="M69" s="294">
        <f ca="1">ROUND(SUM(M63:M68),0)</f>
        <v>12</v>
      </c>
      <c r="N69" s="2332">
        <f ca="1">M69/M49</f>
        <v>0.1111111111111111</v>
      </c>
      <c r="Z69" s="1623"/>
      <c r="AI69" s="1561"/>
    </row>
    <row r="70" spans="1:35" s="642" customFormat="1" ht="15" thickBot="1">
      <c r="A70" s="3368" t="s">
        <v>1390</v>
      </c>
      <c r="B70" s="3369"/>
      <c r="C70" s="3369"/>
      <c r="D70" s="3369"/>
      <c r="E70" s="3369"/>
      <c r="F70" s="3369"/>
      <c r="G70" s="3369"/>
      <c r="H70" s="336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0" t="s">
        <v>1371</v>
      </c>
      <c r="B71" s="3371"/>
      <c r="C71" s="1865"/>
      <c r="D71" s="1865" t="s">
        <v>1372</v>
      </c>
      <c r="E71" s="171" t="s">
        <v>1373</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1391</v>
      </c>
      <c r="C72" s="2354">
        <f ca="1">ROUND(D45/(1+'数据-取费表'!C42),0)</f>
        <v>103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1392</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1393</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1394</v>
      </c>
      <c r="C75" s="2357"/>
      <c r="D75" s="162" t="s">
        <v>26</v>
      </c>
      <c r="E75" s="176" t="s">
        <v>1395</v>
      </c>
      <c r="F75" s="2358"/>
      <c r="G75" s="176" t="s">
        <v>1396</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1397</v>
      </c>
      <c r="C76" s="162">
        <f>IF(F75="购房发票",ROUND(C75*H75*D76,0),0)</f>
        <v>0</v>
      </c>
      <c r="D76" s="2360">
        <v>0.05</v>
      </c>
      <c r="E76" s="3365" t="s">
        <v>1398</v>
      </c>
      <c r="F76" s="3366"/>
      <c r="G76" s="3366"/>
      <c r="H76" s="336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1399</v>
      </c>
      <c r="C77" s="162">
        <f>ROUND(IF(G77="个人住宅",0,IF(G77="2016年5月1日前购买",C75*D77,C75*D77/(1+'数据-取费表'!C42))),0)</f>
        <v>0</v>
      </c>
      <c r="D77" s="2361">
        <f>'数据-取费表'!B48+'数据-取费表'!B49</f>
        <v>3.0499999999999999E-2</v>
      </c>
      <c r="E77" s="12" t="s">
        <v>1400</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1401</v>
      </c>
      <c r="C78" s="2362">
        <f ca="1">ROUND(D45*D78/(1+'数据-取费表'!C42),0)</f>
        <v>1</v>
      </c>
      <c r="D78" s="2363">
        <f>'数据-取费表'!B43</f>
        <v>6.000000000000001E-3</v>
      </c>
      <c r="E78" s="3353" t="s">
        <v>1402</v>
      </c>
      <c r="F78" s="3354"/>
      <c r="G78" s="3354"/>
      <c r="H78" s="335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1403</v>
      </c>
      <c r="C79" s="2354">
        <f ca="1">C72-C73</f>
        <v>102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1404</v>
      </c>
      <c r="C80" s="2364">
        <f ca="1">IF(C79&lt;=0,0,C79/C73)</f>
        <v>102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1405</v>
      </c>
      <c r="C81" s="2365">
        <f ca="1">ROUND(IF(C79&lt;=0,0,IF(C80&gt;=200%,C79*60%-C73*35%,IF(C80&gt;=100%,C79*50%-C73*15%,IF(C80&gt;=50%,C79*40%-C73*5%,IF(C80&lt;50%,C79*30%,0))))),0)</f>
        <v>61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8" t="s">
        <v>1406</v>
      </c>
      <c r="B83" s="3369"/>
      <c r="C83" s="3369"/>
      <c r="D83" s="3369"/>
      <c r="E83" s="3369"/>
      <c r="F83" s="3369"/>
      <c r="G83" s="3369"/>
      <c r="H83" s="336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0" t="s">
        <v>1371</v>
      </c>
      <c r="B84" s="3371"/>
      <c r="C84" s="1865"/>
      <c r="D84" s="1865" t="s">
        <v>1372</v>
      </c>
      <c r="E84" s="171" t="s">
        <v>1373</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1391</v>
      </c>
      <c r="C85" s="2354">
        <f ca="1">ROUND(D45/(1+'数据-取费表'!C42),0)</f>
        <v>103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1392</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1407</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1408</v>
      </c>
      <c r="C88" s="2368"/>
      <c r="D88" s="2363"/>
      <c r="E88" s="185" t="s">
        <v>1409</v>
      </c>
      <c r="F88" s="2148"/>
      <c r="G88" s="186" t="s">
        <v>1410</v>
      </c>
      <c r="H88" s="1684"/>
      <c r="I88" s="1681"/>
      <c r="J88" s="2308" t="s">
        <v>2273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1399</v>
      </c>
      <c r="C89" s="2362">
        <f>ROUND(C88*D89,0)</f>
        <v>0</v>
      </c>
      <c r="D89" s="2363">
        <f>'数据-取费表'!B48+'数据-取费表'!B49</f>
        <v>3.0499999999999999E-2</v>
      </c>
      <c r="E89" s="185" t="s">
        <v>1411</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1412</v>
      </c>
      <c r="C90" s="2368"/>
      <c r="D90" s="2363"/>
      <c r="E90" s="185" t="str">
        <f>IF(H88="-","土地取得成本中已包含该笔费用"," ")</f>
        <v xml:space="preserve"> </v>
      </c>
      <c r="F90" s="2148"/>
      <c r="G90" s="3372" t="s">
        <v>2123</v>
      </c>
      <c r="H90" s="3373"/>
      <c r="I90" s="1681"/>
      <c r="J90" s="2308" t="s">
        <v>2274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1413</v>
      </c>
      <c r="B91" s="162" t="s">
        <v>1414</v>
      </c>
      <c r="C91" s="2362">
        <f>IF(H91="——",成本法!C33,I91)</f>
        <v>0</v>
      </c>
      <c r="D91" s="2363"/>
      <c r="E91" s="3353" t="s">
        <v>1415</v>
      </c>
      <c r="F91" s="3354"/>
      <c r="G91" s="335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1416</v>
      </c>
      <c r="B92" s="162" t="s">
        <v>1417</v>
      </c>
      <c r="C92" s="2362">
        <f>ROUND((C87+C90+C91)*D92,0)</f>
        <v>0</v>
      </c>
      <c r="D92" s="2369"/>
      <c r="E92" s="3353" t="s">
        <v>1418</v>
      </c>
      <c r="F92" s="3354"/>
      <c r="G92" s="3354"/>
      <c r="H92" s="3355"/>
      <c r="I92" s="1681"/>
      <c r="J92" s="2309" t="s">
        <v>2275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1419</v>
      </c>
      <c r="B93" s="162" t="s">
        <v>1401</v>
      </c>
      <c r="C93" s="2362">
        <f ca="1">ROUND(D45*D93/(1+'数据-取费表'!C42),0)</f>
        <v>1</v>
      </c>
      <c r="D93" s="2363">
        <f>'数据-取费表'!B43</f>
        <v>6.000000000000001E-3</v>
      </c>
      <c r="E93" s="3353" t="s">
        <v>1402</v>
      </c>
      <c r="F93" s="3354"/>
      <c r="G93" s="3354"/>
      <c r="H93" s="335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1420</v>
      </c>
      <c r="B94" s="162" t="s">
        <v>1421</v>
      </c>
      <c r="C94" s="2368">
        <f>ROUND((C87+C90+C91)*D94,0)</f>
        <v>0</v>
      </c>
      <c r="D94" s="2363">
        <v>0.2</v>
      </c>
      <c r="E94" s="3356" t="s">
        <v>1422</v>
      </c>
      <c r="F94" s="3357"/>
      <c r="G94" s="3357"/>
      <c r="H94" s="33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1403</v>
      </c>
      <c r="C95" s="2354">
        <f ca="1">ROUND(C85-C86,0)</f>
        <v>102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1404</v>
      </c>
      <c r="C96" s="2364">
        <f ca="1">IF(C95&lt;=0,0,C95/C86)</f>
        <v>102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1405</v>
      </c>
      <c r="C97" s="2365">
        <f ca="1">ROUND(IF(C95&lt;=0,0,IF(C96&gt;=200%,C95*60%-C86*35%,IF(C96&gt;=100%,C95*50%-C86*15%,IF(C96&gt;=50%,C95*40%-C86*5%,IF(C96&lt;50%,C95*30%,0))))),0)</f>
        <v>61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1423</v>
      </c>
      <c r="B99" s="646"/>
      <c r="C99" s="646"/>
      <c r="D99" s="646"/>
      <c r="E99" s="1466"/>
      <c r="F99" s="1466"/>
      <c r="G99" s="1466"/>
      <c r="H99" s="1467"/>
      <c r="I99" s="121"/>
    </row>
    <row r="100" spans="1:35" ht="18.75" customHeight="1">
      <c r="A100" s="3279" t="s">
        <v>1424</v>
      </c>
      <c r="B100" s="3280"/>
      <c r="C100" s="3280"/>
      <c r="D100" s="3359"/>
      <c r="E100" s="3280" t="s">
        <v>1425</v>
      </c>
      <c r="F100" s="3280"/>
      <c r="G100" s="3280"/>
      <c r="H100" s="3359"/>
      <c r="I100" s="121"/>
    </row>
    <row r="101" spans="1:35" ht="18.75" customHeight="1">
      <c r="A101" s="3360" t="s">
        <v>1426</v>
      </c>
      <c r="B101" s="3361"/>
      <c r="C101" s="2371" t="str">
        <f>C4</f>
        <v>比较法-仓储</v>
      </c>
      <c r="D101" s="2372" t="str">
        <f>D4</f>
        <v>成本法-地下仓储</v>
      </c>
      <c r="E101" s="3362" t="s">
        <v>1427</v>
      </c>
      <c r="F101" s="3345"/>
      <c r="G101" s="1687" t="s">
        <v>1428</v>
      </c>
      <c r="H101" s="2381">
        <f ca="1">H118</f>
        <v>108</v>
      </c>
      <c r="I101" s="121"/>
    </row>
    <row r="102" spans="1:35" ht="18.75" customHeight="1">
      <c r="A102" s="3342" t="s">
        <v>1429</v>
      </c>
      <c r="B102" s="2370" t="s">
        <v>1428</v>
      </c>
      <c r="C102" s="2371">
        <f ca="1">IF(D32="楼面单价",ROUND(C19,0),C19)</f>
        <v>125.398</v>
      </c>
      <c r="D102" s="2372">
        <f ca="1">IF(D32="楼面单价",ROUND(D19,0),D19)</f>
        <v>66.105199999999996</v>
      </c>
      <c r="E102" s="3362"/>
      <c r="F102" s="3345"/>
      <c r="G102" s="1687" t="s">
        <v>1430</v>
      </c>
      <c r="H102" s="2341">
        <f ca="1">I118</f>
        <v>25472</v>
      </c>
      <c r="I102" s="121"/>
    </row>
    <row r="103" spans="1:35" ht="42.75" customHeight="1">
      <c r="A103" s="3342"/>
      <c r="B103" s="2370" t="s">
        <v>1430</v>
      </c>
      <c r="C103" s="2373">
        <f ca="1">C20</f>
        <v>29575</v>
      </c>
      <c r="D103" s="2374">
        <f ca="1">D20</f>
        <v>15591</v>
      </c>
      <c r="E103" s="3363" t="s">
        <v>1431</v>
      </c>
      <c r="F103" s="3364"/>
      <c r="G103" s="1688" t="s">
        <v>1432</v>
      </c>
      <c r="H103" s="2381">
        <f>IF(D36="正常操作",H104+H105+H106,H105+H106)</f>
        <v>0</v>
      </c>
      <c r="I103" s="121"/>
    </row>
    <row r="104" spans="1:35" ht="18.75" customHeight="1">
      <c r="A104" s="3342" t="s">
        <v>1433</v>
      </c>
      <c r="B104" s="2375" t="s">
        <v>1428</v>
      </c>
      <c r="C104" s="2376">
        <f ca="1">H118</f>
        <v>108</v>
      </c>
      <c r="D104" s="2377"/>
      <c r="E104" s="1555" t="s">
        <v>1434</v>
      </c>
      <c r="F104" s="1548"/>
      <c r="G104" s="1688" t="s">
        <v>1432</v>
      </c>
      <c r="H104" s="2382">
        <f>IF(D36="同一抵押权人同一抵押物续贷",C36&amp;"（续贷，未扣减，详见特别提示）",C36)</f>
        <v>0</v>
      </c>
      <c r="I104" s="121"/>
    </row>
    <row r="105" spans="1:35" ht="18.75" customHeight="1" thickBot="1">
      <c r="A105" s="3343"/>
      <c r="B105" s="2378" t="s">
        <v>1430</v>
      </c>
      <c r="C105" s="2379">
        <f ca="1">I118</f>
        <v>25472</v>
      </c>
      <c r="D105" s="2380"/>
      <c r="E105" s="1555" t="s">
        <v>1435</v>
      </c>
      <c r="F105" s="1548"/>
      <c r="G105" s="1688" t="s">
        <v>1432</v>
      </c>
      <c r="H105" s="2383">
        <f>C37</f>
        <v>0</v>
      </c>
      <c r="I105" s="121"/>
    </row>
    <row r="106" spans="1:35" ht="18.75" customHeight="1">
      <c r="A106" s="646" t="s">
        <v>1436</v>
      </c>
      <c r="B106" s="646"/>
      <c r="C106" s="646"/>
      <c r="D106" s="646"/>
      <c r="E106" s="1689" t="s">
        <v>1437</v>
      </c>
      <c r="F106" s="1548"/>
      <c r="G106" s="1688" t="s">
        <v>1432</v>
      </c>
      <c r="H106" s="2383">
        <f>C38</f>
        <v>0</v>
      </c>
      <c r="I106" s="121"/>
    </row>
    <row r="107" spans="1:35" ht="18.75" customHeight="1">
      <c r="A107" s="121"/>
      <c r="B107" s="121"/>
      <c r="C107" s="121"/>
      <c r="D107" s="121"/>
      <c r="E107" s="3344" t="str">
        <f>IF(项目基本情况!E8="已注销","——","3.房地产抵押价值")</f>
        <v>3.房地产抵押价值</v>
      </c>
      <c r="F107" s="3345"/>
      <c r="G107" s="1687" t="s">
        <v>1428</v>
      </c>
      <c r="H107" s="2381">
        <f ca="1">IF(E107="——","——",H101-H103)</f>
        <v>108</v>
      </c>
      <c r="I107" s="121"/>
    </row>
    <row r="108" spans="1:35" ht="18.75" customHeight="1">
      <c r="A108" s="121"/>
      <c r="B108" s="121"/>
      <c r="C108" s="121"/>
      <c r="D108" s="121"/>
      <c r="E108" s="3344"/>
      <c r="F108" s="3345"/>
      <c r="G108" s="1687" t="s">
        <v>1430</v>
      </c>
      <c r="H108" s="2341">
        <f ca="1">IF(H107=H101,H102,ROUND(H107*10000/'数据-汇总表'!E3,0))</f>
        <v>25472</v>
      </c>
      <c r="I108" s="121"/>
    </row>
    <row r="109" spans="1:35" ht="18.75" customHeight="1">
      <c r="A109" s="121"/>
      <c r="B109" s="121"/>
      <c r="C109" s="121"/>
      <c r="D109" s="121"/>
      <c r="E109" s="3344" t="str">
        <f>IF(项目基本情况!E8="已注销及未注销","4.抵押担保权已注销时的房地产抵押价值",IF(项目基本情况!E8="已注销","3.抵押担保权已注销时的房地产抵押价值","——"))</f>
        <v>——</v>
      </c>
      <c r="F109" s="3345"/>
      <c r="G109" s="1687" t="s">
        <v>1428</v>
      </c>
      <c r="H109" s="2384" t="str">
        <f>IF(E109="——","——",H101-H105-H106)</f>
        <v>——</v>
      </c>
      <c r="I109" s="121"/>
    </row>
    <row r="110" spans="1:35" ht="18.75" customHeight="1">
      <c r="A110" s="121"/>
      <c r="B110" s="121"/>
      <c r="C110" s="121"/>
      <c r="D110" s="121"/>
      <c r="E110" s="3344"/>
      <c r="F110" s="3345"/>
      <c r="G110" s="1687" t="s">
        <v>1430</v>
      </c>
      <c r="H110" s="2341" t="str">
        <f>IF(H109="——","——",ROUND(H109*10000/'数据-汇总表'!E3,0))</f>
        <v>——</v>
      </c>
      <c r="I110" s="121"/>
    </row>
    <row r="111" spans="1:35" ht="18.75" customHeight="1">
      <c r="A111" s="121"/>
      <c r="B111" s="121"/>
      <c r="C111" s="121"/>
      <c r="D111" s="121"/>
      <c r="E111" s="3346" t="str">
        <f>IF(项目基本情况!E9="抵押净值",IF(OR(项目基本情况!E8="已注销",项目基本情况!E8="房地产抵押价值"),"4.抵押净值","5.抵押净值"),"——")</f>
        <v>——</v>
      </c>
      <c r="F111" s="3333"/>
      <c r="G111" s="1687" t="s">
        <v>1428</v>
      </c>
      <c r="H111" s="2381" t="str">
        <f>IF(E111="——","——",N59)</f>
        <v>——</v>
      </c>
      <c r="I111" s="121"/>
    </row>
    <row r="112" spans="1:35" ht="18.75" customHeight="1" thickBot="1">
      <c r="A112" s="121"/>
      <c r="B112" s="121"/>
      <c r="C112" s="121"/>
      <c r="D112" s="121"/>
      <c r="E112" s="3347"/>
      <c r="F112" s="3348"/>
      <c r="G112" s="1690" t="s">
        <v>1430</v>
      </c>
      <c r="H112" s="2385" t="str">
        <f>IF(E111="——","——",N61)</f>
        <v>——</v>
      </c>
      <c r="I112" s="121"/>
    </row>
    <row r="113" spans="1:27" ht="18.75" customHeight="1">
      <c r="A113" s="121"/>
      <c r="B113" s="121"/>
      <c r="C113" s="121"/>
      <c r="D113" s="121"/>
      <c r="E113" s="3349" t="s">
        <v>1436</v>
      </c>
      <c r="F113" s="3349"/>
      <c r="G113" s="3349"/>
      <c r="H113" s="3349"/>
      <c r="I113" s="121"/>
    </row>
    <row r="114" spans="1:27" ht="3.75" customHeight="1">
      <c r="A114" s="646"/>
      <c r="B114" s="646"/>
      <c r="C114" s="646"/>
      <c r="D114" s="646"/>
      <c r="E114" s="1671"/>
      <c r="F114" s="1671"/>
      <c r="G114" s="1671"/>
      <c r="H114" s="1671"/>
      <c r="I114" s="646"/>
    </row>
    <row r="115" spans="1:27" ht="18.75" customHeight="1">
      <c r="A115" s="3350" t="s">
        <v>1438</v>
      </c>
      <c r="B115" s="3351"/>
      <c r="C115" s="3351"/>
      <c r="D115" s="3351"/>
      <c r="E115" s="3351"/>
      <c r="F115" s="3351"/>
      <c r="G115" s="3351"/>
      <c r="H115" s="3351"/>
      <c r="I115" s="3352"/>
    </row>
    <row r="116" spans="1:27" ht="27" customHeight="1">
      <c r="A116" s="3328" t="s">
        <v>1439</v>
      </c>
      <c r="B116" s="3337" t="s">
        <v>1440</v>
      </c>
      <c r="C116" s="3337" t="s">
        <v>1441</v>
      </c>
      <c r="D116" s="3339" t="s">
        <v>1442</v>
      </c>
      <c r="E116" s="3340"/>
      <c r="F116" s="3341" t="s">
        <v>1443</v>
      </c>
      <c r="G116" s="3341"/>
      <c r="H116" s="3328" t="s">
        <v>1444</v>
      </c>
      <c r="I116" s="3328"/>
    </row>
    <row r="117" spans="1:27" ht="18.75" customHeight="1">
      <c r="A117" s="3328"/>
      <c r="B117" s="3338"/>
      <c r="C117" s="3338"/>
      <c r="D117" s="2150" t="s">
        <v>1445</v>
      </c>
      <c r="E117" s="2150" t="s">
        <v>1446</v>
      </c>
      <c r="F117" s="2150" t="s">
        <v>1445</v>
      </c>
      <c r="G117" s="2150" t="s">
        <v>1447</v>
      </c>
      <c r="H117" s="2150" t="s">
        <v>1445</v>
      </c>
      <c r="I117" s="2150" t="s">
        <v>1447</v>
      </c>
    </row>
    <row r="118" spans="1:27" ht="24.75" customHeight="1">
      <c r="A118" s="2386" t="str">
        <f>项目基本情况!S2</f>
        <v>北京市房地产</v>
      </c>
      <c r="B118" s="2150">
        <f>M18</f>
        <v>42.4</v>
      </c>
      <c r="C118" s="2150">
        <f>M19</f>
        <v>0</v>
      </c>
      <c r="D118" s="2150">
        <f ca="1">ROUND(IF(D32="总价",C34,E118*B118/10000),0)</f>
        <v>46</v>
      </c>
      <c r="E118" s="2150">
        <f ca="1">ROUND(IF(C33="自定义",IF(D32="楼面单价",C34,D118*10000/B118),I118-G118),0)</f>
        <v>10849</v>
      </c>
      <c r="F118" s="2150">
        <f ca="1">ROUND(IF(D32="总价",C35,G118*B118/10000),0)</f>
        <v>62</v>
      </c>
      <c r="G118" s="2150">
        <f ca="1">ROUND(IF(D32="楼面单价",C35,F118*10000/B118),0)</f>
        <v>14623</v>
      </c>
      <c r="H118" s="2150">
        <f ca="1">ROUND(IF(D32="总价",C32,I118*B118/10000),0)</f>
        <v>108</v>
      </c>
      <c r="I118" s="2150">
        <f ca="1">ROUND(IF(D32="楼面单价",C32,H118*10000/B118),0)</f>
        <v>25472</v>
      </c>
    </row>
    <row r="119" spans="1:27" ht="18.75" customHeight="1">
      <c r="A119" s="3328" t="s">
        <v>1448</v>
      </c>
      <c r="B119" s="3328"/>
      <c r="C119" s="3328"/>
      <c r="D119" s="3329" t="str">
        <f ca="1">NUMBERSTRING(INT(D118*10000),2)&amp;"元整"</f>
        <v>肆拾陆万元整</v>
      </c>
      <c r="E119" s="3331"/>
      <c r="F119" s="3329" t="str">
        <f ca="1">NUMBERSTRING(INT(F118*10000),2)&amp;"元整"</f>
        <v>陆拾贰万元整</v>
      </c>
      <c r="G119" s="3331"/>
      <c r="H119" s="3329" t="str">
        <f ca="1">NUMBERSTRING(INT(H118*10000),2)&amp;"元整"</f>
        <v>壹佰零捌万元整</v>
      </c>
      <c r="I119" s="3331"/>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9" t="s">
        <v>1448</v>
      </c>
      <c r="B121" s="3330"/>
      <c r="C121" s="3331"/>
      <c r="D121" s="3329" t="str">
        <f>IF(D120=0,"零元整",NUMBERSTRING(INT(D120*10000),2)&amp;"元整")</f>
        <v>零元整</v>
      </c>
      <c r="E121" s="3330"/>
      <c r="F121" s="3330"/>
      <c r="G121" s="3330"/>
      <c r="H121" s="3330"/>
      <c r="I121" s="3331"/>
      <c r="AA121" s="684"/>
    </row>
    <row r="122" spans="1:27" ht="18.75" customHeight="1">
      <c r="A122" s="3333" t="str">
        <f>IF(项目基本情况!B9="房地产市场价值","",MID(E107,3,LEN(E107)-2))</f>
        <v>房地产抵押价值</v>
      </c>
      <c r="B122" s="3333"/>
      <c r="C122" s="3333"/>
      <c r="D122" s="3334">
        <f ca="1">H107</f>
        <v>108</v>
      </c>
      <c r="E122" s="3335"/>
      <c r="F122" s="3335"/>
      <c r="G122" s="3335"/>
      <c r="H122" s="3335"/>
      <c r="I122" s="3336"/>
      <c r="AA122" s="684"/>
    </row>
    <row r="123" spans="1:27" ht="18.75" customHeight="1">
      <c r="A123" s="3328" t="s">
        <v>1448</v>
      </c>
      <c r="B123" s="3328"/>
      <c r="C123" s="3328"/>
      <c r="D123" s="3329" t="str">
        <f ca="1">NUMBERSTRING(INT(D122*10000),2)&amp;"元整"</f>
        <v>壹佰零捌万元整</v>
      </c>
      <c r="E123" s="3330"/>
      <c r="F123" s="3330"/>
      <c r="G123" s="3330"/>
      <c r="H123" s="3330"/>
      <c r="I123" s="3331"/>
      <c r="AA123" s="684"/>
    </row>
    <row r="124" spans="1:27" ht="18.75" customHeight="1">
      <c r="A124" s="3333" t="str">
        <f>IF(项目基本情况!B9="房地产市场价值","",MID(E109,3,LEN(E109)-2))</f>
        <v/>
      </c>
      <c r="B124" s="3333"/>
      <c r="C124" s="3333"/>
      <c r="D124" s="3334" t="str">
        <f>H109</f>
        <v>——</v>
      </c>
      <c r="E124" s="3335"/>
      <c r="F124" s="3335"/>
      <c r="G124" s="3335"/>
      <c r="H124" s="3335"/>
      <c r="I124" s="3336"/>
      <c r="AA124" s="684"/>
    </row>
    <row r="125" spans="1:27" ht="18.75" customHeight="1">
      <c r="A125" s="3328" t="s">
        <v>1448</v>
      </c>
      <c r="B125" s="3328"/>
      <c r="C125" s="3328"/>
      <c r="D125" s="3329" t="e">
        <f>NUMBERSTRING(INT(D124*10000),2)&amp;"元整"</f>
        <v>#VALUE!</v>
      </c>
      <c r="E125" s="3330"/>
      <c r="F125" s="3330"/>
      <c r="G125" s="3330"/>
      <c r="H125" s="3330"/>
      <c r="I125" s="3331"/>
      <c r="AA125" s="684"/>
    </row>
    <row r="126" spans="1:27" ht="18.75" customHeight="1">
      <c r="A126" s="3333" t="str">
        <f>IF(项目基本情况!B9="房地产市场价值","",MID(E111,3,LEN(E111)-2))</f>
        <v/>
      </c>
      <c r="B126" s="3333"/>
      <c r="C126" s="3333"/>
      <c r="D126" s="3334" t="str">
        <f>H111</f>
        <v>——</v>
      </c>
      <c r="E126" s="3335"/>
      <c r="F126" s="3335"/>
      <c r="G126" s="3335"/>
      <c r="H126" s="3335"/>
      <c r="I126" s="3336"/>
      <c r="AA126" s="684"/>
    </row>
    <row r="127" spans="1:27" ht="18.75" customHeight="1">
      <c r="A127" s="3328" t="s">
        <v>1448</v>
      </c>
      <c r="B127" s="3328"/>
      <c r="C127" s="3328"/>
      <c r="D127" s="3329" t="e">
        <f>NUMBERSTRING(INT(D126*10000),2)&amp;"元整"</f>
        <v>#VALUE!</v>
      </c>
      <c r="E127" s="3330"/>
      <c r="F127" s="3330"/>
      <c r="G127" s="3330"/>
      <c r="H127" s="3330"/>
      <c r="I127" s="3331"/>
      <c r="AA127" s="684"/>
    </row>
    <row r="128" spans="1:27" ht="21.75" customHeight="1">
      <c r="A128" s="3332" t="s">
        <v>1449</v>
      </c>
      <c r="B128" s="3332"/>
      <c r="C128" s="3332"/>
      <c r="D128" s="3332"/>
      <c r="E128" s="3332"/>
      <c r="F128" s="3332"/>
      <c r="G128" s="3332"/>
      <c r="H128" s="3332"/>
      <c r="I128" s="3332"/>
      <c r="AA128" s="684"/>
    </row>
    <row r="129" spans="1:35" ht="21.75" customHeight="1">
      <c r="A129" s="1691" t="s">
        <v>1450</v>
      </c>
      <c r="B129" s="1692"/>
      <c r="C129" s="1693" t="s">
        <v>1451</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1452</v>
      </c>
      <c r="G135" s="1706"/>
      <c r="H135" s="1706"/>
      <c r="I135" s="1707" t="s">
        <v>1453</v>
      </c>
    </row>
    <row r="136" spans="1:35" ht="21.75" customHeight="1">
      <c r="A136" s="684"/>
      <c r="B136" s="1708" t="s">
        <v>1454</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1455</v>
      </c>
    </row>
    <row r="139" spans="1:35" ht="21.75" customHeight="1">
      <c r="A139" s="684"/>
      <c r="B139" s="1708" t="s">
        <v>1456</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1455</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10" priority="3" stopIfTrue="1">
      <formula>$H$88&lt;&gt;"仅含出让金"</formula>
    </cfRule>
  </conditionalFormatting>
  <conditionalFormatting sqref="C91">
    <cfRule type="expression" dxfId="109" priority="2" stopIfTrue="1">
      <formula>$H$91="由企业提供"</formula>
    </cfRule>
  </conditionalFormatting>
  <conditionalFormatting sqref="C5:D7">
    <cfRule type="cellIs" dxfId="108" priority="10" stopIfTrue="1" operator="equal">
      <formula>25</formula>
    </cfRule>
  </conditionalFormatting>
  <conditionalFormatting sqref="C8:D13">
    <cfRule type="cellIs" dxfId="107" priority="8" stopIfTrue="1" operator="equal">
      <formula>15</formula>
    </cfRule>
  </conditionalFormatting>
  <conditionalFormatting sqref="C14:D16">
    <cfRule type="cellIs" dxfId="106" priority="6" stopIfTrue="1" operator="equal">
      <formula>30</formula>
    </cfRule>
  </conditionalFormatting>
  <conditionalFormatting sqref="E36">
    <cfRule type="expression" dxfId="10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1457</v>
      </c>
      <c r="B1" s="1374"/>
      <c r="C1" s="190"/>
      <c r="D1" s="190"/>
      <c r="E1" s="190"/>
      <c r="F1" s="190"/>
      <c r="G1" s="1062">
        <f>MATCH(B1,'数据-取费表'!A6:A16,0)+5</f>
        <v>8</v>
      </c>
    </row>
    <row r="2" spans="1:9" s="192" customFormat="1" ht="18" customHeight="1">
      <c r="A2" s="193" t="s">
        <v>1458</v>
      </c>
      <c r="B2" s="194">
        <f ca="1">IF(D2="——",C52,C52-E2)</f>
        <v>310</v>
      </c>
      <c r="C2" s="191" t="s">
        <v>1459</v>
      </c>
      <c r="D2" s="1711" t="s">
        <v>43</v>
      </c>
      <c r="E2" s="1089" t="e">
        <f ca="1">SUMIF(INDIRECT("'"&amp;G2&amp;"'"&amp;"!A:A"),"承租人权益价值",INDIRECT("'"&amp;G2&amp;"'"&amp;"!c:c"))</f>
        <v>#REF!</v>
      </c>
      <c r="F2" s="1712" t="s">
        <v>1459</v>
      </c>
      <c r="G2" s="1713"/>
    </row>
    <row r="3" spans="1:9" s="192" customFormat="1" ht="18" customHeight="1" thickBot="1">
      <c r="A3" s="195" t="s">
        <v>1460</v>
      </c>
      <c r="B3" s="196">
        <f ca="1">ROUND(B2*10000/(IF(B1="",'数据-汇总表'!E3,INDIRECT("'数据-取费表'!k"&amp;$G$1))),0)</f>
        <v>9829</v>
      </c>
      <c r="C3" s="191" t="s">
        <v>1461</v>
      </c>
      <c r="D3" s="191"/>
      <c r="E3" s="191"/>
      <c r="F3" s="191"/>
      <c r="G3" s="191"/>
    </row>
    <row r="4" spans="1:9" s="200" customFormat="1" ht="15.75">
      <c r="A4" s="197" t="s">
        <v>1462</v>
      </c>
      <c r="B4" s="198"/>
      <c r="C4" s="198"/>
      <c r="D4" s="198"/>
      <c r="E4" s="198"/>
      <c r="F4" s="198"/>
      <c r="G4" s="199"/>
    </row>
    <row r="5" spans="1:9" s="206" customFormat="1" ht="13.5" customHeight="1">
      <c r="A5" s="247" t="s">
        <v>1463</v>
      </c>
      <c r="B5" s="202" t="s">
        <v>1464</v>
      </c>
      <c r="C5" s="203">
        <f>C6+C7+C8</f>
        <v>0</v>
      </c>
      <c r="D5" s="203" t="s">
        <v>1465</v>
      </c>
      <c r="E5" s="204" t="s">
        <v>1466</v>
      </c>
      <c r="F5" s="204" t="s">
        <v>1467</v>
      </c>
      <c r="G5" s="205"/>
    </row>
    <row r="6" spans="1:9" s="206" customFormat="1" ht="13.5" customHeight="1">
      <c r="A6" s="732" t="s">
        <v>1468</v>
      </c>
      <c r="B6" s="207" t="s">
        <v>1469</v>
      </c>
      <c r="C6" s="208"/>
      <c r="D6" s="209"/>
      <c r="E6" s="210"/>
      <c r="F6" s="210"/>
      <c r="G6" s="211"/>
    </row>
    <row r="7" spans="1:9" s="206" customFormat="1" ht="13.5" customHeight="1">
      <c r="A7" s="732" t="s">
        <v>1470</v>
      </c>
      <c r="B7" s="207" t="s">
        <v>1471</v>
      </c>
      <c r="C7" s="212">
        <f>ROUND(C6*F7,0)</f>
        <v>0</v>
      </c>
      <c r="D7" s="212"/>
      <c r="E7" s="210"/>
      <c r="F7" s="213">
        <f>IF(项目基本情况!B8="出让",0,'数据-取费表'!B48+'数据-取费表'!B49)</f>
        <v>3.0499999999999999E-2</v>
      </c>
      <c r="G7" s="211"/>
    </row>
    <row r="8" spans="1:9" s="215" customFormat="1">
      <c r="A8" s="732" t="s">
        <v>1472</v>
      </c>
      <c r="B8" s="207" t="s">
        <v>1473</v>
      </c>
      <c r="C8" s="212">
        <f>IF(G8="已包含在土地购买价格中","0",IF(B1="",'数据-取费表'!B29,IF(G9="全部缴纳",C9+C10,H9)))</f>
        <v>0</v>
      </c>
      <c r="D8" s="214"/>
      <c r="E8" s="212"/>
      <c r="F8" s="213"/>
      <c r="G8" s="1714"/>
    </row>
    <row r="9" spans="1:9" s="206" customFormat="1" ht="13.5" customHeight="1">
      <c r="A9" s="733" t="s">
        <v>355</v>
      </c>
      <c r="B9" s="216" t="s">
        <v>1474</v>
      </c>
      <c r="C9" s="217">
        <f ca="1">ROUND(D9*E9/10000,0)</f>
        <v>4</v>
      </c>
      <c r="D9" s="795">
        <f ca="1">IF(B1="",'数据-汇总表'!E5,IF(INDIRECT("'数据-取费表'!c"&amp;$G$1)="住宅",INDIRECT("'数据-取费表'!k"&amp;$G$1),0))</f>
        <v>272.99</v>
      </c>
      <c r="E9" s="217">
        <f>'数据-取费表'!B27</f>
        <v>160</v>
      </c>
      <c r="F9" s="213"/>
      <c r="G9" s="1715"/>
      <c r="H9" s="1070"/>
      <c r="I9" s="1716" t="s">
        <v>1475</v>
      </c>
    </row>
    <row r="10" spans="1:9" s="206" customFormat="1" ht="13.5" customHeight="1">
      <c r="A10" s="733" t="s">
        <v>356</v>
      </c>
      <c r="B10" s="216" t="s">
        <v>1476</v>
      </c>
      <c r="C10" s="217">
        <f ca="1">ROUND(D10*E10/10000,0)</f>
        <v>1</v>
      </c>
      <c r="D10" s="795">
        <f ca="1">IF(B1="",'数据-汇总表'!E6,IF(INDIRECT("'数据-取费表'!c"&amp;$G$1)="住宅",INDIRECT("'数据-取费表'!s"&amp;$G$1),INDIRECT("'数据-取费表'!k"&amp;$G$1)+INDIRECT("'数据-取费表'!s"&amp;$G$1)))</f>
        <v>42.399999999999977</v>
      </c>
      <c r="E10" s="217">
        <f>'数据-取费表'!B28</f>
        <v>200</v>
      </c>
      <c r="F10" s="213"/>
      <c r="G10" s="218"/>
    </row>
    <row r="11" spans="1:9" s="206" customFormat="1" ht="13.5" hidden="1" customHeight="1">
      <c r="A11" s="219" t="s">
        <v>4</v>
      </c>
      <c r="B11" s="207" t="s">
        <v>1477</v>
      </c>
      <c r="C11" s="203"/>
      <c r="D11" s="210"/>
      <c r="E11" s="210"/>
      <c r="F11" s="210"/>
      <c r="G11" s="211"/>
    </row>
    <row r="12" spans="1:9" s="206" customFormat="1" ht="13.5" hidden="1" customHeight="1">
      <c r="A12" s="219" t="s">
        <v>5</v>
      </c>
      <c r="B12" s="207" t="s">
        <v>1478</v>
      </c>
      <c r="C12" s="203">
        <v>0</v>
      </c>
      <c r="D12" s="210"/>
      <c r="E12" s="220"/>
      <c r="F12" s="213">
        <v>3.0499999999999999E-2</v>
      </c>
      <c r="G12" s="211"/>
    </row>
    <row r="13" spans="1:9" s="206" customFormat="1" ht="13.5" hidden="1" customHeight="1">
      <c r="A13" s="219" t="s">
        <v>6</v>
      </c>
      <c r="B13" s="207" t="s">
        <v>1479</v>
      </c>
      <c r="C13" s="203"/>
      <c r="D13" s="210"/>
      <c r="E13" s="210"/>
      <c r="F13" s="210"/>
      <c r="G13" s="211"/>
    </row>
    <row r="14" spans="1:9" s="206" customFormat="1" ht="13.5" hidden="1" customHeight="1">
      <c r="A14" s="219" t="s">
        <v>7</v>
      </c>
      <c r="B14" s="207" t="s">
        <v>1480</v>
      </c>
      <c r="C14" s="203"/>
      <c r="D14" s="210"/>
      <c r="E14" s="210"/>
      <c r="F14" s="210"/>
      <c r="G14" s="211" t="s">
        <v>1481</v>
      </c>
    </row>
    <row r="15" spans="1:9" s="206" customFormat="1" ht="13.5" hidden="1" customHeight="1">
      <c r="A15" s="219" t="s">
        <v>8</v>
      </c>
      <c r="B15" s="207" t="s">
        <v>1482</v>
      </c>
      <c r="C15" s="212"/>
      <c r="D15" s="210"/>
      <c r="E15" s="210"/>
      <c r="F15" s="210"/>
      <c r="G15" s="211" t="s">
        <v>1483</v>
      </c>
    </row>
    <row r="16" spans="1:9" s="206" customFormat="1" ht="13.5" hidden="1" customHeight="1">
      <c r="A16" s="219" t="s">
        <v>9</v>
      </c>
      <c r="B16" s="207" t="s">
        <v>1480</v>
      </c>
      <c r="C16" s="212"/>
      <c r="D16" s="210"/>
      <c r="E16" s="210"/>
      <c r="F16" s="210"/>
      <c r="G16" s="211"/>
    </row>
    <row r="17" spans="1:7" s="206" customFormat="1" ht="13.5" hidden="1" customHeight="1">
      <c r="A17" s="219" t="s">
        <v>10</v>
      </c>
      <c r="B17" s="207" t="s">
        <v>1484</v>
      </c>
      <c r="C17" s="221"/>
      <c r="D17" s="221"/>
      <c r="E17" s="221"/>
      <c r="F17" s="221"/>
      <c r="G17" s="211" t="s">
        <v>1483</v>
      </c>
    </row>
    <row r="18" spans="1:7" s="206" customFormat="1" ht="13.5" hidden="1" customHeight="1">
      <c r="A18" s="219" t="s">
        <v>11</v>
      </c>
      <c r="B18" s="207" t="s">
        <v>1485</v>
      </c>
      <c r="C18" s="212">
        <v>0</v>
      </c>
      <c r="D18" s="210"/>
      <c r="E18" s="210"/>
      <c r="F18" s="213">
        <v>3.0499999999999999E-2</v>
      </c>
      <c r="G18" s="211" t="s">
        <v>1486</v>
      </c>
    </row>
    <row r="19" spans="1:7" s="215" customFormat="1" ht="13.5" customHeight="1">
      <c r="A19" s="247" t="s">
        <v>1487</v>
      </c>
      <c r="B19" s="202" t="s">
        <v>1488</v>
      </c>
      <c r="C19" s="203">
        <f ca="1">IF(G19="已包含在土地取得成本中","0",ROUND(D19*E19/10000,0))</f>
        <v>6</v>
      </c>
      <c r="D19" s="204">
        <f ca="1">D9+D10</f>
        <v>315.39</v>
      </c>
      <c r="E19" s="203">
        <f>'数据-取费表'!B31</f>
        <v>200</v>
      </c>
      <c r="F19" s="223"/>
      <c r="G19" s="1714"/>
    </row>
    <row r="20" spans="1:7" s="206" customFormat="1" ht="13.5" customHeight="1">
      <c r="A20" s="247" t="s">
        <v>1489</v>
      </c>
      <c r="B20" s="202" t="s">
        <v>1490</v>
      </c>
      <c r="C20" s="224">
        <f ca="1">ROUND((C5+C19)*F20,0)</f>
        <v>0</v>
      </c>
      <c r="D20" s="224"/>
      <c r="E20" s="224"/>
      <c r="F20" s="225">
        <f>'数据-取费表'!B37</f>
        <v>0.02</v>
      </c>
      <c r="G20" s="226" t="s">
        <v>1491</v>
      </c>
    </row>
    <row r="21" spans="1:7" s="206" customFormat="1" ht="13.5" customHeight="1">
      <c r="A21" s="247" t="s">
        <v>1492</v>
      </c>
      <c r="B21" s="202" t="s">
        <v>1493</v>
      </c>
      <c r="C21" s="227">
        <f>F21</f>
        <v>0.02</v>
      </c>
      <c r="D21" s="228" t="s">
        <v>1494</v>
      </c>
      <c r="E21" s="224"/>
      <c r="F21" s="225">
        <f>'数据-取费表'!B38</f>
        <v>0.02</v>
      </c>
      <c r="G21" s="226" t="s">
        <v>1495</v>
      </c>
    </row>
    <row r="22" spans="1:7" s="206" customFormat="1" ht="13.5" customHeight="1">
      <c r="A22" s="247" t="s">
        <v>1496</v>
      </c>
      <c r="B22" s="202" t="s">
        <v>1497</v>
      </c>
      <c r="C22" s="1041">
        <f ca="1">ROUND(SUM(C23:C25),0)</f>
        <v>0</v>
      </c>
      <c r="D22" s="227">
        <f ca="1">C26</f>
        <v>5.9999999999999995E-4</v>
      </c>
      <c r="E22" s="228" t="s">
        <v>1494</v>
      </c>
      <c r="F22" s="229">
        <f ca="1">'数据-取费表'!B40</f>
        <v>3.1300000000000001E-2</v>
      </c>
      <c r="G22" s="226" t="str">
        <f>IF('数据-取费表'!B22&lt;=1,"单利计息","复利计息")</f>
        <v>复利计息</v>
      </c>
    </row>
    <row r="23" spans="1:7" s="206" customFormat="1" ht="13.5" customHeight="1">
      <c r="A23" s="734" t="s">
        <v>1498</v>
      </c>
      <c r="B23" s="207" t="s">
        <v>1499</v>
      </c>
      <c r="C23" s="1042">
        <f ca="1">ROUND(IF('数据-取费表'!B22&lt;=1,C5*F22*'数据-取费表'!B23,C5*(POWER((1+F22),'数据-取费表'!B23)-1)),0)</f>
        <v>0</v>
      </c>
      <c r="D23" s="230"/>
      <c r="E23" s="230"/>
      <c r="F23" s="231"/>
      <c r="G23" s="232" t="s">
        <v>1500</v>
      </c>
    </row>
    <row r="24" spans="1:7" s="206" customFormat="1" ht="13.5" customHeight="1">
      <c r="A24" s="734" t="s">
        <v>1501</v>
      </c>
      <c r="B24" s="207" t="s">
        <v>1502</v>
      </c>
      <c r="C24" s="1042">
        <f ca="1">ROUND(IF('数据-取费表'!B22&lt;=1,C19*F22*('数据-取费表'!B19/2+'数据-取费表'!B21),C19*(POWER((1+F22),('数据-取费表'!B19/2+'数据-取费表'!B21))-1)),0)</f>
        <v>0</v>
      </c>
      <c r="D24" s="230"/>
      <c r="E24" s="230"/>
      <c r="F24" s="231"/>
      <c r="G24" s="232" t="s">
        <v>1503</v>
      </c>
    </row>
    <row r="25" spans="1:7" s="206" customFormat="1" ht="24">
      <c r="A25" s="734" t="s">
        <v>1504</v>
      </c>
      <c r="B25" s="207" t="s">
        <v>1505</v>
      </c>
      <c r="C25" s="1042">
        <f ca="1">ROUND(IF('数据-取费表'!B22&lt;=1,C20*F22*'数据-取费表'!B23/2,C20*(POWER((1+F22),'数据-取费表'!B23/2)-1)),0)</f>
        <v>0</v>
      </c>
      <c r="D25" s="230"/>
      <c r="E25" s="233"/>
      <c r="F25" s="231"/>
      <c r="G25" s="234" t="s">
        <v>1506</v>
      </c>
    </row>
    <row r="26" spans="1:7" s="206" customFormat="1">
      <c r="A26" s="734" t="s">
        <v>350</v>
      </c>
      <c r="B26" s="207" t="s">
        <v>1507</v>
      </c>
      <c r="C26" s="230">
        <f ca="1">ROUND(IF('数据-取费表'!B22&lt;=1,F21*F22*'数据-取费表'!B23/2,F21*(POWER((1+F22),'数据-取费表'!B23/2)-1)),4)</f>
        <v>5.9999999999999995E-4</v>
      </c>
      <c r="D26" s="230"/>
      <c r="E26" s="233"/>
      <c r="F26" s="231"/>
      <c r="G26" s="235"/>
    </row>
    <row r="27" spans="1:7" s="206" customFormat="1" ht="24.75">
      <c r="A27" s="247" t="s">
        <v>1508</v>
      </c>
      <c r="B27" s="236" t="s">
        <v>1509</v>
      </c>
      <c r="C27" s="237">
        <f ca="1">C28</f>
        <v>1</v>
      </c>
      <c r="D27" s="227">
        <f ca="1">C29</f>
        <v>2.8E-3</v>
      </c>
      <c r="E27" s="228" t="s">
        <v>1510</v>
      </c>
      <c r="F27" s="238">
        <f ca="1">IF(B1="",'数据-取费表'!Q16,INDIRECT("'数据-取费表'!q"&amp;$G$1))</f>
        <v>0.14000000000000001</v>
      </c>
      <c r="G27" s="239" t="s">
        <v>1511</v>
      </c>
    </row>
    <row r="28" spans="1:7" s="206" customFormat="1" ht="13.5" customHeight="1">
      <c r="A28" s="734" t="s">
        <v>346</v>
      </c>
      <c r="B28" s="240" t="s">
        <v>1512</v>
      </c>
      <c r="C28" s="241">
        <f ca="1">ROUND((C5+C19+C20)*F27*'数据-取费表'!B21/'数据-取费表'!B20,0)</f>
        <v>1</v>
      </c>
      <c r="D28" s="227"/>
      <c r="E28" s="228"/>
      <c r="F28" s="238"/>
      <c r="G28" s="239"/>
    </row>
    <row r="29" spans="1:7" s="206" customFormat="1" ht="13.5" customHeight="1">
      <c r="A29" s="734" t="s">
        <v>347</v>
      </c>
      <c r="B29" s="240" t="s">
        <v>1513</v>
      </c>
      <c r="C29" s="230">
        <f ca="1">ROUND(C21*F27*'数据-取费表'!B21/'数据-取费表'!B20,4)</f>
        <v>2.8E-3</v>
      </c>
      <c r="D29" s="227"/>
      <c r="E29" s="228"/>
      <c r="F29" s="238"/>
      <c r="G29" s="239"/>
    </row>
    <row r="30" spans="1:7" s="206" customFormat="1" ht="13.5" customHeight="1">
      <c r="A30" s="247" t="s">
        <v>1514</v>
      </c>
      <c r="B30" s="202" t="s">
        <v>1515</v>
      </c>
      <c r="C30" s="227">
        <f>ROUND(F30/(1+'数据-取费表'!C42),4)</f>
        <v>5.33E-2</v>
      </c>
      <c r="D30" s="228" t="s">
        <v>1510</v>
      </c>
      <c r="E30" s="233"/>
      <c r="F30" s="229">
        <f>'数据-取费表'!B41</f>
        <v>5.6000000000000001E-2</v>
      </c>
      <c r="G30" s="226" t="s">
        <v>1516</v>
      </c>
    </row>
    <row r="31" spans="1:7" ht="16.5" customHeight="1">
      <c r="A31" s="201">
        <v>1</v>
      </c>
      <c r="B31" s="202" t="s">
        <v>1517</v>
      </c>
      <c r="C31" s="203">
        <f ca="1">ROUND((C5+C19+C20+C22+C27)/(1-C21-D22-D27-C30),0)</f>
        <v>8</v>
      </c>
      <c r="D31" s="222"/>
      <c r="E31" s="203"/>
      <c r="F31" s="242"/>
      <c r="G31" s="226" t="s">
        <v>1518</v>
      </c>
    </row>
    <row r="32" spans="1:7" s="200" customFormat="1" ht="15.75">
      <c r="A32" s="244" t="s">
        <v>1519</v>
      </c>
      <c r="B32" s="245"/>
      <c r="C32" s="245"/>
      <c r="D32" s="245"/>
      <c r="E32" s="245"/>
      <c r="F32" s="245"/>
      <c r="G32" s="246"/>
    </row>
    <row r="33" spans="1:7" s="206" customFormat="1" ht="13.5" customHeight="1">
      <c r="A33" s="247" t="s">
        <v>337</v>
      </c>
      <c r="B33" s="202" t="s">
        <v>1520</v>
      </c>
      <c r="C33" s="248">
        <f ca="1">SUM(C34:C38)</f>
        <v>234</v>
      </c>
      <c r="D33" s="224"/>
      <c r="E33" s="204"/>
      <c r="F33" s="233"/>
      <c r="G33" s="226"/>
    </row>
    <row r="34" spans="1:7" s="250" customFormat="1" ht="13.5" customHeight="1">
      <c r="A34" s="734" t="s">
        <v>346</v>
      </c>
      <c r="B34" s="207" t="s">
        <v>1521</v>
      </c>
      <c r="C34" s="212">
        <f ca="1">IF(B1="",IF(F34=100%,'数据-取费表'!M16,'数据-取费表'!O16),IF(F34=100%,INDIRECT("'数据-取费表'!m"&amp;$G$1)+INDIRECT("'数据-取费表'!t"&amp;$G$1),INDIRECT("'数据-取费表'!o"&amp;$G$1)+INDIRECT("'数据-取费表'!aq"&amp;$G$1)))</f>
        <v>205</v>
      </c>
      <c r="D34" s="209"/>
      <c r="E34" s="212"/>
      <c r="F34" s="249">
        <f ca="1">IF('数据-取费表'!B24=0,1,IF(B1="",'数据-取费表'!N16,INDIRECT("'数据-取费表'!n"&amp;$G$1)))</f>
        <v>1</v>
      </c>
      <c r="G34" s="211" t="s">
        <v>1522</v>
      </c>
    </row>
    <row r="35" spans="1:7" ht="13.5" customHeight="1">
      <c r="A35" s="734" t="s">
        <v>351</v>
      </c>
      <c r="B35" s="207" t="s">
        <v>1523</v>
      </c>
      <c r="C35" s="212">
        <f ca="1">ROUND(C34*F35,0)</f>
        <v>10</v>
      </c>
      <c r="D35" s="212"/>
      <c r="E35" s="212"/>
      <c r="F35" s="251">
        <f>'数据-取费表'!B33</f>
        <v>0.05</v>
      </c>
      <c r="G35" s="211" t="s">
        <v>1524</v>
      </c>
    </row>
    <row r="36" spans="1:7" ht="24">
      <c r="A36" s="734" t="s">
        <v>352</v>
      </c>
      <c r="B36" s="207" t="s">
        <v>1525</v>
      </c>
      <c r="C36" s="212">
        <f ca="1">ROUND(IF(B1="",SUMIF('数据-取费表'!C:C,"住宅",IF(F34=100%,'数据-取费表'!M:M,'数据-取费表'!O:O))*F36,IF(INDIRECT("'数据-取费表'!c"&amp;$G$1)="住宅",IF(F34=100%,INDIRECT("'数据-取费表'!m"&amp;$G$1)*F36,INDIRECT("'数据-取费表'!o"&amp;$G$1)*F36),0)),0)</f>
        <v>9</v>
      </c>
      <c r="D36" s="212"/>
      <c r="E36" s="212"/>
      <c r="F36" s="251">
        <f>'数据-取费表'!B34</f>
        <v>0.05</v>
      </c>
      <c r="G36" s="252" t="s">
        <v>1526</v>
      </c>
    </row>
    <row r="37" spans="1:7" s="250" customFormat="1" ht="13.5" customHeight="1">
      <c r="A37" s="734" t="s">
        <v>353</v>
      </c>
      <c r="B37" s="207" t="s">
        <v>1527</v>
      </c>
      <c r="C37" s="241">
        <f ca="1">ROUND(E37*D37*F34/10000,0)</f>
        <v>6</v>
      </c>
      <c r="D37" s="209">
        <f ca="1">D19</f>
        <v>315.39</v>
      </c>
      <c r="E37" s="241">
        <f>'数据-取费表'!B35</f>
        <v>200</v>
      </c>
      <c r="F37" s="251"/>
      <c r="G37" s="253" t="s">
        <v>1528</v>
      </c>
    </row>
    <row r="38" spans="1:7" ht="13.5" customHeight="1">
      <c r="A38" s="734" t="s">
        <v>354</v>
      </c>
      <c r="B38" s="207" t="s">
        <v>1529</v>
      </c>
      <c r="C38" s="212">
        <f ca="1">ROUND(C34*F38,0)</f>
        <v>4</v>
      </c>
      <c r="D38" s="212"/>
      <c r="E38" s="212"/>
      <c r="F38" s="251">
        <f>'数据-取费表'!B36</f>
        <v>0.02</v>
      </c>
      <c r="G38" s="211" t="s">
        <v>1524</v>
      </c>
    </row>
    <row r="39" spans="1:7" s="206" customFormat="1" ht="13.5" customHeight="1">
      <c r="A39" s="247" t="s">
        <v>1530</v>
      </c>
      <c r="B39" s="202" t="s">
        <v>1531</v>
      </c>
      <c r="C39" s="224">
        <f ca="1">ROUND(C33*F20,0)</f>
        <v>5</v>
      </c>
      <c r="D39" s="224"/>
      <c r="E39" s="224"/>
      <c r="F39" s="225">
        <f>F20</f>
        <v>0.02</v>
      </c>
      <c r="G39" s="226" t="s">
        <v>1532</v>
      </c>
    </row>
    <row r="40" spans="1:7" s="206" customFormat="1" ht="13.5" customHeight="1">
      <c r="A40" s="247" t="s">
        <v>1533</v>
      </c>
      <c r="B40" s="202" t="s">
        <v>1534</v>
      </c>
      <c r="C40" s="227">
        <f>F21</f>
        <v>0.02</v>
      </c>
      <c r="D40" s="228" t="s">
        <v>1535</v>
      </c>
      <c r="E40" s="224"/>
      <c r="F40" s="225">
        <f>F21</f>
        <v>0.02</v>
      </c>
      <c r="G40" s="226" t="s">
        <v>1536</v>
      </c>
    </row>
    <row r="41" spans="1:7" s="206" customFormat="1" ht="13.5" customHeight="1">
      <c r="A41" s="247" t="s">
        <v>1537</v>
      </c>
      <c r="B41" s="202" t="s">
        <v>1538</v>
      </c>
      <c r="C41" s="224">
        <f ca="1">ROUND(SUM(C42:C43),0)</f>
        <v>7</v>
      </c>
      <c r="D41" s="227">
        <f ca="1">C44</f>
        <v>5.9999999999999995E-4</v>
      </c>
      <c r="E41" s="228" t="s">
        <v>1535</v>
      </c>
      <c r="F41" s="229">
        <f ca="1">F22</f>
        <v>3.1300000000000001E-2</v>
      </c>
      <c r="G41" s="226" t="str">
        <f>IF('数据-取费表'!B22&lt;=1,"单利计息","复利计息")</f>
        <v>复利计息</v>
      </c>
    </row>
    <row r="42" spans="1:7" ht="13.5" customHeight="1">
      <c r="A42" s="734" t="s">
        <v>346</v>
      </c>
      <c r="B42" s="207" t="s">
        <v>1539</v>
      </c>
      <c r="C42" s="230">
        <f ca="1">ROUND(IF('数据-取费表'!B22&lt;=1,C33*F22*'数据-取费表'!B21/2,C33*(POWER((1+F22),'数据-取费表'!B21/2)-1)),0)</f>
        <v>7</v>
      </c>
      <c r="D42" s="230"/>
      <c r="E42" s="230"/>
      <c r="F42" s="231"/>
      <c r="G42" s="3421" t="s">
        <v>1540</v>
      </c>
    </row>
    <row r="43" spans="1:7" ht="13.5" customHeight="1">
      <c r="A43" s="734" t="s">
        <v>347</v>
      </c>
      <c r="B43" s="207" t="s">
        <v>1541</v>
      </c>
      <c r="C43" s="230">
        <f ca="1">ROUND(IF('数据-取费表'!B22&lt;=1,C39*F22*'数据-取费表'!B21/2,C39*(POWER((1+F22),'数据-取费表'!B21/2)-1)),0)</f>
        <v>0</v>
      </c>
      <c r="D43" s="230"/>
      <c r="E43" s="230"/>
      <c r="F43" s="231"/>
      <c r="G43" s="3422"/>
    </row>
    <row r="44" spans="1:7" ht="13.5" customHeight="1">
      <c r="A44" s="734" t="s">
        <v>348</v>
      </c>
      <c r="B44" s="207" t="s">
        <v>1542</v>
      </c>
      <c r="C44" s="230">
        <f ca="1">ROUND(IF('数据-取费表'!B22&lt;=1,C40*F22*'数据-取费表'!B21/2,C40*(POWER((1+F22),'数据-取费表'!B21/2)-1)),4)</f>
        <v>5.9999999999999995E-4</v>
      </c>
      <c r="D44" s="230"/>
      <c r="E44" s="230"/>
      <c r="F44" s="231"/>
      <c r="G44" s="3423"/>
    </row>
    <row r="45" spans="1:7" s="206" customFormat="1" ht="13.5" customHeight="1">
      <c r="A45" s="247" t="s">
        <v>1543</v>
      </c>
      <c r="B45" s="236" t="s">
        <v>1509</v>
      </c>
      <c r="C45" s="237">
        <f ca="1">C46</f>
        <v>33</v>
      </c>
      <c r="D45" s="227">
        <f ca="1">C47</f>
        <v>2.8E-3</v>
      </c>
      <c r="E45" s="228" t="s">
        <v>1535</v>
      </c>
      <c r="F45" s="238">
        <f ca="1">F27</f>
        <v>0.14000000000000001</v>
      </c>
      <c r="G45" s="239" t="s">
        <v>1544</v>
      </c>
    </row>
    <row r="46" spans="1:7" s="206" customFormat="1" ht="13.5" customHeight="1">
      <c r="A46" s="734" t="s">
        <v>346</v>
      </c>
      <c r="B46" s="240" t="s">
        <v>1545</v>
      </c>
      <c r="C46" s="241">
        <f ca="1">ROUND((C33+C39)*F27,0)</f>
        <v>33</v>
      </c>
      <c r="D46" s="255"/>
      <c r="E46" s="228"/>
      <c r="F46" s="238"/>
      <c r="G46" s="239"/>
    </row>
    <row r="47" spans="1:7" s="206" customFormat="1" ht="13.5" customHeight="1">
      <c r="A47" s="734" t="s">
        <v>347</v>
      </c>
      <c r="B47" s="240" t="s">
        <v>1546</v>
      </c>
      <c r="C47" s="230">
        <f ca="1">ROUND(C40*F27,4)</f>
        <v>2.8E-3</v>
      </c>
      <c r="D47" s="255"/>
      <c r="E47" s="228"/>
      <c r="F47" s="238"/>
      <c r="G47" s="239"/>
    </row>
    <row r="48" spans="1:7" s="206" customFormat="1" ht="13.5" customHeight="1">
      <c r="A48" s="247" t="s">
        <v>1508</v>
      </c>
      <c r="B48" s="202" t="s">
        <v>1547</v>
      </c>
      <c r="C48" s="227">
        <f>ROUND(F30/(1+'数据-取费表'!C42),4)</f>
        <v>5.33E-2</v>
      </c>
      <c r="D48" s="228" t="s">
        <v>1535</v>
      </c>
      <c r="E48" s="224"/>
      <c r="F48" s="229">
        <f>F30</f>
        <v>5.6000000000000001E-2</v>
      </c>
      <c r="G48" s="226" t="s">
        <v>1548</v>
      </c>
    </row>
    <row r="49" spans="1:7" ht="16.5" customHeight="1">
      <c r="A49" s="247" t="s">
        <v>1514</v>
      </c>
      <c r="B49" s="202" t="s">
        <v>1549</v>
      </c>
      <c r="C49" s="224">
        <f ca="1">ROUND((C33+C39+C41+C45)/(1-C40-D41-D45-C48),0)</f>
        <v>302</v>
      </c>
      <c r="D49" s="224"/>
      <c r="E49" s="224"/>
      <c r="F49" s="256"/>
      <c r="G49" s="226" t="s">
        <v>1550</v>
      </c>
    </row>
    <row r="50" spans="1:7" s="250" customFormat="1" ht="24">
      <c r="A50" s="247" t="s">
        <v>1551</v>
      </c>
      <c r="B50" s="202" t="s">
        <v>1552</v>
      </c>
      <c r="C50" s="224"/>
      <c r="D50" s="224"/>
      <c r="E50" s="224"/>
      <c r="F50" s="256">
        <f>IF('数据-取费表'!B24=0,'数据-取费表'!N16,1)</f>
        <v>1</v>
      </c>
      <c r="G50" s="239" t="s">
        <v>1553</v>
      </c>
    </row>
    <row r="51" spans="1:7" ht="16.5" customHeight="1">
      <c r="A51" s="247" t="s">
        <v>1554</v>
      </c>
      <c r="B51" s="202" t="s">
        <v>1555</v>
      </c>
      <c r="C51" s="224">
        <f ca="1">ROUND(C49*F50,0)</f>
        <v>302</v>
      </c>
      <c r="D51" s="224"/>
      <c r="E51" s="224"/>
      <c r="F51" s="256"/>
      <c r="G51" s="226" t="s">
        <v>1556</v>
      </c>
    </row>
    <row r="52" spans="1:7" s="200" customFormat="1" ht="16.5" thickBot="1">
      <c r="A52" s="257" t="s">
        <v>1557</v>
      </c>
      <c r="B52" s="258"/>
      <c r="C52" s="259">
        <f ca="1">C31+C51</f>
        <v>310</v>
      </c>
      <c r="D52" s="258"/>
      <c r="E52" s="258"/>
      <c r="F52" s="258"/>
      <c r="G52" s="260"/>
    </row>
    <row r="55" spans="1:7" ht="15">
      <c r="B55" s="262" t="s">
        <v>1558</v>
      </c>
      <c r="C55" s="263"/>
    </row>
    <row r="56" spans="1:7">
      <c r="B56" s="265" t="s">
        <v>798</v>
      </c>
      <c r="C56" s="267">
        <f ca="1">1-C57</f>
        <v>2.6000000000000023E-2</v>
      </c>
    </row>
    <row r="57" spans="1:7">
      <c r="B57" s="265" t="s">
        <v>799</v>
      </c>
      <c r="C57" s="266">
        <f ca="1">ROUND(C51/C52,3)</f>
        <v>0.97399999999999998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894</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895</v>
      </c>
    </row>
    <row r="6" spans="1:1" ht="18.75">
      <c r="A6" s="1384" t="s">
        <v>896</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估价对象为北京市房地产，为所有。根据《国有土地使用证》[]，估价对象（分摊）出让国有建设用地使用权面积为0平方米，建筑面积为315.39平方米。</v>
      </c>
    </row>
    <row r="8" spans="1:1" ht="57.75">
      <c r="A8" s="1385" t="s">
        <v>897</v>
      </c>
    </row>
    <row r="9" spans="1:1" ht="18.75">
      <c r="A9" s="1384" t="s">
        <v>898</v>
      </c>
    </row>
    <row r="10" spans="1:1" ht="54">
      <c r="A10" s="1382" t="str">
        <f>"估价对象为"&amp;项目基本情况!S2&amp;IF('结果表-地下仓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估价对象为北京市房地产,为开发建设的，该项目尚在开发建设中。根据《国有土地使用证》[]，估价对象（分摊）出让国有建设用地使用权面积为0平方米，规划建筑面积为315.39平方米。</v>
      </c>
    </row>
    <row r="11" spans="1:1" ht="76.5">
      <c r="A11" s="1385" t="s">
        <v>899</v>
      </c>
    </row>
    <row r="12" spans="1:1" ht="18.75">
      <c r="A12" s="1383" t="s">
        <v>900</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901</v>
      </c>
    </row>
    <row r="15" spans="1:1" ht="18">
      <c r="A15" s="1386" t="str">
        <f>TEXT(项目基本情况!D3,"yyyy年m月d日;;")&amp;IF(项目基本情况!D3=项目基本情况!B3,"（评估专业人员实地查勘之日）","")</f>
        <v>2025年12月23日（评估专业人员实地查勘之日）</v>
      </c>
    </row>
    <row r="16" spans="1:1" ht="18.75">
      <c r="A16" s="1381" t="s">
        <v>902</v>
      </c>
    </row>
    <row r="17" spans="1:1" ht="75">
      <c r="A17" s="1382" t="s">
        <v>903</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地下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地下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892</v>
      </c>
    </row>
    <row r="24" spans="1:1" ht="18">
      <c r="A24" s="1387" t="str">
        <f>"本次评估采用的主估价方法为"&amp;'结果表-地下仓储'!K4&amp;"和"&amp;'结果表-地下仓储'!L4&amp;"。"</f>
        <v>本次评估采用的主估价方法为比较法和成本法。</v>
      </c>
    </row>
    <row r="25" spans="1:1" ht="18">
      <c r="A25" s="1387"/>
    </row>
    <row r="26" spans="1:1" ht="18.75">
      <c r="A26" s="1388" t="s">
        <v>893</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1590</v>
      </c>
      <c r="B1" s="121"/>
      <c r="C1" s="1110"/>
      <c r="D1" s="1109"/>
      <c r="E1" s="2568"/>
      <c r="F1" s="2568"/>
      <c r="G1" s="2449"/>
      <c r="H1" s="2568"/>
      <c r="I1" s="2568"/>
      <c r="J1" s="2568"/>
      <c r="K1" s="2569">
        <f>MATCH(C1,'数据-取费表'!A6:A16,0)+5</f>
        <v>8</v>
      </c>
    </row>
    <row r="2" spans="1:33" ht="18" customHeight="1">
      <c r="A2" s="193" t="s">
        <v>1458</v>
      </c>
      <c r="B2" s="196">
        <f ca="1">C32</f>
        <v>-6</v>
      </c>
      <c r="C2" s="268" t="s">
        <v>1591</v>
      </c>
      <c r="D2" s="268"/>
      <c r="E2" s="2568"/>
      <c r="F2" s="2568"/>
      <c r="G2" s="2568"/>
      <c r="H2" s="2568"/>
      <c r="I2" s="2568"/>
      <c r="J2" s="2568"/>
      <c r="K2" s="2568"/>
    </row>
    <row r="3" spans="1:33" ht="18" customHeight="1" thickBot="1">
      <c r="A3" s="195" t="s">
        <v>1460</v>
      </c>
      <c r="B3" s="196">
        <f ca="1">ROUND(B2*10000/IF(C1="",'数据-汇总表'!E3,INDIRECT("'数据-取费表'!K"&amp;$K$1)),0)</f>
        <v>-190</v>
      </c>
      <c r="C3" s="268" t="s">
        <v>1592</v>
      </c>
      <c r="D3" s="268"/>
      <c r="E3" s="2568"/>
      <c r="F3" s="2568"/>
      <c r="G3" s="2568"/>
      <c r="H3" s="2568"/>
      <c r="I3" s="2568"/>
      <c r="J3" s="2568"/>
      <c r="K3" s="2568"/>
    </row>
    <row r="4" spans="1:33" s="739" customFormat="1" ht="16.5" customHeight="1">
      <c r="A4" s="736" t="s">
        <v>1593</v>
      </c>
      <c r="B4" s="737"/>
      <c r="C4" s="775">
        <f>SUM(C8:K8)</f>
        <v>0</v>
      </c>
      <c r="D4" s="737"/>
      <c r="E4" s="737"/>
      <c r="F4" s="737"/>
      <c r="G4" s="737"/>
      <c r="H4" s="737"/>
      <c r="I4" s="737"/>
      <c r="J4" s="737"/>
      <c r="K4" s="738"/>
    </row>
    <row r="5" spans="1:33" s="743" customFormat="1" ht="15">
      <c r="A5" s="740" t="s">
        <v>1594</v>
      </c>
      <c r="B5" s="741" t="s">
        <v>1595</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1596</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1597</v>
      </c>
      <c r="B7" s="123" t="s">
        <v>1598</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1599</v>
      </c>
      <c r="B8" s="156" t="s">
        <v>1600</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1601</v>
      </c>
      <c r="B9" s="737"/>
      <c r="C9" s="737"/>
      <c r="D9" s="737"/>
      <c r="E9" s="737"/>
      <c r="F9" s="737"/>
      <c r="G9" s="737"/>
      <c r="H9" s="737"/>
      <c r="I9" s="737"/>
      <c r="J9" s="737"/>
      <c r="K9" s="738"/>
    </row>
    <row r="10" spans="1:33" s="751" customFormat="1" ht="13.5" customHeight="1">
      <c r="A10" s="740" t="s">
        <v>1602</v>
      </c>
      <c r="B10" s="5" t="s">
        <v>1603</v>
      </c>
      <c r="C10" s="747" t="s">
        <v>1604</v>
      </c>
      <c r="D10" s="748" t="s">
        <v>1605</v>
      </c>
      <c r="E10" s="748" t="s">
        <v>1606</v>
      </c>
      <c r="F10" s="748" t="s">
        <v>1607</v>
      </c>
      <c r="G10" s="5"/>
      <c r="H10" s="749"/>
      <c r="I10" s="749"/>
      <c r="J10" s="749"/>
      <c r="K10" s="750"/>
    </row>
    <row r="11" spans="1:33" s="755" customFormat="1" ht="13.5" customHeight="1">
      <c r="A11" s="752" t="s">
        <v>635</v>
      </c>
      <c r="B11" s="753" t="s">
        <v>1608</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1609</v>
      </c>
      <c r="C12" s="21">
        <f ca="1">ROUND(C11*F12,0)</f>
        <v>0</v>
      </c>
      <c r="D12" s="754"/>
      <c r="E12" s="138"/>
      <c r="F12" s="764">
        <f>'数据-取费表'!B33</f>
        <v>0.05</v>
      </c>
      <c r="G12" s="5" t="s">
        <v>1610</v>
      </c>
      <c r="H12" s="749"/>
      <c r="I12" s="749"/>
      <c r="J12" s="749"/>
      <c r="K12" s="750"/>
    </row>
    <row r="13" spans="1:33" s="755" customFormat="1" ht="13.5" customHeight="1">
      <c r="A13" s="752" t="s">
        <v>637</v>
      </c>
      <c r="B13" s="753" t="s">
        <v>1611</v>
      </c>
      <c r="C13" s="21">
        <f ca="1">ROUND(IF(C1="",SUMIF('数据-取费表'!C:C,"住宅",'数据-取费表'!P:P)*F13,IF(INDIRECT("'数据-取费表'!c"&amp;$K$1)="住宅",INDIRECT("'数据-取费表'!P"&amp;$K$1)*F13,0)),0)</f>
        <v>0</v>
      </c>
      <c r="D13" s="796"/>
      <c r="E13" s="138"/>
      <c r="F13" s="764">
        <f>'数据-取费表'!B34</f>
        <v>0.05</v>
      </c>
      <c r="G13" s="5" t="s">
        <v>1612</v>
      </c>
      <c r="H13" s="749"/>
      <c r="I13" s="749"/>
      <c r="J13" s="749"/>
      <c r="K13" s="750"/>
    </row>
    <row r="14" spans="1:33" s="757" customFormat="1" ht="13.5" customHeight="1">
      <c r="A14" s="752" t="s">
        <v>638</v>
      </c>
      <c r="B14" s="753" t="s">
        <v>1613</v>
      </c>
      <c r="C14" s="21">
        <f ca="1">ROUND(D14*E14*F11/10000,0)</f>
        <v>0</v>
      </c>
      <c r="D14" s="796">
        <f ca="1">IF(C1="",'数据-汇总表'!E3,INDIRECT("'数据-取费表'!K"&amp;$K$1)+INDIRECT("'数据-取费表'!S"&amp;$K$1))</f>
        <v>315.39</v>
      </c>
      <c r="E14" s="21">
        <f>'数据-取费表'!B35</f>
        <v>200</v>
      </c>
      <c r="F14" s="756"/>
      <c r="G14" s="5" t="s">
        <v>1614</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1615</v>
      </c>
      <c r="C15" s="763">
        <f ca="1">ROUND(C11*F15,0)</f>
        <v>0</v>
      </c>
      <c r="D15" s="758"/>
      <c r="E15" s="763"/>
      <c r="F15" s="764">
        <f>'数据-取费表'!B36</f>
        <v>0.02</v>
      </c>
      <c r="G15" s="123" t="s">
        <v>1616</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1617</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1618</v>
      </c>
      <c r="C17" s="21">
        <f ca="1">ROUND(D17*E17/10000,0)</f>
        <v>0</v>
      </c>
      <c r="D17" s="796">
        <f ca="1">D14</f>
        <v>315.39</v>
      </c>
      <c r="E17" s="21">
        <f>'数据-取费表'!B32</f>
        <v>0</v>
      </c>
      <c r="F17" s="758"/>
      <c r="G17" s="123" t="s">
        <v>1619</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1620</v>
      </c>
      <c r="C18" s="21">
        <f ca="1">C19+C20-IF(C1="",'数据-取费表'!B29,IF(G18="已全部缴纳",C19+C20,H18))</f>
        <v>5</v>
      </c>
      <c r="D18" s="796"/>
      <c r="E18" s="21"/>
      <c r="F18" s="756"/>
      <c r="G18" s="1720"/>
      <c r="H18" s="1106"/>
      <c r="I18" s="1721" t="s">
        <v>1621</v>
      </c>
      <c r="J18" s="759"/>
      <c r="K18" s="760"/>
    </row>
    <row r="19" spans="1:33" s="755" customFormat="1" ht="13.5" customHeight="1">
      <c r="A19" s="752" t="s">
        <v>360</v>
      </c>
      <c r="B19" s="753" t="s">
        <v>1622</v>
      </c>
      <c r="C19" s="21">
        <f ca="1">ROUND(D19*E19/10000,0)</f>
        <v>4</v>
      </c>
      <c r="D19" s="796">
        <f ca="1">IF(C1="",'数据-汇总表'!E5,IF(INDIRECT("'数据-取费表'!c"&amp;$K$1)="住宅",INDIRECT("'数据-取费表'!k"&amp;$K$1),0))</f>
        <v>272.99</v>
      </c>
      <c r="E19" s="21">
        <f>'数据-取费表'!B27</f>
        <v>160</v>
      </c>
      <c r="F19" s="756"/>
      <c r="G19" s="12"/>
      <c r="H19" s="1108"/>
      <c r="I19" s="761"/>
      <c r="J19" s="761"/>
      <c r="K19" s="762"/>
    </row>
    <row r="20" spans="1:33" s="755" customFormat="1" ht="13.5" customHeight="1">
      <c r="A20" s="752" t="s">
        <v>361</v>
      </c>
      <c r="B20" s="753" t="s">
        <v>1623</v>
      </c>
      <c r="C20" s="21">
        <f ca="1">ROUND(D20*E20/10000,0)</f>
        <v>1</v>
      </c>
      <c r="D20" s="796">
        <f ca="1">IF(C1="",'数据-汇总表'!E6,IF(INDIRECT("'数据-取费表'!c"&amp;$K$1)="住宅",INDIRECT("'数据-取费表'!s"&amp;$K$1),INDIRECT("'数据-取费表'!k"&amp;$K$1)+INDIRECT("'数据-取费表'!s"&amp;$K$1)))</f>
        <v>42.399999999999977</v>
      </c>
      <c r="E20" s="21">
        <f>'数据-取费表'!B28</f>
        <v>200</v>
      </c>
      <c r="F20" s="756"/>
      <c r="G20" s="12"/>
      <c r="H20" s="761"/>
      <c r="I20" s="761"/>
      <c r="J20" s="761"/>
      <c r="K20" s="762"/>
    </row>
    <row r="21" spans="1:33" s="755" customFormat="1" ht="13.5" customHeight="1">
      <c r="A21" s="744" t="s">
        <v>357</v>
      </c>
      <c r="B21" s="765" t="s">
        <v>1624</v>
      </c>
      <c r="C21" s="766">
        <f ca="1">C16+C17+C18</f>
        <v>5</v>
      </c>
      <c r="D21" s="767"/>
      <c r="E21" s="273"/>
      <c r="F21" s="273"/>
      <c r="G21" s="123" t="s">
        <v>1625</v>
      </c>
      <c r="H21" s="759"/>
      <c r="I21" s="759"/>
      <c r="J21" s="759"/>
      <c r="K21" s="760"/>
    </row>
    <row r="22" spans="1:33" s="755" customFormat="1" ht="13.5" customHeight="1">
      <c r="A22" s="744" t="s">
        <v>1597</v>
      </c>
      <c r="B22" s="765" t="s">
        <v>1626</v>
      </c>
      <c r="C22" s="766">
        <f ca="1">ROUND(C21*F22,0)</f>
        <v>0</v>
      </c>
      <c r="D22" s="273"/>
      <c r="E22" s="273"/>
      <c r="F22" s="768">
        <f>'数据-取费表'!B37</f>
        <v>0.02</v>
      </c>
      <c r="G22" s="5" t="s">
        <v>1627</v>
      </c>
      <c r="H22" s="749"/>
      <c r="I22" s="749"/>
      <c r="J22" s="749"/>
      <c r="K22" s="750"/>
    </row>
    <row r="23" spans="1:33" s="755" customFormat="1" ht="13.5" customHeight="1">
      <c r="A23" s="744" t="s">
        <v>1599</v>
      </c>
      <c r="B23" s="765" t="s">
        <v>1628</v>
      </c>
      <c r="C23" s="766">
        <f ca="1">ROUND(C4*F23*F11,0)</f>
        <v>0</v>
      </c>
      <c r="D23" s="273"/>
      <c r="E23" s="273"/>
      <c r="F23" s="768">
        <f>'数据-取费表'!B38</f>
        <v>0.02</v>
      </c>
      <c r="G23" s="5" t="s">
        <v>1629</v>
      </c>
      <c r="H23" s="749"/>
      <c r="I23" s="749"/>
      <c r="J23" s="749"/>
      <c r="K23" s="750"/>
    </row>
    <row r="24" spans="1:33" s="755" customFormat="1" ht="13.5" customHeight="1">
      <c r="A24" s="744" t="s">
        <v>1630</v>
      </c>
      <c r="B24" s="765" t="s">
        <v>1631</v>
      </c>
      <c r="C24" s="272">
        <f>ROUND(F24/(1+'数据-取费表'!C42),4)</f>
        <v>2.9000000000000001E-2</v>
      </c>
      <c r="D24" s="273" t="s">
        <v>12</v>
      </c>
      <c r="E24" s="273"/>
      <c r="F24" s="768">
        <f>IF(项目基本情况!B8="出让",0,'数据-取费表'!B48+'数据-取费表'!B49)</f>
        <v>3.0499999999999999E-2</v>
      </c>
      <c r="G24" s="5" t="s">
        <v>1632</v>
      </c>
      <c r="H24" s="770"/>
      <c r="I24" s="770"/>
      <c r="J24" s="770"/>
      <c r="K24" s="55"/>
    </row>
    <row r="25" spans="1:33" s="755" customFormat="1" ht="13.5" customHeight="1">
      <c r="A25" s="744" t="s">
        <v>1633</v>
      </c>
      <c r="B25" s="767" t="s">
        <v>1634</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1635</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1636</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1637</v>
      </c>
      <c r="B28" s="1723" t="s">
        <v>1638</v>
      </c>
      <c r="C28" s="279">
        <f ca="1">C30</f>
        <v>1</v>
      </c>
      <c r="D28" s="272">
        <f ca="1">C29</f>
        <v>0</v>
      </c>
      <c r="E28" s="274" t="s">
        <v>12</v>
      </c>
      <c r="F28" s="280">
        <f ca="1">IF(C1="",'数据-取费表'!Q16,INDIRECT("'数据-取费表'!q"&amp;$K$1))</f>
        <v>0.14000000000000001</v>
      </c>
      <c r="G28" s="769"/>
      <c r="H28" s="770"/>
      <c r="I28" s="770"/>
      <c r="J28" s="770"/>
      <c r="K28" s="55"/>
    </row>
    <row r="29" spans="1:33" s="283" customFormat="1" ht="13.5" customHeight="1">
      <c r="A29" s="752" t="s">
        <v>358</v>
      </c>
      <c r="B29" s="773" t="s">
        <v>1639</v>
      </c>
      <c r="C29" s="276">
        <f ca="1">ROUND((1+C24)*F28*'数据-取费表'!B24/'数据-取费表'!B20,4)</f>
        <v>0</v>
      </c>
      <c r="D29" s="276"/>
      <c r="E29" s="277"/>
      <c r="F29" s="282"/>
      <c r="G29" s="123" t="s">
        <v>1640</v>
      </c>
      <c r="H29" s="759"/>
      <c r="I29" s="759"/>
      <c r="J29" s="759"/>
      <c r="K29" s="760"/>
    </row>
    <row r="30" spans="1:33" s="283" customFormat="1" ht="13.5" customHeight="1">
      <c r="A30" s="752" t="s">
        <v>359</v>
      </c>
      <c r="B30" s="773" t="s">
        <v>1641</v>
      </c>
      <c r="C30" s="284">
        <f ca="1">ROUND((C21+C22+C23)*F28,0)</f>
        <v>1</v>
      </c>
      <c r="D30" s="276"/>
      <c r="E30" s="277"/>
      <c r="F30" s="282"/>
      <c r="G30" s="123"/>
      <c r="H30" s="759"/>
      <c r="I30" s="759"/>
      <c r="J30" s="759"/>
      <c r="K30" s="760"/>
    </row>
    <row r="31" spans="1:33" s="755" customFormat="1" ht="13.5" customHeight="1" thickBot="1">
      <c r="A31" s="1724" t="s">
        <v>1642</v>
      </c>
      <c r="B31" s="783" t="s">
        <v>1643</v>
      </c>
      <c r="C31" s="784">
        <f>ROUND(C4*F31/(1+'数据-取费表'!C42),0)</f>
        <v>0</v>
      </c>
      <c r="D31" s="785"/>
      <c r="E31" s="786"/>
      <c r="F31" s="787">
        <f>'数据-取费表'!B41</f>
        <v>5.6000000000000001E-2</v>
      </c>
      <c r="G31" s="788" t="s">
        <v>1644</v>
      </c>
      <c r="H31" s="789"/>
      <c r="I31" s="789"/>
      <c r="J31" s="789"/>
      <c r="K31" s="790"/>
    </row>
    <row r="32" spans="1:33" s="751" customFormat="1" ht="13.5" customHeight="1" thickBot="1">
      <c r="A32" s="449" t="s">
        <v>1645</v>
      </c>
      <c r="B32" s="779"/>
      <c r="C32" s="780">
        <f ca="1">ROUND((C4-C21-C22-C23-C25-C28-C31)/(1+C24+D25+D28),0)</f>
        <v>-6</v>
      </c>
      <c r="D32" s="779"/>
      <c r="E32" s="779"/>
      <c r="F32" s="779"/>
      <c r="G32" s="781" t="s">
        <v>1646</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D48" sqref="D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873</v>
      </c>
      <c r="B1" s="663"/>
      <c r="C1" s="1287"/>
      <c r="D1" s="1271" t="s">
        <v>43</v>
      </c>
      <c r="E1" s="1272" t="s">
        <v>674</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800</v>
      </c>
      <c r="B2" s="1294" t="e">
        <f ca="1">C40+J29+L46</f>
        <v>#DIV/0!</v>
      </c>
      <c r="C2" s="1289" t="s">
        <v>801</v>
      </c>
      <c r="D2" s="1289"/>
      <c r="E2" s="1295"/>
      <c r="F2" s="1296"/>
      <c r="G2" s="2479"/>
      <c r="H2" s="2469"/>
      <c r="I2" s="2469"/>
      <c r="J2" s="2469"/>
      <c r="K2" s="2470"/>
      <c r="L2" s="2469"/>
      <c r="M2" s="2469"/>
    </row>
    <row r="3" spans="1:37" ht="18" customHeight="1" thickBot="1">
      <c r="A3" s="1297" t="s">
        <v>802</v>
      </c>
      <c r="B3" s="1298">
        <f ca="1">IF(ISERROR(B2*10000/F43),0,ROUND(B2*10000/F43,0))</f>
        <v>0</v>
      </c>
      <c r="C3" s="1289" t="s">
        <v>803</v>
      </c>
      <c r="D3" s="1289"/>
      <c r="E3" s="1295"/>
      <c r="F3" s="1296"/>
      <c r="G3" s="2479"/>
      <c r="H3" s="649" t="s">
        <v>872</v>
      </c>
      <c r="I3" s="1290"/>
      <c r="J3" s="1290"/>
      <c r="K3" s="1291"/>
      <c r="L3" s="1290"/>
      <c r="M3" s="1290"/>
    </row>
    <row r="4" spans="1:37" ht="18" customHeight="1">
      <c r="A4" s="287" t="s">
        <v>683</v>
      </c>
      <c r="B4" s="288" t="s">
        <v>684</v>
      </c>
      <c r="C4" s="288" t="s">
        <v>685</v>
      </c>
      <c r="D4" s="288" t="s">
        <v>686</v>
      </c>
      <c r="E4" s="289" t="s">
        <v>687</v>
      </c>
      <c r="F4" s="290"/>
      <c r="G4" s="1292"/>
      <c r="H4" s="287" t="s">
        <v>683</v>
      </c>
      <c r="I4" s="288" t="s">
        <v>684</v>
      </c>
      <c r="J4" s="288" t="s">
        <v>685</v>
      </c>
      <c r="K4" s="288" t="s">
        <v>686</v>
      </c>
      <c r="L4" s="289" t="s">
        <v>687</v>
      </c>
      <c r="M4" s="290"/>
    </row>
    <row r="5" spans="1:37" ht="18" customHeight="1">
      <c r="A5" s="291">
        <v>1</v>
      </c>
      <c r="B5" s="292" t="s">
        <v>688</v>
      </c>
      <c r="C5" s="1007">
        <f ca="1">C6+C10+C12</f>
        <v>0</v>
      </c>
      <c r="D5" s="1273" t="s">
        <v>689</v>
      </c>
      <c r="E5" s="1008"/>
      <c r="F5" s="1009"/>
      <c r="G5" s="1292"/>
      <c r="H5" s="291">
        <v>1</v>
      </c>
      <c r="I5" s="292" t="s">
        <v>688</v>
      </c>
      <c r="J5" s="1007">
        <f ca="1">J6+J10+J12</f>
        <v>0</v>
      </c>
      <c r="K5" s="1273" t="s">
        <v>689</v>
      </c>
      <c r="L5" s="1008"/>
      <c r="M5" s="1009"/>
    </row>
    <row r="6" spans="1:37" ht="18" customHeight="1">
      <c r="A6" s="1006" t="s">
        <v>398</v>
      </c>
      <c r="B6" s="3441" t="s">
        <v>690</v>
      </c>
      <c r="C6" s="1011">
        <f ca="1">ROUND(F6*F8*F7*(1-F9)/10000,0)</f>
        <v>0</v>
      </c>
      <c r="D6" s="147" t="s">
        <v>2103</v>
      </c>
      <c r="E6" s="294" t="s">
        <v>692</v>
      </c>
      <c r="F6" s="295">
        <f ca="1">INDIRECT("'数据-取费表'!u"&amp;$G$1)</f>
        <v>0</v>
      </c>
      <c r="G6" s="1292"/>
      <c r="H6" s="1006" t="s">
        <v>398</v>
      </c>
      <c r="I6" s="3441" t="s">
        <v>690</v>
      </c>
      <c r="J6" s="293">
        <f ca="1">ROUND(M6*M8*M7*(1-M9)/10000,0)</f>
        <v>0</v>
      </c>
      <c r="K6" s="147" t="s">
        <v>2102</v>
      </c>
      <c r="L6" s="294" t="s">
        <v>692</v>
      </c>
      <c r="M6" s="295">
        <f ca="1">INDIRECT("'数据-取费表'!z"&amp;$G$1)</f>
        <v>0</v>
      </c>
    </row>
    <row r="7" spans="1:37" ht="18" customHeight="1">
      <c r="A7" s="1010"/>
      <c r="B7" s="3442"/>
      <c r="C7" s="1012"/>
      <c r="D7" s="299"/>
      <c r="E7" s="1013" t="s">
        <v>693</v>
      </c>
      <c r="F7" s="295">
        <f ca="1">IF(INDIRECT("'数据-取费表'!ah"&amp;$G$1)="",INDIRECT("'数据-取费表'!k"&amp;$G$1),INDIRECT("'数据-取费表'!ah"&amp;$G$1))</f>
        <v>0</v>
      </c>
      <c r="G7" s="1292"/>
      <c r="H7" s="296"/>
      <c r="I7" s="3442"/>
      <c r="J7" s="298"/>
      <c r="K7" s="299"/>
      <c r="L7" s="294" t="s">
        <v>693</v>
      </c>
      <c r="M7" s="295">
        <f ca="1">F7</f>
        <v>0</v>
      </c>
    </row>
    <row r="8" spans="1:37" ht="18" customHeight="1">
      <c r="A8" s="296"/>
      <c r="B8" s="3442"/>
      <c r="C8" s="298"/>
      <c r="D8" s="299"/>
      <c r="E8" s="294" t="s">
        <v>694</v>
      </c>
      <c r="F8" s="295">
        <f ca="1">INDIRECT("'数据-取费表'!ai"&amp;$G$1)</f>
        <v>0</v>
      </c>
      <c r="G8" s="1292"/>
      <c r="H8" s="296"/>
      <c r="I8" s="3442"/>
      <c r="J8" s="298"/>
      <c r="K8" s="299"/>
      <c r="L8" s="294" t="s">
        <v>694</v>
      </c>
      <c r="M8" s="295">
        <f ca="1">INDIRECT("'数据-取费表'!ai"&amp;$G$1)</f>
        <v>0</v>
      </c>
    </row>
    <row r="9" spans="1:37" ht="18" customHeight="1">
      <c r="A9" s="296"/>
      <c r="B9" s="3443"/>
      <c r="C9" s="298"/>
      <c r="D9" s="299"/>
      <c r="E9" s="294" t="s">
        <v>695</v>
      </c>
      <c r="F9" s="304">
        <f ca="1">INDIRECT("'数据-取费表'!w"&amp;$G$1)</f>
        <v>0</v>
      </c>
      <c r="G9" s="1292"/>
      <c r="H9" s="296"/>
      <c r="I9" s="3443"/>
      <c r="J9" s="298"/>
      <c r="K9" s="299"/>
      <c r="L9" s="305" t="s">
        <v>695</v>
      </c>
      <c r="M9" s="306">
        <f ca="1">INDIRECT("'数据-取费表'!ab"&amp;$G$1)</f>
        <v>0</v>
      </c>
    </row>
    <row r="10" spans="1:37" ht="18" customHeight="1">
      <c r="A10" s="1006" t="s">
        <v>402</v>
      </c>
      <c r="B10" s="1274" t="s">
        <v>696</v>
      </c>
      <c r="C10" s="308">
        <f ca="1">ROUND(IF(F10="押一",C6/12*F11,IF(F10="押二",C6/12*2*F11,IF(F10="押三",C6/12*3*F11,C11*F11))),0)</f>
        <v>0</v>
      </c>
      <c r="D10" s="150" t="s">
        <v>2111</v>
      </c>
      <c r="E10" s="305" t="s">
        <v>697</v>
      </c>
      <c r="F10" s="1053"/>
      <c r="G10" s="1292"/>
      <c r="H10" s="1006" t="s">
        <v>402</v>
      </c>
      <c r="I10" s="1274" t="s">
        <v>696</v>
      </c>
      <c r="J10" s="293">
        <f ca="1">ROUND(IF(M10="押一",J6/12*M11,IF(M10="押二",J6/12*2*M11,IF(M10="押三",J6/12*3*M11,J11*M11))),0)</f>
        <v>0</v>
      </c>
      <c r="K10" s="150" t="s">
        <v>2110</v>
      </c>
      <c r="L10" s="305" t="s">
        <v>697</v>
      </c>
      <c r="M10" s="1053"/>
    </row>
    <row r="11" spans="1:37" ht="18" customHeight="1">
      <c r="A11" s="300"/>
      <c r="B11" s="1275" t="s">
        <v>675</v>
      </c>
      <c r="C11" s="905"/>
      <c r="D11" s="1276"/>
      <c r="E11" s="305" t="s">
        <v>698</v>
      </c>
      <c r="F11" s="306">
        <f ca="1">'数据-取费表'!B39</f>
        <v>1.4999999999999999E-2</v>
      </c>
      <c r="G11" s="1292"/>
      <c r="H11" s="1014"/>
      <c r="I11" s="1275" t="s">
        <v>675</v>
      </c>
      <c r="J11" s="905"/>
      <c r="K11" s="646"/>
      <c r="L11" s="305" t="s">
        <v>698</v>
      </c>
      <c r="M11" s="809">
        <f ca="1">'数据-取费表'!B39</f>
        <v>1.4999999999999999E-2</v>
      </c>
    </row>
    <row r="12" spans="1:37" ht="18" customHeight="1" thickBot="1">
      <c r="A12" s="1020" t="s">
        <v>437</v>
      </c>
      <c r="B12" s="1277" t="s">
        <v>699</v>
      </c>
      <c r="C12" s="1021"/>
      <c r="D12" s="1022"/>
      <c r="E12" s="1027"/>
      <c r="F12" s="1023"/>
      <c r="G12" s="1292"/>
      <c r="H12" s="1020" t="s">
        <v>437</v>
      </c>
      <c r="I12" s="1277" t="s">
        <v>699</v>
      </c>
      <c r="J12" s="1021"/>
      <c r="K12" s="1035"/>
      <c r="L12" s="1027"/>
      <c r="M12" s="1036"/>
    </row>
    <row r="13" spans="1:37" ht="18" customHeight="1" thickTop="1">
      <c r="A13" s="1016">
        <v>2</v>
      </c>
      <c r="B13" s="1017" t="s">
        <v>700</v>
      </c>
      <c r="C13" s="302">
        <f ca="1">ROUND(C29*F13,0)</f>
        <v>0</v>
      </c>
      <c r="D13" s="1018" t="s">
        <v>701</v>
      </c>
      <c r="E13" s="1018" t="s">
        <v>702</v>
      </c>
      <c r="F13" s="1019">
        <f ca="1">INDIRECT("'数据-取费表'!y"&amp;$G$1)</f>
        <v>0</v>
      </c>
      <c r="G13" s="1292"/>
      <c r="H13" s="1016">
        <v>2</v>
      </c>
      <c r="I13" s="1017" t="s">
        <v>700</v>
      </c>
      <c r="J13" s="1005">
        <f ca="1">ROUND(J14*J15,0)</f>
        <v>0</v>
      </c>
      <c r="K13" s="1024" t="s">
        <v>701</v>
      </c>
      <c r="L13" s="1299"/>
      <c r="M13" s="1300"/>
    </row>
    <row r="14" spans="1:37" ht="18" customHeight="1">
      <c r="A14" s="928" t="s">
        <v>397</v>
      </c>
      <c r="B14" s="294" t="s">
        <v>703</v>
      </c>
      <c r="C14" s="310">
        <f ca="1">INDIRECT("'数据-取费表'!m"&amp;$G$1)+INDIRECT("'数据-取费表'!t"&amp;$G$1)</f>
        <v>0</v>
      </c>
      <c r="D14" s="1257" t="s">
        <v>704</v>
      </c>
      <c r="E14" s="1255"/>
      <c r="F14" s="311"/>
      <c r="G14" s="1292"/>
      <c r="H14" s="928" t="s">
        <v>398</v>
      </c>
      <c r="I14" s="294" t="s">
        <v>705</v>
      </c>
      <c r="J14" s="21">
        <f ca="1">C29</f>
        <v>0</v>
      </c>
      <c r="K14" s="12"/>
      <c r="L14" s="759"/>
      <c r="M14" s="760"/>
    </row>
    <row r="15" spans="1:37" s="1304" customFormat="1" ht="18" customHeight="1" thickBot="1">
      <c r="A15" s="928" t="s">
        <v>399</v>
      </c>
      <c r="B15" s="294" t="s">
        <v>706</v>
      </c>
      <c r="C15" s="21">
        <f ca="1">ROUND(C14*F15,0)</f>
        <v>0</v>
      </c>
      <c r="D15" s="312" t="s">
        <v>707</v>
      </c>
      <c r="E15" s="312" t="s">
        <v>708</v>
      </c>
      <c r="F15" s="313">
        <f>'数据-取费表'!B33</f>
        <v>0.05</v>
      </c>
      <c r="G15" s="1303"/>
      <c r="H15" s="1026" t="s">
        <v>402</v>
      </c>
      <c r="I15" s="1027" t="s">
        <v>702</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676</v>
      </c>
      <c r="B16" s="294" t="s">
        <v>709</v>
      </c>
      <c r="C16" s="21">
        <f ca="1">ROUND(INDIRECT("'数据-取费表'!m"&amp;$G$1)*F16,0)</f>
        <v>0</v>
      </c>
      <c r="D16" s="294" t="s">
        <v>707</v>
      </c>
      <c r="E16" s="294" t="s">
        <v>708</v>
      </c>
      <c r="F16" s="314">
        <f ca="1">IF(INDIRECT("'数据-取费表'!c"&amp;$G$1)="住宅",'数据-取费表'!B34,0)</f>
        <v>0</v>
      </c>
      <c r="G16" s="1292"/>
      <c r="H16" s="1016" t="s">
        <v>393</v>
      </c>
      <c r="I16" s="1017" t="s">
        <v>710</v>
      </c>
      <c r="J16" s="302">
        <f ca="1">ROUND(J17+J22+J23+J24,0)</f>
        <v>0</v>
      </c>
      <c r="K16" s="1024" t="s">
        <v>711</v>
      </c>
      <c r="L16" s="1025"/>
      <c r="M16" s="1009"/>
    </row>
    <row r="17" spans="1:37" s="1304" customFormat="1" ht="18" customHeight="1">
      <c r="A17" s="928" t="s">
        <v>677</v>
      </c>
      <c r="B17" s="294" t="s">
        <v>712</v>
      </c>
      <c r="C17" s="21">
        <f ca="1">ROUND(F17*(F43+INDIRECT("'数据-取费表'!S"&amp;$G$1))/10000,0)</f>
        <v>0</v>
      </c>
      <c r="D17" s="294" t="s">
        <v>713</v>
      </c>
      <c r="E17" s="294" t="s">
        <v>714</v>
      </c>
      <c r="F17" s="23">
        <f>'数据-取费表'!B35</f>
        <v>200</v>
      </c>
      <c r="G17" s="1303"/>
      <c r="H17" s="928" t="s">
        <v>398</v>
      </c>
      <c r="I17" s="294" t="s">
        <v>715</v>
      </c>
      <c r="J17" s="2140">
        <f ca="1">ROUND(IF(AND(项目基本情况!B11="自然人",项目基本情况!B10="北京市"),J6*M17/(1+'数据-取费表'!C42),J18+J19+J20),2)</f>
        <v>0</v>
      </c>
      <c r="K17" s="1257" t="s">
        <v>716</v>
      </c>
      <c r="L17" s="1256" t="s">
        <v>717</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678</v>
      </c>
      <c r="B18" s="294" t="s">
        <v>718</v>
      </c>
      <c r="C18" s="21">
        <f ca="1">ROUND(C14*F18,0)</f>
        <v>0</v>
      </c>
      <c r="D18" s="294" t="s">
        <v>707</v>
      </c>
      <c r="E18" s="294" t="s">
        <v>708</v>
      </c>
      <c r="F18" s="314">
        <f>'数据-取费表'!B36</f>
        <v>0.02</v>
      </c>
      <c r="G18" s="1303"/>
      <c r="H18" s="928" t="s">
        <v>397</v>
      </c>
      <c r="I18" s="294" t="s">
        <v>719</v>
      </c>
      <c r="J18" s="21">
        <f ca="1">ROUND(J6*M18/(1+'数据-取费表'!C42),2)</f>
        <v>0</v>
      </c>
      <c r="K18" s="1256" t="s">
        <v>720</v>
      </c>
      <c r="L18" s="294" t="s">
        <v>708</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721</v>
      </c>
      <c r="C19" s="21">
        <f ca="1">SUM(C14:C18)</f>
        <v>0</v>
      </c>
      <c r="D19" s="123" t="s">
        <v>722</v>
      </c>
      <c r="E19" s="1269"/>
      <c r="F19" s="23"/>
      <c r="G19" s="1292"/>
      <c r="H19" s="928" t="s">
        <v>399</v>
      </c>
      <c r="I19" s="294" t="s">
        <v>723</v>
      </c>
      <c r="J19" s="21">
        <f ca="1">IF(K19="按租金收入计税",ROUND(J6*M19/(1+'数据-取费表'!C42),2),ROUND(C29*M19*0.7,2))</f>
        <v>0</v>
      </c>
      <c r="K19" s="1278" t="s">
        <v>3319</v>
      </c>
      <c r="L19" s="294" t="s">
        <v>708</v>
      </c>
      <c r="M19" s="314">
        <f>IF(K19="按租金收入计税",'数据-取费表'!B51,'数据-取费表'!B50)</f>
        <v>0.12</v>
      </c>
    </row>
    <row r="20" spans="1:37" s="1304" customFormat="1" ht="18" customHeight="1">
      <c r="A20" s="928" t="s">
        <v>402</v>
      </c>
      <c r="B20" s="294" t="s">
        <v>724</v>
      </c>
      <c r="C20" s="21">
        <f ca="1">ROUND(C19*F20,0)</f>
        <v>0</v>
      </c>
      <c r="D20" s="315" t="s">
        <v>725</v>
      </c>
      <c r="E20" s="294" t="s">
        <v>708</v>
      </c>
      <c r="F20" s="314">
        <f>'数据-取费表'!B37</f>
        <v>0.02</v>
      </c>
      <c r="G20" s="1303"/>
      <c r="H20" s="928" t="s">
        <v>676</v>
      </c>
      <c r="I20" s="147" t="s">
        <v>726</v>
      </c>
      <c r="J20" s="22">
        <f ca="1">ROUND(M20*M21/10000,2)</f>
        <v>0</v>
      </c>
      <c r="K20" s="316" t="s">
        <v>727</v>
      </c>
      <c r="L20" s="294" t="s">
        <v>728</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729</v>
      </c>
      <c r="C21" s="21" t="s">
        <v>15</v>
      </c>
      <c r="D21" s="315" t="s">
        <v>730</v>
      </c>
      <c r="E21" s="294" t="s">
        <v>731</v>
      </c>
      <c r="F21" s="314">
        <f>'数据-取费表'!B38</f>
        <v>0.02</v>
      </c>
      <c r="G21" s="1303"/>
      <c r="H21" s="318"/>
      <c r="I21" s="303"/>
      <c r="J21" s="26"/>
      <c r="K21" s="319"/>
      <c r="L21" s="294" t="s">
        <v>732</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679</v>
      </c>
      <c r="B22" s="294" t="s">
        <v>733</v>
      </c>
      <c r="C22" s="21"/>
      <c r="D22" s="123" t="str">
        <f>IF(F23&lt;=1,"单利计息。","复利计息。")&amp;"建造成本、管理费用、销售费用产生的利息。"</f>
        <v>复利计息。建造成本、管理费用、销售费用产生的利息。</v>
      </c>
      <c r="E22" s="1269"/>
      <c r="F22" s="23"/>
      <c r="G22" s="1292"/>
      <c r="H22" s="928" t="s">
        <v>402</v>
      </c>
      <c r="I22" s="294" t="s">
        <v>734</v>
      </c>
      <c r="J22" s="21">
        <f ca="1">ROUND(J14*M22,2)</f>
        <v>0</v>
      </c>
      <c r="K22" s="1256" t="s">
        <v>735</v>
      </c>
      <c r="L22" s="294" t="s">
        <v>708</v>
      </c>
      <c r="M22" s="320">
        <f ca="1">INDIRECT("'数据-取费表'!Ak"&amp;$G$1)</f>
        <v>0</v>
      </c>
    </row>
    <row r="23" spans="1:37" s="1304" customFormat="1" ht="18" customHeight="1">
      <c r="A23" s="928" t="s">
        <v>397</v>
      </c>
      <c r="B23" s="294" t="s">
        <v>736</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737</v>
      </c>
      <c r="F23" s="317">
        <f>'数据-取费表'!B20</f>
        <v>2</v>
      </c>
      <c r="G23" s="1303"/>
      <c r="H23" s="928" t="s">
        <v>437</v>
      </c>
      <c r="I23" s="294" t="s">
        <v>738</v>
      </c>
      <c r="J23" s="21">
        <f ca="1">ROUND(J13*M23,2)</f>
        <v>0</v>
      </c>
      <c r="K23" s="1256" t="s">
        <v>739</v>
      </c>
      <c r="L23" s="294" t="s">
        <v>740</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3.1300000000000001E-2</v>
      </c>
      <c r="G24" s="1303"/>
      <c r="H24" s="1026" t="s">
        <v>680</v>
      </c>
      <c r="I24" s="1027" t="s">
        <v>724</v>
      </c>
      <c r="J24" s="1028">
        <f ca="1">ROUND(J5*M24,2)</f>
        <v>0</v>
      </c>
      <c r="K24" s="1029" t="s">
        <v>744</v>
      </c>
      <c r="L24" s="1027" t="s">
        <v>740</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745</v>
      </c>
      <c r="B25" s="294" t="s">
        <v>746</v>
      </c>
      <c r="C25" s="21"/>
      <c r="D25" s="123" t="s">
        <v>747</v>
      </c>
      <c r="E25" s="1269"/>
      <c r="F25" s="23"/>
      <c r="G25" s="1292"/>
      <c r="H25" s="1016" t="s">
        <v>394</v>
      </c>
      <c r="I25" s="1031" t="s">
        <v>748</v>
      </c>
      <c r="J25" s="302">
        <f ca="1">J5-J16</f>
        <v>0</v>
      </c>
      <c r="K25" s="1032" t="s">
        <v>749</v>
      </c>
      <c r="L25" s="1033"/>
      <c r="M25" s="1034"/>
    </row>
    <row r="26" spans="1:37">
      <c r="A26" s="928" t="s">
        <v>397</v>
      </c>
      <c r="B26" s="294" t="s">
        <v>750</v>
      </c>
      <c r="C26" s="21">
        <f ca="1">ROUND((C19+C20)*F26,0)</f>
        <v>0</v>
      </c>
      <c r="D26" s="315" t="s">
        <v>751</v>
      </c>
      <c r="E26" s="305" t="s">
        <v>752</v>
      </c>
      <c r="F26" s="304">
        <f ca="1">INDIRECT("'数据-取费表'!q"&amp;$G$1)</f>
        <v>0</v>
      </c>
      <c r="G26" s="1292"/>
      <c r="H26" s="291" t="s">
        <v>395</v>
      </c>
      <c r="I26" s="292" t="s">
        <v>753</v>
      </c>
      <c r="J26" s="293">
        <f ca="1">IF(J5&lt;&gt;0,ROUND(J25*(1-((1+M28)/(1+M26))^M27)/(M26-M28),0),0)</f>
        <v>0</v>
      </c>
      <c r="K26" s="316" t="s">
        <v>754</v>
      </c>
      <c r="L26" s="294" t="s">
        <v>755</v>
      </c>
      <c r="M26" s="304">
        <f ca="1">INDIRECT("'数据-取费表'!I"&amp;$G$1)</f>
        <v>0</v>
      </c>
    </row>
    <row r="27" spans="1:37" ht="18" customHeight="1">
      <c r="A27" s="928" t="s">
        <v>399</v>
      </c>
      <c r="B27" s="294" t="s">
        <v>756</v>
      </c>
      <c r="C27" s="21">
        <f ca="1">ROUND(F21*F26,4)</f>
        <v>0</v>
      </c>
      <c r="D27" s="315" t="s">
        <v>757</v>
      </c>
      <c r="E27" s="312"/>
      <c r="F27" s="313"/>
      <c r="G27" s="1292"/>
      <c r="H27" s="296"/>
      <c r="I27" s="297"/>
      <c r="J27" s="298"/>
      <c r="K27" s="323" t="s">
        <v>758</v>
      </c>
      <c r="L27" s="294" t="s">
        <v>759</v>
      </c>
      <c r="M27" s="324">
        <f ca="1">INDIRECT("'数据-取费表'!ag"&amp;$G$1)</f>
        <v>0</v>
      </c>
    </row>
    <row r="28" spans="1:37" s="1304" customFormat="1" ht="18" customHeight="1">
      <c r="A28" s="928" t="s">
        <v>400</v>
      </c>
      <c r="B28" s="294" t="s">
        <v>760</v>
      </c>
      <c r="C28" s="21">
        <f>ROUND(F28/(1+'数据-取费表'!C42),4)</f>
        <v>5.33E-2</v>
      </c>
      <c r="D28" s="315" t="s">
        <v>761</v>
      </c>
      <c r="E28" s="294" t="s">
        <v>708</v>
      </c>
      <c r="F28" s="314">
        <f>'数据-取费表'!B41</f>
        <v>5.6000000000000001E-2</v>
      </c>
      <c r="G28" s="1303"/>
      <c r="H28" s="300"/>
      <c r="I28" s="301"/>
      <c r="J28" s="302"/>
      <c r="K28" s="319"/>
      <c r="L28" s="294" t="s">
        <v>762</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763</v>
      </c>
      <c r="C29" s="1028">
        <f ca="1">ROUND((C19+C20+C23+C26)/(1-F21-C24-C27-C28),0)</f>
        <v>0</v>
      </c>
      <c r="D29" s="1029"/>
      <c r="E29" s="1027"/>
      <c r="F29" s="1030"/>
      <c r="G29" s="1303"/>
      <c r="H29" s="325" t="s">
        <v>396</v>
      </c>
      <c r="I29" s="326" t="s">
        <v>764</v>
      </c>
      <c r="J29" s="327">
        <f ca="1">ROUND(J26/(1+F40)^F41,0)</f>
        <v>0</v>
      </c>
      <c r="K29" s="328" t="s">
        <v>765</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710</v>
      </c>
      <c r="C30" s="302">
        <f ca="1">ROUND(C31+C36+C37+C38,0)</f>
        <v>0</v>
      </c>
      <c r="D30" s="1024" t="s">
        <v>711</v>
      </c>
      <c r="E30" s="1025"/>
      <c r="F30" s="1009"/>
      <c r="G30" s="1292"/>
      <c r="H30" s="2471"/>
      <c r="I30" s="1305"/>
      <c r="J30" s="1306"/>
      <c r="K30" s="121"/>
      <c r="L30" s="2472"/>
      <c r="M30" s="2473"/>
    </row>
    <row r="31" spans="1:37" ht="18" customHeight="1">
      <c r="A31" s="928" t="s">
        <v>398</v>
      </c>
      <c r="B31" s="294" t="s">
        <v>715</v>
      </c>
      <c r="C31" s="2140">
        <f ca="1">ROUND(IF(AND(项目基本情况!B11="自然人",项目基本情况!B10="北京市"),C6*F31/(1+'数据-取费表'!C42),C32+C33+C34),2)</f>
        <v>0</v>
      </c>
      <c r="D31" s="1257" t="s">
        <v>716</v>
      </c>
      <c r="E31" s="1256" t="s">
        <v>766</v>
      </c>
      <c r="F31" s="2139" t="str">
        <f>IF(项目基本情况!B11="企业","——",IF(M47="住宅",IF(F6*F7*F8/12/(1+'数据-取费表'!F30)&gt;100000,4%,2.5%),IF(F6*F7*F8/12/(1+'数据-取费表'!F30)&gt;100000,12%,7%)))</f>
        <v>——</v>
      </c>
      <c r="G31" s="1292"/>
      <c r="H31" s="2570" t="s">
        <v>2291</v>
      </c>
      <c r="I31" s="1305"/>
      <c r="J31" s="1306"/>
      <c r="K31" s="121"/>
      <c r="L31" s="2472"/>
      <c r="M31" s="2473"/>
    </row>
    <row r="32" spans="1:37" ht="18" customHeight="1">
      <c r="A32" s="928" t="s">
        <v>397</v>
      </c>
      <c r="B32" s="294" t="s">
        <v>719</v>
      </c>
      <c r="C32" s="21">
        <f ca="1">IF(项目基本情况!B11="自然人","——",ROUND(C6*F32/(1+'数据-取费表'!C42),2))</f>
        <v>0</v>
      </c>
      <c r="D32" s="1256" t="s">
        <v>720</v>
      </c>
      <c r="E32" s="294" t="s">
        <v>708</v>
      </c>
      <c r="F32" s="322">
        <f>'数据-取费表'!B41</f>
        <v>5.6000000000000001E-2</v>
      </c>
      <c r="G32" s="1292"/>
      <c r="H32" s="2471"/>
      <c r="I32" s="1305"/>
      <c r="J32" s="1306"/>
      <c r="K32" s="121"/>
      <c r="L32" s="2472"/>
      <c r="M32" s="2473"/>
    </row>
    <row r="33" spans="1:18" ht="18" customHeight="1">
      <c r="A33" s="928" t="s">
        <v>399</v>
      </c>
      <c r="B33" s="294" t="s">
        <v>723</v>
      </c>
      <c r="C33" s="21">
        <f ca="1">IF(项目基本情况!B11="自然人","——",IF(D33="按租金收入计税",ROUND(C6*F33/(1+'数据-取费表'!C42),2),IF(D33="按房产原值计税",ROUND(C29*F33*0.7,2),INDIRECT("'数据-取费表'!Aj"&amp;$G$1))))</f>
        <v>0</v>
      </c>
      <c r="D33" s="1278" t="s">
        <v>3319</v>
      </c>
      <c r="E33" s="294" t="s">
        <v>708</v>
      </c>
      <c r="F33" s="314">
        <f>IF(D33="按票据","——",IF(D33="按租金收入计税",'数据-取费表'!B51,'数据-取费表'!B50))</f>
        <v>0.12</v>
      </c>
      <c r="G33" s="1292"/>
      <c r="H33" s="2474"/>
      <c r="I33" s="1305"/>
      <c r="J33" s="1306"/>
      <c r="K33" s="2475"/>
      <c r="L33" s="2474"/>
      <c r="M33" s="2474"/>
    </row>
    <row r="34" spans="1:18" ht="18" customHeight="1">
      <c r="A34" s="1006" t="s">
        <v>676</v>
      </c>
      <c r="B34" s="147" t="s">
        <v>726</v>
      </c>
      <c r="C34" s="22">
        <f ca="1">IF(项目基本情况!B11="自然人","——",ROUND(F34*F35/10000,2))</f>
        <v>0</v>
      </c>
      <c r="D34" s="316" t="s">
        <v>727</v>
      </c>
      <c r="E34" s="294" t="s">
        <v>728</v>
      </c>
      <c r="F34" s="317">
        <f>'数据-取费表'!B52</f>
        <v>3</v>
      </c>
      <c r="G34" s="1292"/>
      <c r="H34" s="2471"/>
      <c r="I34" s="1305"/>
      <c r="J34" s="1306"/>
      <c r="K34" s="2476"/>
      <c r="L34" s="2477"/>
      <c r="M34" s="2477"/>
    </row>
    <row r="35" spans="1:18" ht="18" customHeight="1">
      <c r="A35" s="1040"/>
      <c r="B35" s="1038"/>
      <c r="C35" s="26"/>
      <c r="D35" s="319"/>
      <c r="E35" s="294" t="s">
        <v>732</v>
      </c>
      <c r="F35" s="295">
        <f ca="1">INDIRECT("'数据-取费表'!r"&amp;$G$1)</f>
        <v>0</v>
      </c>
      <c r="G35" s="1292"/>
      <c r="H35" s="2471"/>
      <c r="I35" s="1305"/>
      <c r="J35" s="1306"/>
      <c r="K35" s="2475"/>
      <c r="L35" s="2474"/>
      <c r="M35" s="2474"/>
    </row>
    <row r="36" spans="1:18" ht="18" customHeight="1">
      <c r="A36" s="1039" t="s">
        <v>402</v>
      </c>
      <c r="B36" s="294" t="s">
        <v>734</v>
      </c>
      <c r="C36" s="21">
        <f ca="1">ROUND(C29*F36,2)</f>
        <v>0</v>
      </c>
      <c r="D36" s="1256" t="s">
        <v>767</v>
      </c>
      <c r="E36" s="294" t="s">
        <v>708</v>
      </c>
      <c r="F36" s="320">
        <f ca="1">INDIRECT("'数据-取费表'!Ak"&amp;$G$1)</f>
        <v>0</v>
      </c>
      <c r="G36" s="1292"/>
      <c r="H36" s="2474"/>
      <c r="I36" s="1305"/>
      <c r="J36" s="1306"/>
      <c r="K36" s="2331"/>
      <c r="L36" s="2474"/>
      <c r="M36" s="2474"/>
    </row>
    <row r="37" spans="1:18" ht="18" customHeight="1">
      <c r="A37" s="928" t="s">
        <v>437</v>
      </c>
      <c r="B37" s="294" t="s">
        <v>738</v>
      </c>
      <c r="C37" s="21">
        <f ca="1">ROUND(C13*F37,2)</f>
        <v>0</v>
      </c>
      <c r="D37" s="1256" t="s">
        <v>739</v>
      </c>
      <c r="E37" s="294" t="s">
        <v>740</v>
      </c>
      <c r="F37" s="321">
        <f ca="1">INDIRECT("'数据-取费表'!Al"&amp;$G$1)</f>
        <v>0</v>
      </c>
      <c r="G37" s="1292"/>
      <c r="H37" s="2474"/>
      <c r="I37" s="1305"/>
      <c r="J37" s="1306"/>
      <c r="K37" s="2331"/>
      <c r="L37" s="2474"/>
      <c r="M37" s="2474"/>
    </row>
    <row r="38" spans="1:18" ht="18" customHeight="1" thickBot="1">
      <c r="A38" s="1026" t="s">
        <v>680</v>
      </c>
      <c r="B38" s="1027" t="s">
        <v>724</v>
      </c>
      <c r="C38" s="1028">
        <f ca="1">ROUND(C5*F38,2)</f>
        <v>0</v>
      </c>
      <c r="D38" s="1029" t="s">
        <v>744</v>
      </c>
      <c r="E38" s="1027" t="s">
        <v>740</v>
      </c>
      <c r="F38" s="1023">
        <f ca="1">INDIRECT("'数据-取费表'!Am"&amp;$G$1)</f>
        <v>0</v>
      </c>
      <c r="G38" s="1292"/>
      <c r="H38" s="2474"/>
      <c r="I38" s="1305"/>
      <c r="J38" s="1306"/>
      <c r="K38" s="2472"/>
      <c r="L38" s="2474"/>
      <c r="M38" s="2474"/>
    </row>
    <row r="39" spans="1:18" ht="24.6" customHeight="1" thickTop="1">
      <c r="A39" s="1016" t="s">
        <v>394</v>
      </c>
      <c r="B39" s="1031" t="s">
        <v>768</v>
      </c>
      <c r="C39" s="302">
        <f ca="1">C5-C30</f>
        <v>0</v>
      </c>
      <c r="D39" s="1032" t="s">
        <v>769</v>
      </c>
      <c r="E39" s="1033"/>
      <c r="F39" s="1034"/>
      <c r="G39" s="1292"/>
      <c r="H39" s="2474"/>
      <c r="I39" s="1305"/>
      <c r="J39" s="1306"/>
      <c r="K39" s="2472"/>
      <c r="L39" s="2474"/>
      <c r="M39" s="2474"/>
    </row>
    <row r="40" spans="1:18" ht="18" customHeight="1">
      <c r="A40" s="291" t="s">
        <v>395</v>
      </c>
      <c r="B40" s="292" t="s">
        <v>770</v>
      </c>
      <c r="C40" s="293" t="e">
        <f ca="1">ROUND(C39*(1-((1+F42)/(1+F40))^F41)/(F40-F42),0)</f>
        <v>#DIV/0!</v>
      </c>
      <c r="D40" s="316" t="s">
        <v>754</v>
      </c>
      <c r="E40" s="294" t="s">
        <v>755</v>
      </c>
      <c r="F40" s="304">
        <f ca="1">INDIRECT("'数据-取费表'!I"&amp;$G$1)</f>
        <v>0</v>
      </c>
      <c r="G40" s="1292"/>
      <c r="H40" s="1366"/>
      <c r="I40" s="1305"/>
      <c r="J40" s="1306"/>
      <c r="K40" s="2472"/>
      <c r="L40" s="1366"/>
      <c r="M40" s="1366"/>
    </row>
    <row r="41" spans="1:18" ht="18" customHeight="1">
      <c r="A41" s="296"/>
      <c r="B41" s="297"/>
      <c r="C41" s="298"/>
      <c r="D41" s="323" t="s">
        <v>771</v>
      </c>
      <c r="E41" s="294" t="s">
        <v>759</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762</v>
      </c>
      <c r="F42" s="304">
        <f ca="1">INDIRECT("'数据-取费表'!v"&amp;$G$1)</f>
        <v>0</v>
      </c>
      <c r="G42" s="1292"/>
      <c r="H42" s="121"/>
      <c r="I42" s="1305"/>
      <c r="J42" s="1306"/>
      <c r="K42" s="2331"/>
      <c r="L42" s="121"/>
      <c r="M42" s="121"/>
    </row>
    <row r="43" spans="1:18" ht="18" customHeight="1" thickBot="1">
      <c r="A43" s="325" t="s">
        <v>396</v>
      </c>
      <c r="B43" s="326" t="s">
        <v>772</v>
      </c>
      <c r="C43" s="327" t="e">
        <f ca="1">ROUND(C40*10000/F43,0)</f>
        <v>#DIV/0!</v>
      </c>
      <c r="D43" s="328" t="s">
        <v>773</v>
      </c>
      <c r="E43" s="329" t="s">
        <v>774</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804</v>
      </c>
      <c r="P45" s="1366"/>
      <c r="Q45" s="1366"/>
      <c r="R45" s="1366"/>
    </row>
    <row r="46" spans="1:18" s="1292" customFormat="1" ht="13.5" thickBot="1">
      <c r="A46" s="1311" t="s">
        <v>805</v>
      </c>
      <c r="C46" s="1312" t="e">
        <f ca="1">C68-C40</f>
        <v>#DIV/0!</v>
      </c>
      <c r="D46" s="1313" t="str">
        <f>C2</f>
        <v>万元</v>
      </c>
      <c r="E46" s="1307"/>
      <c r="F46" s="1307"/>
      <c r="I46" s="1314" t="s">
        <v>806</v>
      </c>
      <c r="J46" s="1315"/>
      <c r="K46" s="1316"/>
      <c r="L46" s="1317" t="e">
        <f ca="1">IF(M47="住宅",0,IF(L48&gt;J51,L60,J60))</f>
        <v>#DIV/0!</v>
      </c>
      <c r="O46" s="1318" t="s">
        <v>807</v>
      </c>
      <c r="P46" s="1319" t="s">
        <v>808</v>
      </c>
      <c r="Q46" s="1320" t="s">
        <v>809</v>
      </c>
      <c r="R46" s="1320" t="s">
        <v>810</v>
      </c>
    </row>
    <row r="47" spans="1:18" s="1292" customFormat="1" ht="13.5" thickBot="1">
      <c r="A47" s="892" t="s">
        <v>683</v>
      </c>
      <c r="B47" s="924" t="s">
        <v>684</v>
      </c>
      <c r="C47" s="1054" t="s">
        <v>685</v>
      </c>
      <c r="D47" s="924" t="s">
        <v>686</v>
      </c>
      <c r="E47" s="995" t="s">
        <v>687</v>
      </c>
      <c r="F47" s="996"/>
      <c r="G47" s="681"/>
      <c r="I47" s="1321" t="s">
        <v>811</v>
      </c>
      <c r="J47" s="1322"/>
      <c r="K47" s="1323" t="s">
        <v>812</v>
      </c>
      <c r="L47" s="1324">
        <f ca="1">INDIRECT("'数据-取费表'!d"&amp;$G$1)</f>
        <v>0</v>
      </c>
      <c r="M47" s="1288" t="str">
        <f>IF(ISNUMBER(FIND("住宅",C1)),"住宅","非住宅")</f>
        <v>非住宅</v>
      </c>
      <c r="O47" s="1325" t="s">
        <v>403</v>
      </c>
      <c r="P47" s="1326" t="s">
        <v>813</v>
      </c>
      <c r="Q47" s="1327" t="e">
        <f ca="1">C40+J29</f>
        <v>#DIV/0!</v>
      </c>
      <c r="R47" s="1327" t="s">
        <v>814</v>
      </c>
    </row>
    <row r="48" spans="1:18" s="1292" customFormat="1" ht="28.5" thickBot="1">
      <c r="A48" s="1047" t="s">
        <v>438</v>
      </c>
      <c r="B48" s="292" t="s">
        <v>688</v>
      </c>
      <c r="C48" s="1268">
        <f ca="1">C49+C53+C55</f>
        <v>0</v>
      </c>
      <c r="D48" s="1049"/>
      <c r="E48" s="1050"/>
      <c r="F48" s="908"/>
      <c r="G48" s="681"/>
      <c r="H48" s="682"/>
      <c r="I48" s="1328" t="s">
        <v>815</v>
      </c>
      <c r="J48" s="1329"/>
      <c r="K48" s="1330" t="s">
        <v>816</v>
      </c>
      <c r="L48" s="1331">
        <f ca="1">INDIRECT("'数据-取费表'!f"&amp;$G$1)</f>
        <v>0</v>
      </c>
      <c r="O48" s="1325" t="s">
        <v>404</v>
      </c>
      <c r="P48" s="1326" t="s">
        <v>817</v>
      </c>
      <c r="Q48" s="1327" t="e">
        <f ca="1">J60</f>
        <v>#DIV/0!</v>
      </c>
      <c r="R48" s="1327" t="s">
        <v>818</v>
      </c>
    </row>
    <row r="49" spans="1:18" s="1292" customFormat="1" ht="13.5" thickBot="1">
      <c r="A49" s="921" t="s">
        <v>439</v>
      </c>
      <c r="B49" s="1279" t="s">
        <v>775</v>
      </c>
      <c r="C49" s="1051">
        <f ca="1">ROUND(F49*F51*F50*(1-F52)/10000,0)</f>
        <v>0</v>
      </c>
      <c r="D49" s="992" t="s">
        <v>2104</v>
      </c>
      <c r="E49" s="1280" t="s">
        <v>776</v>
      </c>
      <c r="F49" s="997"/>
      <c r="H49" s="682"/>
      <c r="I49" s="1328" t="s">
        <v>819</v>
      </c>
      <c r="J49" s="1332"/>
      <c r="K49" s="1330" t="s">
        <v>820</v>
      </c>
      <c r="L49" s="1333"/>
      <c r="O49" s="1334" t="s">
        <v>405</v>
      </c>
      <c r="P49" s="1326" t="s">
        <v>821</v>
      </c>
      <c r="Q49" s="1327">
        <f ca="1">C29</f>
        <v>0</v>
      </c>
      <c r="R49" s="1327" t="s">
        <v>814</v>
      </c>
    </row>
    <row r="50" spans="1:18" s="1292" customFormat="1" ht="13.5" thickBot="1">
      <c r="A50" s="922"/>
      <c r="B50" s="925"/>
      <c r="C50" s="1055"/>
      <c r="D50" s="899"/>
      <c r="E50" s="993" t="s">
        <v>693</v>
      </c>
      <c r="F50" s="994">
        <f ca="1">F7</f>
        <v>0</v>
      </c>
      <c r="H50" s="682"/>
      <c r="I50" s="1328" t="s">
        <v>822</v>
      </c>
      <c r="J50" s="1335">
        <f>SUMPRODUCT((I63:I65=J47)*(J62:L62=J48)*(J63:L65))</f>
        <v>0</v>
      </c>
      <c r="K50" s="1330" t="s">
        <v>823</v>
      </c>
      <c r="L50" s="1333"/>
      <c r="M50" s="1336"/>
      <c r="O50" s="1334" t="s">
        <v>406</v>
      </c>
      <c r="P50" s="1326" t="s">
        <v>824</v>
      </c>
      <c r="Q50" s="1337" t="e">
        <f ca="1">J58</f>
        <v>#DIV/0!</v>
      </c>
      <c r="R50" s="1327"/>
    </row>
    <row r="51" spans="1:18" s="1292" customFormat="1" ht="13.5" thickBot="1">
      <c r="A51" s="923"/>
      <c r="B51" s="925"/>
      <c r="C51" s="926"/>
      <c r="D51" s="899"/>
      <c r="E51" s="927" t="s">
        <v>694</v>
      </c>
      <c r="F51" s="295">
        <f ca="1">F8</f>
        <v>0</v>
      </c>
      <c r="I51" s="1338" t="s">
        <v>825</v>
      </c>
      <c r="J51" s="1331">
        <f>IF(J49="",J50,J49+J50-YEAR('数据-取费表'!B2))</f>
        <v>0</v>
      </c>
      <c r="K51" s="1339" t="s">
        <v>826</v>
      </c>
      <c r="L51" s="1340">
        <f ca="1">ROUND(-PV(INDIRECT("'数据-取费表'!h"&amp;$G$1),J51,(C39-C13*C76),0),0)</f>
        <v>0</v>
      </c>
      <c r="M51" s="1341"/>
      <c r="O51" s="1334" t="s">
        <v>407</v>
      </c>
      <c r="P51" s="1326" t="s">
        <v>827</v>
      </c>
      <c r="Q51" s="1337">
        <f>J52</f>
        <v>0</v>
      </c>
      <c r="R51" s="1327"/>
    </row>
    <row r="52" spans="1:18" s="1292" customFormat="1" ht="13.5" thickBot="1">
      <c r="A52" s="923"/>
      <c r="B52" s="925"/>
      <c r="C52" s="926"/>
      <c r="D52" s="899"/>
      <c r="E52" s="927" t="s">
        <v>695</v>
      </c>
      <c r="F52" s="991"/>
      <c r="I52" s="1342" t="s">
        <v>828</v>
      </c>
      <c r="J52" s="1343"/>
      <c r="K52" s="1342" t="s">
        <v>829</v>
      </c>
      <c r="L52" s="1343"/>
      <c r="O52" s="1334" t="s">
        <v>408</v>
      </c>
      <c r="P52" s="1326" t="s">
        <v>830</v>
      </c>
      <c r="Q52" s="1327">
        <f ca="1">J53</f>
        <v>0</v>
      </c>
      <c r="R52" s="1327" t="s">
        <v>831</v>
      </c>
    </row>
    <row r="53" spans="1:18" s="1292" customFormat="1" ht="24.75" thickBot="1">
      <c r="A53" s="1079" t="s">
        <v>440</v>
      </c>
      <c r="B53" s="1281" t="s">
        <v>696</v>
      </c>
      <c r="C53" s="308">
        <f ca="1">ROUND(IF(F53="押一",C49/12*F11,IF(F53="押二",C49/12*2*F11,IF(F53="押三",C49/12*3*F11,C54*F11))),0)</f>
        <v>0</v>
      </c>
      <c r="D53" s="150" t="s">
        <v>2110</v>
      </c>
      <c r="E53" s="305" t="s">
        <v>697</v>
      </c>
      <c r="F53" s="1053"/>
      <c r="I53" s="1344" t="s">
        <v>832</v>
      </c>
      <c r="J53" s="2006">
        <f ca="1">IF(M47="住宅",IF(D1="——",MAX(J51,L48),MAX(J51,L48-'数据-取费表'!B24)),IF(D1="——",MIN(J51,L48),MIN(J51,L48-'数据-取费表'!B24)))</f>
        <v>0</v>
      </c>
      <c r="K53" s="3439" t="s">
        <v>833</v>
      </c>
      <c r="L53" s="3440"/>
      <c r="O53" s="1325" t="s">
        <v>409</v>
      </c>
      <c r="P53" s="1326" t="s">
        <v>834</v>
      </c>
      <c r="Q53" s="1327" t="e">
        <f ca="1">Q47+Q48</f>
        <v>#DIV/0!</v>
      </c>
      <c r="R53" s="1327" t="s">
        <v>410</v>
      </c>
    </row>
    <row r="54" spans="1:18" s="1292" customFormat="1" ht="13.5" thickBot="1">
      <c r="A54" s="1080"/>
      <c r="B54" s="1275" t="s">
        <v>675</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835</v>
      </c>
      <c r="P54" s="1289"/>
      <c r="Q54" s="1289"/>
      <c r="R54" s="1289"/>
    </row>
    <row r="55" spans="1:18" s="1292" customFormat="1" ht="13.5" thickBot="1">
      <c r="A55" s="1020" t="s">
        <v>437</v>
      </c>
      <c r="B55" s="1277" t="s">
        <v>699</v>
      </c>
      <c r="C55" s="1021"/>
      <c r="D55" s="150"/>
      <c r="E55" s="1282"/>
      <c r="F55" s="1345"/>
      <c r="I55" s="1348" t="s">
        <v>836</v>
      </c>
      <c r="J55" s="1349" t="e">
        <f ca="1">ROUND(IF(J47="钢混",J57/J50,1-(1-2%)*(J50-J57)/J50),3)</f>
        <v>#DIV/0!</v>
      </c>
      <c r="K55" s="1350" t="s">
        <v>837</v>
      </c>
      <c r="L55" s="1351"/>
      <c r="O55" s="1318" t="s">
        <v>807</v>
      </c>
      <c r="P55" s="1319" t="s">
        <v>808</v>
      </c>
      <c r="Q55" s="1320" t="s">
        <v>809</v>
      </c>
      <c r="R55" s="1320" t="s">
        <v>810</v>
      </c>
    </row>
    <row r="56" spans="1:18" s="1292" customFormat="1" ht="25.5" thickTop="1" thickBot="1">
      <c r="A56" s="903">
        <v>2</v>
      </c>
      <c r="B56" s="904" t="s">
        <v>700</v>
      </c>
      <c r="C56" s="224">
        <f ca="1">C13</f>
        <v>0</v>
      </c>
      <c r="D56" s="1352"/>
      <c r="E56" s="1353"/>
      <c r="F56" s="1345"/>
      <c r="I56" s="1354" t="s">
        <v>838</v>
      </c>
      <c r="J56" s="1355"/>
      <c r="K56" s="1328" t="s">
        <v>839</v>
      </c>
      <c r="L56" s="1331">
        <f ca="1">IF(L48&lt;J51,"——",L48-J53)</f>
        <v>0</v>
      </c>
      <c r="O56" s="1325" t="s">
        <v>403</v>
      </c>
      <c r="P56" s="1326" t="s">
        <v>813</v>
      </c>
      <c r="Q56" s="1327" t="e">
        <f ca="1">C40+J29</f>
        <v>#DIV/0!</v>
      </c>
      <c r="R56" s="1327" t="s">
        <v>814</v>
      </c>
    </row>
    <row r="57" spans="1:18" s="1292" customFormat="1" ht="24.75" thickBot="1">
      <c r="A57" s="1356"/>
      <c r="B57" s="896" t="s">
        <v>763</v>
      </c>
      <c r="C57" s="230">
        <f ca="1">C29</f>
        <v>0</v>
      </c>
      <c r="D57" s="1357"/>
      <c r="E57" s="1358"/>
      <c r="F57" s="1359"/>
      <c r="I57" s="1360" t="s">
        <v>840</v>
      </c>
      <c r="J57" s="1361">
        <f ca="1">IF(OR(M47="住宅",J51&lt;L48,J56="是"),"——",J51-L48)</f>
        <v>0</v>
      </c>
      <c r="K57" s="1328" t="s">
        <v>841</v>
      </c>
      <c r="L57" s="1331">
        <f ca="1">IF(L48&lt;J51,"——",IF(L55="比较法",L49,IF(L55="基准地价",L50,L51)))</f>
        <v>0</v>
      </c>
      <c r="O57" s="1325" t="s">
        <v>404</v>
      </c>
      <c r="P57" s="1326" t="s">
        <v>842</v>
      </c>
      <c r="Q57" s="1327" t="e">
        <f ca="1">L60</f>
        <v>#DIV/0!</v>
      </c>
      <c r="R57" s="1327" t="s">
        <v>843</v>
      </c>
    </row>
    <row r="58" spans="1:18" s="1292" customFormat="1" ht="24.75" thickBot="1">
      <c r="A58" s="307" t="s">
        <v>393</v>
      </c>
      <c r="B58" s="904" t="s">
        <v>710</v>
      </c>
      <c r="C58" s="308">
        <f ca="1">ROUND(C59+C64+C65+C66,0)</f>
        <v>0</v>
      </c>
      <c r="D58" s="906" t="s">
        <v>711</v>
      </c>
      <c r="E58" s="907"/>
      <c r="F58" s="908"/>
      <c r="I58" s="1360" t="s">
        <v>844</v>
      </c>
      <c r="J58" s="1362" t="e">
        <f ca="1">IF(J55&lt;0.4,0.4,J55)</f>
        <v>#DIV/0!</v>
      </c>
      <c r="K58" s="1339" t="s">
        <v>845</v>
      </c>
      <c r="L58" s="1331" t="e">
        <f ca="1">ROUND(POWER(1+L52,L47-L48)*(POWER(1+L52,L48)-1)/(POWER(1+L52,L47)-1),4)</f>
        <v>#DIV/0!</v>
      </c>
      <c r="O58" s="1334" t="s">
        <v>405</v>
      </c>
      <c r="P58" s="1326" t="s">
        <v>846</v>
      </c>
      <c r="Q58" s="1327">
        <f>IF(L55="比较法",L49,IF(L55="基准地价",L50,0))</f>
        <v>0</v>
      </c>
      <c r="R58" s="1327" t="s">
        <v>814</v>
      </c>
    </row>
    <row r="59" spans="1:18" s="1292" customFormat="1" ht="24.75" thickBot="1">
      <c r="A59" s="928" t="s">
        <v>398</v>
      </c>
      <c r="B59" s="896" t="s">
        <v>715</v>
      </c>
      <c r="C59" s="2140">
        <f ca="1">ROUND(IF(AND(项目基本情况!B11="自然人",项目基本情况!B10="北京市"),C49*F59/(1+'数据-取费表'!C42),C60+C61+C62),0)</f>
        <v>0</v>
      </c>
      <c r="D59" s="909" t="s">
        <v>716</v>
      </c>
      <c r="E59" s="910" t="s">
        <v>717</v>
      </c>
      <c r="F59" s="2139" t="str">
        <f>IF(项目基本情况!B11="企业","——",IF('数据-取费表'!B10="住宅",IF(F49*F50*F51/12/(1+'数据-取费表'!F30)&gt;100000,4%,2.5%),IF(F49*F50*F51/12/(1+'数据-取费表'!F30)&gt;100000,12%,7%)))</f>
        <v>——</v>
      </c>
      <c r="I59" s="1360" t="s">
        <v>847</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848</v>
      </c>
      <c r="Q59" s="1337">
        <f>L52</f>
        <v>0</v>
      </c>
      <c r="R59" s="1327"/>
    </row>
    <row r="60" spans="1:18" s="1292" customFormat="1" ht="16.5" thickBot="1">
      <c r="A60" s="928" t="s">
        <v>397</v>
      </c>
      <c r="B60" s="896" t="s">
        <v>719</v>
      </c>
      <c r="C60" s="21">
        <f ca="1">IF(项目基本情况!B11="自然人","——",ROUND(C48*F60/(1+'数据-取费表'!C42),2))</f>
        <v>0</v>
      </c>
      <c r="D60" s="910" t="s">
        <v>720</v>
      </c>
      <c r="E60" s="896" t="s">
        <v>708</v>
      </c>
      <c r="F60" s="322">
        <f t="shared" ref="F60:F66" si="0">F32</f>
        <v>5.6000000000000001E-2</v>
      </c>
      <c r="I60" s="1363" t="s">
        <v>849</v>
      </c>
      <c r="J60" s="1364" t="e">
        <f ca="1">IF(OR(M47="住宅",J51&lt;L48,J56="是"),"0",ROUND(J59/(1+J52)^J53,0))</f>
        <v>#DIV/0!</v>
      </c>
      <c r="K60" s="1365" t="s">
        <v>850</v>
      </c>
      <c r="L60" s="1364" t="e">
        <f ca="1">IF(OR(M47="住宅",L48&lt;J51),0,ROUND(L57*(L58/L59-1),0))</f>
        <v>#DIV/0!</v>
      </c>
      <c r="O60" s="1334" t="s">
        <v>407</v>
      </c>
      <c r="P60" s="1326" t="s">
        <v>851</v>
      </c>
      <c r="Q60" s="1327" t="e">
        <f ca="1">L58</f>
        <v>#DIV/0!</v>
      </c>
      <c r="R60" s="1327" t="s">
        <v>852</v>
      </c>
    </row>
    <row r="61" spans="1:18" s="1292" customFormat="1" ht="13.5" thickBot="1">
      <c r="A61" s="928" t="s">
        <v>777</v>
      </c>
      <c r="B61" s="896" t="s">
        <v>778</v>
      </c>
      <c r="C61" s="21">
        <f ca="1">IF(项目基本情况!B11="自然人","——",IF(D61="按租金收入计税",ROUND(C49*F61/(1+'数据-取费表'!C42),2),IF(D61="按房产原值计税",ROUND(C57*F61*0.7,2),INDIRECT("'数据-取费表'!Aj"&amp;$G$1))))</f>
        <v>0</v>
      </c>
      <c r="D61" s="1278" t="s">
        <v>3319</v>
      </c>
      <c r="E61" s="896" t="s">
        <v>779</v>
      </c>
      <c r="F61" s="314">
        <f t="shared" si="0"/>
        <v>0.12</v>
      </c>
      <c r="I61" s="1366"/>
      <c r="J61" s="1366"/>
      <c r="K61" s="1366"/>
      <c r="L61" s="1366"/>
      <c r="O61" s="1334" t="s">
        <v>408</v>
      </c>
      <c r="P61" s="1326" t="str">
        <f>K59</f>
        <v>建筑物剩余耐用年限下的土地年期修正系数Kn</v>
      </c>
      <c r="Q61" s="1327" t="e">
        <f ca="1">L59</f>
        <v>#DIV/0!</v>
      </c>
      <c r="R61" s="1327" t="s">
        <v>853</v>
      </c>
    </row>
    <row r="62" spans="1:18" s="1292" customFormat="1" ht="13.5" thickBot="1">
      <c r="A62" s="928" t="s">
        <v>780</v>
      </c>
      <c r="B62" s="895" t="s">
        <v>781</v>
      </c>
      <c r="C62" s="22">
        <f ca="1">IF(项目基本情况!B11="自然人","——",ROUND(F62*F63/10000,2))</f>
        <v>0</v>
      </c>
      <c r="D62" s="911" t="s">
        <v>782</v>
      </c>
      <c r="E62" s="896" t="s">
        <v>783</v>
      </c>
      <c r="F62" s="317">
        <f t="shared" si="0"/>
        <v>3</v>
      </c>
      <c r="I62" s="1367" t="s">
        <v>854</v>
      </c>
      <c r="J62" s="610" t="s">
        <v>855</v>
      </c>
      <c r="K62" s="610" t="s">
        <v>856</v>
      </c>
      <c r="L62" s="610" t="s">
        <v>857</v>
      </c>
      <c r="M62" s="1368" t="s">
        <v>858</v>
      </c>
      <c r="O62" s="1325" t="s">
        <v>409</v>
      </c>
      <c r="P62" s="1326" t="s">
        <v>859</v>
      </c>
      <c r="Q62" s="1327" t="e">
        <f ca="1">Q56+Q57</f>
        <v>#DIV/0!</v>
      </c>
      <c r="R62" s="1327" t="s">
        <v>410</v>
      </c>
    </row>
    <row r="63" spans="1:18" s="1292" customFormat="1" ht="13.5" thickBot="1">
      <c r="A63" s="318"/>
      <c r="B63" s="902"/>
      <c r="C63" s="26"/>
      <c r="D63" s="912"/>
      <c r="E63" s="896" t="s">
        <v>784</v>
      </c>
      <c r="F63" s="295">
        <f t="shared" ca="1" si="0"/>
        <v>0</v>
      </c>
      <c r="I63" s="1367" t="s">
        <v>860</v>
      </c>
      <c r="J63" s="610">
        <v>70</v>
      </c>
      <c r="K63" s="610">
        <v>50</v>
      </c>
      <c r="L63" s="610">
        <v>80</v>
      </c>
      <c r="M63" s="1369">
        <v>0.02</v>
      </c>
      <c r="O63" s="1310" t="s">
        <v>861</v>
      </c>
      <c r="P63" s="1289"/>
      <c r="Q63" s="1289"/>
      <c r="R63" s="1289"/>
    </row>
    <row r="64" spans="1:18" s="1292" customFormat="1" ht="13.5" thickBot="1">
      <c r="A64" s="928" t="s">
        <v>785</v>
      </c>
      <c r="B64" s="896" t="s">
        <v>786</v>
      </c>
      <c r="C64" s="21">
        <f ca="1">ROUND(C57*F64,2)</f>
        <v>0</v>
      </c>
      <c r="D64" s="910" t="s">
        <v>787</v>
      </c>
      <c r="E64" s="896" t="s">
        <v>779</v>
      </c>
      <c r="F64" s="320">
        <f t="shared" ca="1" si="0"/>
        <v>0</v>
      </c>
      <c r="I64" s="1367" t="s">
        <v>862</v>
      </c>
      <c r="J64" s="610">
        <v>50</v>
      </c>
      <c r="K64" s="610">
        <v>35</v>
      </c>
      <c r="L64" s="610">
        <v>60</v>
      </c>
      <c r="M64" s="1368">
        <v>0</v>
      </c>
      <c r="O64" s="1318" t="s">
        <v>807</v>
      </c>
      <c r="P64" s="1319" t="s">
        <v>808</v>
      </c>
      <c r="Q64" s="1320" t="s">
        <v>809</v>
      </c>
      <c r="R64" s="1320" t="s">
        <v>810</v>
      </c>
    </row>
    <row r="65" spans="1:18" s="1292" customFormat="1" ht="13.5" thickBot="1">
      <c r="A65" s="928" t="s">
        <v>788</v>
      </c>
      <c r="B65" s="896" t="s">
        <v>738</v>
      </c>
      <c r="C65" s="21">
        <f ca="1">ROUND(C56*F65,2)</f>
        <v>0</v>
      </c>
      <c r="D65" s="910" t="s">
        <v>739</v>
      </c>
      <c r="E65" s="896" t="s">
        <v>740</v>
      </c>
      <c r="F65" s="321">
        <f t="shared" ca="1" si="0"/>
        <v>0</v>
      </c>
      <c r="I65" s="1367" t="s">
        <v>863</v>
      </c>
      <c r="J65" s="610">
        <v>40</v>
      </c>
      <c r="K65" s="610">
        <v>30</v>
      </c>
      <c r="L65" s="610">
        <v>50</v>
      </c>
      <c r="M65" s="1369">
        <v>0.02</v>
      </c>
      <c r="O65" s="1325" t="s">
        <v>403</v>
      </c>
      <c r="P65" s="1326" t="s">
        <v>864</v>
      </c>
      <c r="Q65" s="1327" t="e">
        <f ca="1">C40+J29</f>
        <v>#DIV/0!</v>
      </c>
      <c r="R65" s="1327" t="s">
        <v>814</v>
      </c>
    </row>
    <row r="66" spans="1:18" s="1292" customFormat="1" ht="16.5" thickBot="1">
      <c r="A66" s="928" t="s">
        <v>789</v>
      </c>
      <c r="B66" s="896" t="s">
        <v>724</v>
      </c>
      <c r="C66" s="21">
        <f ca="1">ROUND(C48*F66,2)</f>
        <v>0</v>
      </c>
      <c r="D66" s="910" t="s">
        <v>790</v>
      </c>
      <c r="E66" s="896" t="s">
        <v>708</v>
      </c>
      <c r="F66" s="304">
        <f t="shared" ca="1" si="0"/>
        <v>0</v>
      </c>
      <c r="O66" s="1325" t="s">
        <v>404</v>
      </c>
      <c r="P66" s="1326" t="s">
        <v>842</v>
      </c>
      <c r="Q66" s="1327" t="e">
        <f ca="1">L60</f>
        <v>#DIV/0!</v>
      </c>
      <c r="R66" s="1327" t="s">
        <v>865</v>
      </c>
    </row>
    <row r="67" spans="1:18" s="1292" customFormat="1" ht="16.5" thickBot="1">
      <c r="A67" s="903" t="s">
        <v>394</v>
      </c>
      <c r="B67" s="913" t="s">
        <v>748</v>
      </c>
      <c r="C67" s="308">
        <f ca="1">C48-C58</f>
        <v>0</v>
      </c>
      <c r="D67" s="909" t="s">
        <v>749</v>
      </c>
      <c r="E67" s="914"/>
      <c r="F67" s="915"/>
      <c r="O67" s="1334" t="s">
        <v>405</v>
      </c>
      <c r="P67" s="1326" t="s">
        <v>846</v>
      </c>
      <c r="Q67" s="1370">
        <f ca="1">L51</f>
        <v>0</v>
      </c>
      <c r="R67" s="1327" t="s">
        <v>866</v>
      </c>
    </row>
    <row r="68" spans="1:18" s="1292" customFormat="1" ht="16.5" thickBot="1">
      <c r="A68" s="893" t="s">
        <v>395</v>
      </c>
      <c r="B68" s="894" t="s">
        <v>770</v>
      </c>
      <c r="C68" s="293" t="e">
        <f ca="1">ROUND(C67*(1-((1+F70)/(1+F68))^F69)/(F68-F70),0)</f>
        <v>#DIV/0!</v>
      </c>
      <c r="D68" s="911" t="s">
        <v>754</v>
      </c>
      <c r="E68" s="896" t="s">
        <v>755</v>
      </c>
      <c r="F68" s="304">
        <f ca="1">F40</f>
        <v>0</v>
      </c>
      <c r="O68" s="1334" t="s">
        <v>406</v>
      </c>
      <c r="P68" s="1371" t="s">
        <v>867</v>
      </c>
      <c r="Q68" s="1327">
        <f ca="1">ROUND(Q69-Q70*Q71,0)</f>
        <v>0</v>
      </c>
      <c r="R68" s="1327" t="s">
        <v>414</v>
      </c>
    </row>
    <row r="69" spans="1:18" s="1292" customFormat="1" ht="13.5" thickBot="1">
      <c r="A69" s="897"/>
      <c r="B69" s="898"/>
      <c r="C69" s="298"/>
      <c r="D69" s="916" t="s">
        <v>758</v>
      </c>
      <c r="E69" s="896" t="s">
        <v>759</v>
      </c>
      <c r="F69" s="324">
        <f ca="1">F41</f>
        <v>0</v>
      </c>
      <c r="O69" s="1334" t="s">
        <v>411</v>
      </c>
      <c r="P69" s="1371" t="s">
        <v>868</v>
      </c>
      <c r="Q69" s="1327">
        <f ca="1">C39</f>
        <v>0</v>
      </c>
      <c r="R69" s="1327" t="s">
        <v>814</v>
      </c>
    </row>
    <row r="70" spans="1:18" s="1292" customFormat="1" ht="13.5" thickBot="1">
      <c r="A70" s="900"/>
      <c r="B70" s="901"/>
      <c r="C70" s="302"/>
      <c r="D70" s="912"/>
      <c r="E70" s="896" t="s">
        <v>762</v>
      </c>
      <c r="F70" s="991"/>
      <c r="O70" s="1334" t="s">
        <v>412</v>
      </c>
      <c r="P70" s="1371" t="s">
        <v>869</v>
      </c>
      <c r="Q70" s="1327">
        <f ca="1">C13</f>
        <v>0</v>
      </c>
      <c r="R70" s="1327" t="s">
        <v>814</v>
      </c>
    </row>
    <row r="71" spans="1:18" s="1292" customFormat="1" ht="13.5" thickBot="1">
      <c r="A71" s="917" t="s">
        <v>396</v>
      </c>
      <c r="B71" s="918" t="s">
        <v>772</v>
      </c>
      <c r="C71" s="327" t="e">
        <f ca="1">ROUND(C68*10000/F71,0)</f>
        <v>#DIV/0!</v>
      </c>
      <c r="D71" s="919" t="s">
        <v>773</v>
      </c>
      <c r="E71" s="920" t="s">
        <v>774</v>
      </c>
      <c r="F71" s="330">
        <f ca="1">F43</f>
        <v>0</v>
      </c>
      <c r="O71" s="1334" t="s">
        <v>413</v>
      </c>
      <c r="P71" s="1371" t="s">
        <v>870</v>
      </c>
      <c r="Q71" s="1337">
        <f ca="1">C76</f>
        <v>0</v>
      </c>
      <c r="R71" s="1327"/>
    </row>
    <row r="72" spans="1:18" s="1292" customFormat="1" ht="13.5" thickBot="1">
      <c r="B72" s="685"/>
      <c r="C72" s="685"/>
      <c r="O72" s="1334" t="s">
        <v>407</v>
      </c>
      <c r="P72" s="1326" t="s">
        <v>848</v>
      </c>
      <c r="Q72" s="1337">
        <f>L52</f>
        <v>0</v>
      </c>
      <c r="R72" s="1327"/>
    </row>
    <row r="73" spans="1:18" ht="16.5" thickBot="1">
      <c r="A73" s="1292"/>
      <c r="B73" s="685"/>
      <c r="C73" s="685"/>
      <c r="D73" s="1292"/>
      <c r="E73" s="1292"/>
      <c r="F73" s="1292"/>
      <c r="O73" s="1334" t="s">
        <v>408</v>
      </c>
      <c r="P73" s="1326" t="s">
        <v>851</v>
      </c>
      <c r="Q73" s="1327" t="e">
        <f ca="1">L58</f>
        <v>#DIV/0!</v>
      </c>
      <c r="R73" s="1327" t="s">
        <v>852</v>
      </c>
    </row>
    <row r="74" spans="1:18" ht="13.5" thickBot="1">
      <c r="A74" s="1292"/>
      <c r="B74" s="265" t="s">
        <v>871</v>
      </c>
      <c r="C74" s="1373"/>
      <c r="D74" s="1292"/>
      <c r="E74" s="1292"/>
      <c r="F74" s="1292"/>
      <c r="O74" s="1334" t="s">
        <v>415</v>
      </c>
      <c r="P74" s="1326" t="str">
        <f>K59</f>
        <v>建筑物剩余耐用年限下的土地年期修正系数Kn</v>
      </c>
      <c r="Q74" s="1327" t="e">
        <f ca="1">L59</f>
        <v>#DIV/0!</v>
      </c>
      <c r="R74" s="1327" t="s">
        <v>853</v>
      </c>
    </row>
    <row r="75" spans="1:18" ht="13.5" thickBot="1">
      <c r="A75" s="1292"/>
      <c r="B75" s="331" t="s">
        <v>791</v>
      </c>
      <c r="C75" s="332">
        <f ca="1">ROUND(C13*C76,0)</f>
        <v>0</v>
      </c>
      <c r="D75" s="1292"/>
      <c r="E75" s="1292"/>
      <c r="F75" s="1292"/>
      <c r="K75" s="1309"/>
      <c r="L75" s="1292"/>
      <c r="O75" s="1325" t="s">
        <v>409</v>
      </c>
      <c r="P75" s="1326" t="s">
        <v>834</v>
      </c>
      <c r="Q75" s="1327" t="e">
        <f ca="1">Q65+Q66</f>
        <v>#DIV/0!</v>
      </c>
      <c r="R75" s="1327" t="s">
        <v>410</v>
      </c>
    </row>
    <row r="76" spans="1:18">
      <c r="B76" s="333" t="s">
        <v>792</v>
      </c>
      <c r="C76" s="334">
        <f ca="1">INDIRECT("'数据-取费表'!j"&amp;$G$1)</f>
        <v>0</v>
      </c>
      <c r="I76" s="1292"/>
      <c r="J76" s="1292"/>
      <c r="K76" s="1309"/>
      <c r="L76" s="1292"/>
    </row>
    <row r="77" spans="1:18">
      <c r="B77" s="335" t="s">
        <v>793</v>
      </c>
      <c r="C77" s="336"/>
      <c r="I77" s="1292"/>
      <c r="J77" s="1292"/>
      <c r="K77" s="1309"/>
      <c r="L77" s="1292"/>
    </row>
    <row r="78" spans="1:18">
      <c r="B78" s="262" t="s">
        <v>794</v>
      </c>
      <c r="C78" s="337"/>
    </row>
    <row r="79" spans="1:18">
      <c r="B79" s="331" t="s">
        <v>795</v>
      </c>
      <c r="C79" s="266" t="e">
        <f ca="1">1-C80</f>
        <v>#DIV/0!</v>
      </c>
    </row>
    <row r="80" spans="1:18">
      <c r="B80" s="331" t="s">
        <v>796</v>
      </c>
      <c r="C80" s="266" t="e">
        <f ca="1">ROUND(C75/C39,3)</f>
        <v>#DIV/0!</v>
      </c>
    </row>
    <row r="81" spans="2:3">
      <c r="B81" s="262" t="s">
        <v>797</v>
      </c>
      <c r="C81" s="230"/>
    </row>
    <row r="82" spans="2:3">
      <c r="B82" s="265" t="s">
        <v>798</v>
      </c>
      <c r="C82" s="267" t="e">
        <f ca="1">1-C83</f>
        <v>#DIV/0!</v>
      </c>
    </row>
    <row r="83" spans="2:3">
      <c r="B83" s="265" t="s">
        <v>799</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4" priority="3">
      <formula>$F$10="自定义"</formula>
    </cfRule>
  </conditionalFormatting>
  <conditionalFormatting sqref="C54">
    <cfRule type="expression" dxfId="103" priority="1">
      <formula>$F$53="自定义"</formula>
    </cfRule>
  </conditionalFormatting>
  <conditionalFormatting sqref="I55 I60">
    <cfRule type="expression" dxfId="102" priority="57">
      <formula>$J$51&gt;$L$48</formula>
    </cfRule>
  </conditionalFormatting>
  <conditionalFormatting sqref="J11">
    <cfRule type="expression" dxfId="101" priority="2">
      <formula>$M$10="自定义"</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20" sqref="F2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873</v>
      </c>
      <c r="B1" s="663"/>
      <c r="C1" s="1287"/>
      <c r="D1" s="1271" t="s">
        <v>43</v>
      </c>
      <c r="E1" s="1272" t="s">
        <v>674</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874</v>
      </c>
      <c r="B2" s="3124" t="e">
        <f ca="1">ROUND(D2/10000,4)</f>
        <v>#DIV/0!</v>
      </c>
      <c r="C2" s="1289" t="s">
        <v>875</v>
      </c>
      <c r="D2" s="1375" t="e">
        <f ca="1">C40+J29+L46</f>
        <v>#DIV/0!</v>
      </c>
      <c r="E2" s="1295" t="s">
        <v>876</v>
      </c>
      <c r="F2" s="1296"/>
      <c r="G2" s="2479"/>
      <c r="H2" s="2469"/>
      <c r="I2" s="2469"/>
      <c r="J2" s="2469"/>
      <c r="K2" s="2470"/>
      <c r="L2" s="2469"/>
      <c r="M2" s="2469"/>
    </row>
    <row r="3" spans="1:37" ht="18" customHeight="1" thickBot="1">
      <c r="A3" s="1297" t="s">
        <v>877</v>
      </c>
      <c r="B3" s="1298">
        <f ca="1">IF(ISERROR(D2/F43),0,ROUND(D2/F43,0))</f>
        <v>0</v>
      </c>
      <c r="C3" s="1289" t="s">
        <v>878</v>
      </c>
      <c r="D3" s="1289"/>
      <c r="E3" s="1295"/>
      <c r="F3" s="1296"/>
      <c r="G3" s="2479"/>
      <c r="H3" s="649" t="s">
        <v>872</v>
      </c>
      <c r="I3" s="1290"/>
      <c r="J3" s="1290"/>
      <c r="K3" s="1291"/>
      <c r="L3" s="1290"/>
      <c r="M3" s="1290"/>
    </row>
    <row r="4" spans="1:37" ht="18" customHeight="1">
      <c r="A4" s="287" t="s">
        <v>879</v>
      </c>
      <c r="B4" s="288" t="s">
        <v>880</v>
      </c>
      <c r="C4" s="288" t="s">
        <v>881</v>
      </c>
      <c r="D4" s="288" t="s">
        <v>882</v>
      </c>
      <c r="E4" s="289" t="s">
        <v>883</v>
      </c>
      <c r="F4" s="290"/>
      <c r="G4" s="1292"/>
      <c r="H4" s="287" t="s">
        <v>879</v>
      </c>
      <c r="I4" s="288" t="s">
        <v>880</v>
      </c>
      <c r="J4" s="288" t="s">
        <v>881</v>
      </c>
      <c r="K4" s="288" t="s">
        <v>882</v>
      </c>
      <c r="L4" s="289" t="s">
        <v>883</v>
      </c>
      <c r="M4" s="290"/>
    </row>
    <row r="5" spans="1:37" ht="18" customHeight="1">
      <c r="A5" s="291">
        <v>1</v>
      </c>
      <c r="B5" s="292" t="s">
        <v>884</v>
      </c>
      <c r="C5" s="1007">
        <f ca="1">C6+C10+C12</f>
        <v>0</v>
      </c>
      <c r="D5" s="1273" t="s">
        <v>885</v>
      </c>
      <c r="E5" s="1008"/>
      <c r="F5" s="1009"/>
      <c r="G5" s="1292"/>
      <c r="H5" s="291">
        <v>1</v>
      </c>
      <c r="I5" s="292" t="s">
        <v>884</v>
      </c>
      <c r="J5" s="1007">
        <f ca="1">J6+J10+J12</f>
        <v>0</v>
      </c>
      <c r="K5" s="1273" t="s">
        <v>885</v>
      </c>
      <c r="L5" s="1008"/>
      <c r="M5" s="1009"/>
    </row>
    <row r="6" spans="1:37" ht="18" customHeight="1">
      <c r="A6" s="1006" t="s">
        <v>398</v>
      </c>
      <c r="B6" s="3441" t="s">
        <v>690</v>
      </c>
      <c r="C6" s="1011">
        <f ca="1">ROUND(F6*F8*F7*(1-F9),0)</f>
        <v>0</v>
      </c>
      <c r="D6" s="147" t="s">
        <v>2100</v>
      </c>
      <c r="E6" s="294" t="s">
        <v>692</v>
      </c>
      <c r="F6" s="295">
        <f ca="1">INDIRECT("'数据-取费表'!u"&amp;$G$1)</f>
        <v>0</v>
      </c>
      <c r="G6" s="1292"/>
      <c r="H6" s="1006" t="s">
        <v>398</v>
      </c>
      <c r="I6" s="3441" t="s">
        <v>690</v>
      </c>
      <c r="J6" s="293">
        <f ca="1">ROUND(M6*M8*M7*(1-M9),0)</f>
        <v>0</v>
      </c>
      <c r="K6" s="1284" t="s">
        <v>2101</v>
      </c>
      <c r="L6" s="294" t="s">
        <v>692</v>
      </c>
      <c r="M6" s="295">
        <f ca="1">INDIRECT("'数据-取费表'!z"&amp;$G$1)</f>
        <v>0</v>
      </c>
    </row>
    <row r="7" spans="1:37" ht="18" customHeight="1">
      <c r="A7" s="1010"/>
      <c r="B7" s="3442"/>
      <c r="C7" s="1012"/>
      <c r="D7" s="299"/>
      <c r="E7" s="1013" t="s">
        <v>693</v>
      </c>
      <c r="F7" s="295">
        <f ca="1">IF(INDIRECT("'数据-取费表'!ah"&amp;$G$1)="",INDIRECT("'数据-取费表'!k"&amp;$G$1),INDIRECT("'数据-取费表'!ah"&amp;$G$1))</f>
        <v>0</v>
      </c>
      <c r="G7" s="1292"/>
      <c r="H7" s="296"/>
      <c r="I7" s="3442"/>
      <c r="J7" s="298"/>
      <c r="K7" s="299"/>
      <c r="L7" s="294" t="s">
        <v>693</v>
      </c>
      <c r="M7" s="295">
        <f ca="1">F7</f>
        <v>0</v>
      </c>
    </row>
    <row r="8" spans="1:37" ht="18" customHeight="1">
      <c r="A8" s="296"/>
      <c r="B8" s="3442"/>
      <c r="C8" s="298"/>
      <c r="D8" s="299"/>
      <c r="E8" s="294" t="s">
        <v>694</v>
      </c>
      <c r="F8" s="295">
        <f ca="1">INDIRECT("'数据-取费表'!ai"&amp;$G$1)</f>
        <v>0</v>
      </c>
      <c r="G8" s="1292"/>
      <c r="H8" s="296"/>
      <c r="I8" s="3442"/>
      <c r="J8" s="298"/>
      <c r="K8" s="299"/>
      <c r="L8" s="294" t="s">
        <v>694</v>
      </c>
      <c r="M8" s="295">
        <f ca="1">INDIRECT("'数据-取费表'!ai"&amp;$G$1)</f>
        <v>0</v>
      </c>
    </row>
    <row r="9" spans="1:37" ht="18" customHeight="1">
      <c r="A9" s="296"/>
      <c r="B9" s="3443"/>
      <c r="C9" s="298"/>
      <c r="D9" s="299"/>
      <c r="E9" s="294" t="s">
        <v>695</v>
      </c>
      <c r="F9" s="304">
        <f ca="1">INDIRECT("'数据-取费表'!w"&amp;$G$1)</f>
        <v>0</v>
      </c>
      <c r="G9" s="1292"/>
      <c r="H9" s="296"/>
      <c r="I9" s="3443"/>
      <c r="J9" s="298"/>
      <c r="K9" s="299"/>
      <c r="L9" s="305" t="s">
        <v>695</v>
      </c>
      <c r="M9" s="306">
        <f ca="1">INDIRECT("'数据-取费表'!ab"&amp;$G$1)</f>
        <v>0</v>
      </c>
    </row>
    <row r="10" spans="1:37" ht="18" customHeight="1">
      <c r="A10" s="1006" t="s">
        <v>402</v>
      </c>
      <c r="B10" s="1274" t="s">
        <v>696</v>
      </c>
      <c r="C10" s="308">
        <f ca="1">ROUND(IF(F10="押一",C6/12*F11,IF(F10="押二",C6/12*2*F11,IF(F10="押三",C6/12*3*F11,C11*F11))),0)</f>
        <v>0</v>
      </c>
      <c r="D10" s="150" t="s">
        <v>2110</v>
      </c>
      <c r="E10" s="305" t="s">
        <v>697</v>
      </c>
      <c r="F10" s="1053"/>
      <c r="G10" s="1292"/>
      <c r="H10" s="1006" t="s">
        <v>402</v>
      </c>
      <c r="I10" s="1274" t="s">
        <v>696</v>
      </c>
      <c r="J10" s="293">
        <f ca="1">ROUND(IF(M10="押一",J6/12*M11,IF(M10="押二",J6/12*2*M11,IF(M10="押三",J6/12*3*M11,J11*M11))),0)</f>
        <v>0</v>
      </c>
      <c r="K10" s="1285" t="s">
        <v>2112</v>
      </c>
      <c r="L10" s="305" t="s">
        <v>697</v>
      </c>
      <c r="M10" s="1053"/>
    </row>
    <row r="11" spans="1:37" ht="18" customHeight="1">
      <c r="A11" s="300"/>
      <c r="B11" s="1275" t="s">
        <v>886</v>
      </c>
      <c r="C11" s="905"/>
      <c r="D11" s="299"/>
      <c r="E11" s="305" t="s">
        <v>698</v>
      </c>
      <c r="F11" s="306">
        <f ca="1">'数据-取费表'!B39</f>
        <v>1.4999999999999999E-2</v>
      </c>
      <c r="G11" s="1292"/>
      <c r="H11" s="1014"/>
      <c r="I11" s="1275" t="s">
        <v>887</v>
      </c>
      <c r="J11" s="905"/>
      <c r="K11" s="646"/>
      <c r="L11" s="305" t="s">
        <v>698</v>
      </c>
      <c r="M11" s="809">
        <f ca="1">'数据-取费表'!B39</f>
        <v>1.4999999999999999E-2</v>
      </c>
    </row>
    <row r="12" spans="1:37" ht="18" customHeight="1" thickBot="1">
      <c r="A12" s="1020" t="s">
        <v>437</v>
      </c>
      <c r="B12" s="1277" t="s">
        <v>699</v>
      </c>
      <c r="C12" s="1021"/>
      <c r="D12" s="1022"/>
      <c r="E12" s="1027"/>
      <c r="F12" s="1023"/>
      <c r="G12" s="1292"/>
      <c r="H12" s="1020" t="s">
        <v>437</v>
      </c>
      <c r="I12" s="1277" t="s">
        <v>699</v>
      </c>
      <c r="J12" s="1021"/>
      <c r="K12" s="1035"/>
      <c r="L12" s="1027"/>
      <c r="M12" s="1036"/>
    </row>
    <row r="13" spans="1:37" ht="18" customHeight="1" thickTop="1">
      <c r="A13" s="1016">
        <v>2</v>
      </c>
      <c r="B13" s="1017" t="s">
        <v>700</v>
      </c>
      <c r="C13" s="302">
        <f ca="1">ROUND(C29*F13,0)</f>
        <v>0</v>
      </c>
      <c r="D13" s="1018" t="s">
        <v>701</v>
      </c>
      <c r="E13" s="1018" t="s">
        <v>702</v>
      </c>
      <c r="F13" s="1019">
        <f ca="1">INDIRECT("'数据-取费表'!y"&amp;$G$1)</f>
        <v>0</v>
      </c>
      <c r="G13" s="1292"/>
      <c r="H13" s="1016">
        <v>2</v>
      </c>
      <c r="I13" s="1017" t="s">
        <v>700</v>
      </c>
      <c r="J13" s="1005">
        <f ca="1">ROUND(J14*J15,0)</f>
        <v>0</v>
      </c>
      <c r="K13" s="1024" t="s">
        <v>701</v>
      </c>
      <c r="L13" s="1299"/>
      <c r="M13" s="1300"/>
    </row>
    <row r="14" spans="1:37" ht="18" customHeight="1">
      <c r="A14" s="928" t="s">
        <v>397</v>
      </c>
      <c r="B14" s="294" t="s">
        <v>703</v>
      </c>
      <c r="C14" s="310">
        <f ca="1">ROUND(INDIRECT("'数据-取费表'!l"&amp;$G$1)*F43+'数据-取费表'!L14*INDIRECT("'数据-取费表'!S"&amp;$G$1),0)</f>
        <v>0</v>
      </c>
      <c r="D14" s="1257" t="s">
        <v>704</v>
      </c>
      <c r="E14" s="1255"/>
      <c r="F14" s="311"/>
      <c r="G14" s="1292"/>
      <c r="H14" s="928" t="s">
        <v>398</v>
      </c>
      <c r="I14" s="294" t="s">
        <v>705</v>
      </c>
      <c r="J14" s="21">
        <f ca="1">C29</f>
        <v>0</v>
      </c>
      <c r="K14" s="12"/>
      <c r="L14" s="759"/>
      <c r="M14" s="760"/>
    </row>
    <row r="15" spans="1:37" s="1304" customFormat="1" ht="18" customHeight="1" thickBot="1">
      <c r="A15" s="928" t="s">
        <v>399</v>
      </c>
      <c r="B15" s="294" t="s">
        <v>706</v>
      </c>
      <c r="C15" s="21">
        <f ca="1">ROUND(C14*F15,0)</f>
        <v>0</v>
      </c>
      <c r="D15" s="312" t="s">
        <v>707</v>
      </c>
      <c r="E15" s="312" t="s">
        <v>708</v>
      </c>
      <c r="F15" s="313">
        <f>'数据-取费表'!B33</f>
        <v>0.05</v>
      </c>
      <c r="G15" s="1303"/>
      <c r="H15" s="1026" t="s">
        <v>402</v>
      </c>
      <c r="I15" s="1027" t="s">
        <v>702</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676</v>
      </c>
      <c r="B16" s="294" t="s">
        <v>709</v>
      </c>
      <c r="C16" s="21">
        <f ca="1">ROUND(INDIRECT("'数据-取费表'!l"&amp;$G$1)*F43*F16,0)</f>
        <v>0</v>
      </c>
      <c r="D16" s="294" t="s">
        <v>707</v>
      </c>
      <c r="E16" s="294" t="s">
        <v>708</v>
      </c>
      <c r="F16" s="314">
        <f ca="1">IF(INDIRECT("'数据-取费表'!c"&amp;$G$1)="住宅",'数据-取费表'!B34,0)</f>
        <v>0</v>
      </c>
      <c r="G16" s="1292"/>
      <c r="H16" s="1016" t="s">
        <v>393</v>
      </c>
      <c r="I16" s="1017" t="s">
        <v>710</v>
      </c>
      <c r="J16" s="302">
        <f ca="1">ROUND(J17+J22+J23+J24,0)</f>
        <v>0</v>
      </c>
      <c r="K16" s="1024" t="s">
        <v>711</v>
      </c>
      <c r="L16" s="1025"/>
      <c r="M16" s="1009"/>
    </row>
    <row r="17" spans="1:37" s="1304" customFormat="1" ht="18" customHeight="1">
      <c r="A17" s="928" t="s">
        <v>677</v>
      </c>
      <c r="B17" s="294" t="s">
        <v>712</v>
      </c>
      <c r="C17" s="21">
        <f ca="1">ROUND(F17*(F43+INDIRECT("'数据-取费表'!S"&amp;$G$1)),0)</f>
        <v>0</v>
      </c>
      <c r="D17" s="294" t="s">
        <v>713</v>
      </c>
      <c r="E17" s="294" t="s">
        <v>714</v>
      </c>
      <c r="F17" s="23">
        <f>'数据-取费表'!B35</f>
        <v>200</v>
      </c>
      <c r="G17" s="1303"/>
      <c r="H17" s="928" t="s">
        <v>398</v>
      </c>
      <c r="I17" s="294" t="s">
        <v>715</v>
      </c>
      <c r="J17" s="2140">
        <f ca="1">ROUND(IF(AND(项目基本情况!B11="自然人",项目基本情况!B10="北京市"),J6*M17/(1+'数据-取费表'!C42),J18+J19+J20),0)</f>
        <v>0</v>
      </c>
      <c r="K17" s="1257" t="s">
        <v>716</v>
      </c>
      <c r="L17" s="1256" t="s">
        <v>717</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678</v>
      </c>
      <c r="B18" s="294" t="s">
        <v>718</v>
      </c>
      <c r="C18" s="21">
        <f ca="1">ROUND(C14*F18,0)</f>
        <v>0</v>
      </c>
      <c r="D18" s="294" t="s">
        <v>707</v>
      </c>
      <c r="E18" s="294" t="s">
        <v>708</v>
      </c>
      <c r="F18" s="314">
        <f>'数据-取费表'!B36</f>
        <v>0.02</v>
      </c>
      <c r="G18" s="1303"/>
      <c r="H18" s="928" t="s">
        <v>397</v>
      </c>
      <c r="I18" s="294" t="s">
        <v>719</v>
      </c>
      <c r="J18" s="21">
        <f ca="1">ROUND(J6*M18/(1+'数据-取费表'!C42),0)</f>
        <v>0</v>
      </c>
      <c r="K18" s="1256" t="s">
        <v>720</v>
      </c>
      <c r="L18" s="294" t="s">
        <v>708</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721</v>
      </c>
      <c r="C19" s="21">
        <f ca="1">SUM(C14:C18)</f>
        <v>0</v>
      </c>
      <c r="D19" s="123" t="s">
        <v>722</v>
      </c>
      <c r="E19" s="1269"/>
      <c r="F19" s="23"/>
      <c r="G19" s="1292"/>
      <c r="H19" s="928" t="s">
        <v>399</v>
      </c>
      <c r="I19" s="294" t="s">
        <v>723</v>
      </c>
      <c r="J19" s="21">
        <f ca="1">IF(K19="按租金收入计税",ROUND(J6*M19/(1+'数据-取费表'!C42),0),ROUND(C29*M19*0.7,0))</f>
        <v>0</v>
      </c>
      <c r="K19" s="1278" t="s">
        <v>3319</v>
      </c>
      <c r="L19" s="294" t="s">
        <v>708</v>
      </c>
      <c r="M19" s="314">
        <f>IF(K19="按租金收入计税",'数据-取费表'!B51,'数据-取费表'!B50)</f>
        <v>0.12</v>
      </c>
    </row>
    <row r="20" spans="1:37" s="1304" customFormat="1" ht="18" customHeight="1">
      <c r="A20" s="928" t="s">
        <v>402</v>
      </c>
      <c r="B20" s="294" t="s">
        <v>724</v>
      </c>
      <c r="C20" s="21">
        <f ca="1">ROUND(C19*F20,0)</f>
        <v>0</v>
      </c>
      <c r="D20" s="315" t="s">
        <v>725</v>
      </c>
      <c r="E20" s="294" t="s">
        <v>708</v>
      </c>
      <c r="F20" s="314">
        <f>'数据-取费表'!B37</f>
        <v>0.02</v>
      </c>
      <c r="G20" s="1303"/>
      <c r="H20" s="928" t="s">
        <v>676</v>
      </c>
      <c r="I20" s="147" t="s">
        <v>726</v>
      </c>
      <c r="J20" s="22">
        <f ca="1">ROUND(M20*M21,0)</f>
        <v>0</v>
      </c>
      <c r="K20" s="316" t="s">
        <v>727</v>
      </c>
      <c r="L20" s="294" t="s">
        <v>728</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729</v>
      </c>
      <c r="C21" s="21" t="s">
        <v>0</v>
      </c>
      <c r="D21" s="315" t="s">
        <v>730</v>
      </c>
      <c r="E21" s="294" t="s">
        <v>731</v>
      </c>
      <c r="F21" s="314">
        <f>'数据-取费表'!B38</f>
        <v>0.02</v>
      </c>
      <c r="G21" s="1303"/>
      <c r="H21" s="318"/>
      <c r="I21" s="303"/>
      <c r="J21" s="26"/>
      <c r="K21" s="319"/>
      <c r="L21" s="294" t="s">
        <v>732</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679</v>
      </c>
      <c r="B22" s="294" t="s">
        <v>733</v>
      </c>
      <c r="C22" s="21"/>
      <c r="D22" s="123" t="str">
        <f>IF(F23&lt;=1,"单利计息。","复利计息。")&amp;"建造成本、管理费用、销售费用产生的利息。"</f>
        <v>复利计息。建造成本、管理费用、销售费用产生的利息。</v>
      </c>
      <c r="E22" s="1269"/>
      <c r="F22" s="23"/>
      <c r="G22" s="1292"/>
      <c r="H22" s="928" t="s">
        <v>402</v>
      </c>
      <c r="I22" s="294" t="s">
        <v>734</v>
      </c>
      <c r="J22" s="21">
        <f ca="1">ROUND(J14*M22,0)</f>
        <v>0</v>
      </c>
      <c r="K22" s="1256" t="s">
        <v>735</v>
      </c>
      <c r="L22" s="294" t="s">
        <v>708</v>
      </c>
      <c r="M22" s="320">
        <f ca="1">INDIRECT("'数据-取费表'!Ak"&amp;$G$1)</f>
        <v>0</v>
      </c>
    </row>
    <row r="23" spans="1:37" s="1304" customFormat="1" ht="18" customHeight="1">
      <c r="A23" s="928" t="s">
        <v>397</v>
      </c>
      <c r="B23" s="294" t="s">
        <v>736</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737</v>
      </c>
      <c r="F23" s="317">
        <f>'数据-取费表'!B20</f>
        <v>2</v>
      </c>
      <c r="G23" s="1303"/>
      <c r="H23" s="928" t="s">
        <v>437</v>
      </c>
      <c r="I23" s="294" t="s">
        <v>738</v>
      </c>
      <c r="J23" s="21">
        <f ca="1">ROUND(J13*M23,0)</f>
        <v>0</v>
      </c>
      <c r="K23" s="1256" t="s">
        <v>739</v>
      </c>
      <c r="L23" s="294" t="s">
        <v>740</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3.1300000000000001E-2</v>
      </c>
      <c r="G24" s="1303"/>
      <c r="H24" s="1026" t="s">
        <v>680</v>
      </c>
      <c r="I24" s="1027" t="s">
        <v>724</v>
      </c>
      <c r="J24" s="1028">
        <f ca="1">ROUND(J5*M24,0)</f>
        <v>0</v>
      </c>
      <c r="K24" s="1029" t="s">
        <v>744</v>
      </c>
      <c r="L24" s="1027" t="s">
        <v>740</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745</v>
      </c>
      <c r="B25" s="294" t="s">
        <v>746</v>
      </c>
      <c r="C25" s="21"/>
      <c r="D25" s="123" t="s">
        <v>747</v>
      </c>
      <c r="E25" s="1269"/>
      <c r="F25" s="23"/>
      <c r="G25" s="1292"/>
      <c r="H25" s="1016" t="s">
        <v>394</v>
      </c>
      <c r="I25" s="1031" t="s">
        <v>748</v>
      </c>
      <c r="J25" s="302">
        <f ca="1">J5-J16</f>
        <v>0</v>
      </c>
      <c r="K25" s="1032" t="s">
        <v>749</v>
      </c>
      <c r="L25" s="1033"/>
      <c r="M25" s="1034"/>
    </row>
    <row r="26" spans="1:37" ht="18" customHeight="1">
      <c r="A26" s="928" t="s">
        <v>397</v>
      </c>
      <c r="B26" s="294" t="s">
        <v>750</v>
      </c>
      <c r="C26" s="21">
        <f ca="1">ROUND((C19+C20)*F26,0)</f>
        <v>0</v>
      </c>
      <c r="D26" s="315" t="s">
        <v>751</v>
      </c>
      <c r="E26" s="305" t="s">
        <v>752</v>
      </c>
      <c r="F26" s="304">
        <f ca="1">INDIRECT("'数据-取费表'!q"&amp;$G$1)</f>
        <v>0</v>
      </c>
      <c r="G26" s="1292"/>
      <c r="H26" s="291" t="s">
        <v>395</v>
      </c>
      <c r="I26" s="292" t="s">
        <v>753</v>
      </c>
      <c r="J26" s="293">
        <f ca="1">IF(J5&lt;&gt;0,ROUND(J25*(1-((1+M28)/(1+M26))^M27)/(M26-M28),0),0)</f>
        <v>0</v>
      </c>
      <c r="K26" s="316" t="s">
        <v>754</v>
      </c>
      <c r="L26" s="294" t="s">
        <v>755</v>
      </c>
      <c r="M26" s="304">
        <f ca="1">INDIRECT("'数据-取费表'!I"&amp;$G$1)</f>
        <v>0</v>
      </c>
    </row>
    <row r="27" spans="1:37" ht="18" customHeight="1">
      <c r="A27" s="928" t="s">
        <v>399</v>
      </c>
      <c r="B27" s="294" t="s">
        <v>756</v>
      </c>
      <c r="C27" s="21">
        <f ca="1">ROUND(F21*F26,4)</f>
        <v>0</v>
      </c>
      <c r="D27" s="315" t="s">
        <v>757</v>
      </c>
      <c r="E27" s="312"/>
      <c r="F27" s="313"/>
      <c r="G27" s="1292"/>
      <c r="H27" s="296"/>
      <c r="I27" s="297"/>
      <c r="J27" s="298"/>
      <c r="K27" s="323" t="s">
        <v>758</v>
      </c>
      <c r="L27" s="294" t="s">
        <v>759</v>
      </c>
      <c r="M27" s="324">
        <f ca="1">INDIRECT("'数据-取费表'!ag"&amp;$G$1)</f>
        <v>0</v>
      </c>
    </row>
    <row r="28" spans="1:37" s="1304" customFormat="1" ht="18" customHeight="1">
      <c r="A28" s="928" t="s">
        <v>400</v>
      </c>
      <c r="B28" s="294" t="s">
        <v>760</v>
      </c>
      <c r="C28" s="21">
        <f>ROUND(F28/(1+'数据-取费表'!C42),4)</f>
        <v>5.33E-2</v>
      </c>
      <c r="D28" s="315" t="s">
        <v>761</v>
      </c>
      <c r="E28" s="294" t="s">
        <v>708</v>
      </c>
      <c r="F28" s="314">
        <f>'数据-取费表'!B41</f>
        <v>5.6000000000000001E-2</v>
      </c>
      <c r="G28" s="1303"/>
      <c r="H28" s="300"/>
      <c r="I28" s="301"/>
      <c r="J28" s="302"/>
      <c r="K28" s="319"/>
      <c r="L28" s="294" t="s">
        <v>762</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763</v>
      </c>
      <c r="C29" s="1028">
        <f ca="1">ROUND((C19+C20+C23+C26)/(1-F21-C24-C27-C28),0)</f>
        <v>0</v>
      </c>
      <c r="D29" s="1029"/>
      <c r="E29" s="1027"/>
      <c r="F29" s="1030"/>
      <c r="G29" s="1303"/>
      <c r="H29" s="325" t="s">
        <v>396</v>
      </c>
      <c r="I29" s="326" t="s">
        <v>764</v>
      </c>
      <c r="J29" s="327">
        <f ca="1">ROUND(J26/(1+F40)^F41,0)</f>
        <v>0</v>
      </c>
      <c r="K29" s="328" t="s">
        <v>765</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710</v>
      </c>
      <c r="C30" s="302">
        <f ca="1">ROUND(C31+C36+C37+C38,0)</f>
        <v>0</v>
      </c>
      <c r="D30" s="1024" t="s">
        <v>711</v>
      </c>
      <c r="E30" s="1025"/>
      <c r="F30" s="1009"/>
      <c r="G30" s="1292"/>
      <c r="H30" s="2471"/>
      <c r="I30" s="1305"/>
      <c r="J30" s="1306"/>
      <c r="K30" s="121"/>
      <c r="L30" s="2472"/>
      <c r="M30" s="2473"/>
    </row>
    <row r="31" spans="1:37" ht="18" customHeight="1">
      <c r="A31" s="928" t="s">
        <v>398</v>
      </c>
      <c r="B31" s="294" t="s">
        <v>715</v>
      </c>
      <c r="C31" s="2140">
        <f ca="1">ROUND(IF(AND(项目基本情况!B11="自然人",项目基本情况!B10="北京市"),C6*F31/(1+'数据-取费表'!C42),C32+C33+C34),0)</f>
        <v>0</v>
      </c>
      <c r="D31" s="1257" t="s">
        <v>716</v>
      </c>
      <c r="E31" s="1256" t="s">
        <v>766</v>
      </c>
      <c r="F31" s="2139" t="str">
        <f>IF(项目基本情况!B11="企业","——",IF(M47="住宅",IF(F6*F7*F8/12/(1+'数据-取费表'!F30)&gt;100000,4%,2.5%),IF(F6*F7*F8/12/(1+'数据-取费表'!F30)&gt;100000,12%,7%)))</f>
        <v>——</v>
      </c>
      <c r="G31" s="1292"/>
      <c r="H31" s="2570" t="s">
        <v>2291</v>
      </c>
      <c r="I31" s="1305"/>
      <c r="J31" s="1306"/>
      <c r="K31" s="121"/>
      <c r="L31" s="2472"/>
      <c r="M31" s="2473"/>
    </row>
    <row r="32" spans="1:37" ht="18" customHeight="1">
      <c r="A32" s="928" t="s">
        <v>397</v>
      </c>
      <c r="B32" s="294" t="s">
        <v>719</v>
      </c>
      <c r="C32" s="21">
        <f ca="1">IF(项目基本情况!B11="自然人","——",ROUND(C6*F32/(1+'数据-取费表'!C42),0))</f>
        <v>0</v>
      </c>
      <c r="D32" s="1256" t="s">
        <v>720</v>
      </c>
      <c r="E32" s="294" t="s">
        <v>708</v>
      </c>
      <c r="F32" s="322">
        <f>'数据-取费表'!B41</f>
        <v>5.6000000000000001E-2</v>
      </c>
      <c r="G32" s="1292"/>
      <c r="H32" s="2471"/>
      <c r="I32" s="1305"/>
      <c r="J32" s="1306"/>
      <c r="K32" s="121"/>
      <c r="L32" s="2472"/>
      <c r="M32" s="2473"/>
    </row>
    <row r="33" spans="1:18" ht="18" customHeight="1">
      <c r="A33" s="928" t="s">
        <v>399</v>
      </c>
      <c r="B33" s="294" t="s">
        <v>723</v>
      </c>
      <c r="C33" s="21">
        <f ca="1">IF(项目基本情况!B11="自然人","——",IF(D33="按租金收入计税",ROUND(C6*F33/(1+'数据-取费表'!C42),0),IF(D33="按房产原值计税",ROUND(C29*F33*0.7,0),INDIRECT("'数据-取费表'!Aj"&amp;$G$1))))</f>
        <v>0</v>
      </c>
      <c r="D33" s="1278" t="s">
        <v>3319</v>
      </c>
      <c r="E33" s="294" t="s">
        <v>708</v>
      </c>
      <c r="F33" s="314">
        <f>IF(D33="按票据","——",IF(D33="按租金收入计税",'数据-取费表'!B51,'数据-取费表'!B50))</f>
        <v>0.12</v>
      </c>
      <c r="G33" s="1292"/>
      <c r="H33" s="2474"/>
      <c r="I33" s="1305"/>
      <c r="J33" s="1306"/>
      <c r="K33" s="2475"/>
      <c r="L33" s="2474"/>
      <c r="M33" s="2474"/>
    </row>
    <row r="34" spans="1:18" ht="18" customHeight="1">
      <c r="A34" s="1006" t="s">
        <v>676</v>
      </c>
      <c r="B34" s="147" t="s">
        <v>726</v>
      </c>
      <c r="C34" s="22">
        <f ca="1">IF(项目基本情况!B11="自然人","——",ROUND(F34*F35,0))</f>
        <v>0</v>
      </c>
      <c r="D34" s="316" t="s">
        <v>727</v>
      </c>
      <c r="E34" s="294" t="s">
        <v>728</v>
      </c>
      <c r="F34" s="317">
        <f>'数据-取费表'!B52</f>
        <v>3</v>
      </c>
      <c r="G34" s="1292"/>
      <c r="H34" s="2471"/>
      <c r="I34" s="1305"/>
      <c r="J34" s="1306"/>
      <c r="K34" s="2476"/>
      <c r="L34" s="2477"/>
      <c r="M34" s="2477"/>
    </row>
    <row r="35" spans="1:18" ht="18" customHeight="1">
      <c r="A35" s="1040"/>
      <c r="B35" s="1038"/>
      <c r="C35" s="26"/>
      <c r="D35" s="319"/>
      <c r="E35" s="294" t="s">
        <v>732</v>
      </c>
      <c r="F35" s="295">
        <f ca="1">INDIRECT("'数据-取费表'!r"&amp;$G$1)</f>
        <v>0</v>
      </c>
      <c r="G35" s="1292"/>
      <c r="H35" s="2471"/>
      <c r="I35" s="1305"/>
      <c r="J35" s="1306"/>
      <c r="K35" s="2475"/>
      <c r="L35" s="2474"/>
      <c r="M35" s="2474"/>
    </row>
    <row r="36" spans="1:18" ht="18" customHeight="1">
      <c r="A36" s="1039" t="s">
        <v>402</v>
      </c>
      <c r="B36" s="294" t="s">
        <v>734</v>
      </c>
      <c r="C36" s="21">
        <f ca="1">ROUND(C29*F36,0)</f>
        <v>0</v>
      </c>
      <c r="D36" s="1256" t="s">
        <v>767</v>
      </c>
      <c r="E36" s="294" t="s">
        <v>708</v>
      </c>
      <c r="F36" s="320">
        <f ca="1">INDIRECT("'数据-取费表'!Ak"&amp;$G$1)</f>
        <v>0</v>
      </c>
      <c r="G36" s="1292"/>
      <c r="H36" s="2474"/>
      <c r="I36" s="1305"/>
      <c r="J36" s="1306"/>
      <c r="K36" s="2331"/>
      <c r="L36" s="2474"/>
      <c r="M36" s="2474"/>
    </row>
    <row r="37" spans="1:18" ht="18" customHeight="1">
      <c r="A37" s="928" t="s">
        <v>437</v>
      </c>
      <c r="B37" s="294" t="s">
        <v>738</v>
      </c>
      <c r="C37" s="21">
        <f ca="1">ROUND(C13*F37,0)</f>
        <v>0</v>
      </c>
      <c r="D37" s="1256" t="s">
        <v>739</v>
      </c>
      <c r="E37" s="294" t="s">
        <v>740</v>
      </c>
      <c r="F37" s="321">
        <f ca="1">INDIRECT("'数据-取费表'!Al"&amp;$G$1)</f>
        <v>0</v>
      </c>
      <c r="G37" s="1292"/>
      <c r="H37" s="2474"/>
      <c r="I37" s="1305"/>
      <c r="J37" s="1306"/>
      <c r="K37" s="2331"/>
      <c r="L37" s="2474"/>
      <c r="M37" s="2474"/>
    </row>
    <row r="38" spans="1:18" ht="18" customHeight="1" thickBot="1">
      <c r="A38" s="1026" t="s">
        <v>680</v>
      </c>
      <c r="B38" s="1027" t="s">
        <v>724</v>
      </c>
      <c r="C38" s="1028">
        <f ca="1">ROUND(C5*F38,0)</f>
        <v>0</v>
      </c>
      <c r="D38" s="1029" t="s">
        <v>744</v>
      </c>
      <c r="E38" s="1027" t="s">
        <v>740</v>
      </c>
      <c r="F38" s="1023">
        <f ca="1">INDIRECT("'数据-取费表'!Am"&amp;$G$1)</f>
        <v>0</v>
      </c>
      <c r="G38" s="1292"/>
      <c r="H38" s="2474"/>
      <c r="I38" s="1305"/>
      <c r="J38" s="1306"/>
      <c r="K38" s="2472"/>
      <c r="L38" s="2474"/>
      <c r="M38" s="2474"/>
    </row>
    <row r="39" spans="1:18" ht="24.6" customHeight="1" thickTop="1">
      <c r="A39" s="1016" t="s">
        <v>394</v>
      </c>
      <c r="B39" s="1031" t="s">
        <v>768</v>
      </c>
      <c r="C39" s="302">
        <f ca="1">C5-C30</f>
        <v>0</v>
      </c>
      <c r="D39" s="1032" t="s">
        <v>769</v>
      </c>
      <c r="E39" s="1033"/>
      <c r="F39" s="1034"/>
      <c r="G39" s="1292"/>
      <c r="H39" s="2474"/>
      <c r="I39" s="1305"/>
      <c r="J39" s="1306"/>
      <c r="K39" s="2472"/>
      <c r="L39" s="2474"/>
      <c r="M39" s="2474"/>
    </row>
    <row r="40" spans="1:18" ht="18" customHeight="1">
      <c r="A40" s="291" t="s">
        <v>395</v>
      </c>
      <c r="B40" s="292" t="s">
        <v>770</v>
      </c>
      <c r="C40" s="293" t="e">
        <f ca="1">ROUND(C39*(1-((1+F42)/(1+F40))^F41)/(F40-F42),0)</f>
        <v>#DIV/0!</v>
      </c>
      <c r="D40" s="316" t="s">
        <v>754</v>
      </c>
      <c r="E40" s="294" t="s">
        <v>755</v>
      </c>
      <c r="F40" s="304">
        <f ca="1">INDIRECT("'数据-取费表'!I"&amp;$G$1)</f>
        <v>0</v>
      </c>
      <c r="G40" s="1292"/>
      <c r="H40" s="1366"/>
      <c r="I40" s="1305"/>
      <c r="J40" s="1306"/>
      <c r="K40" s="2472"/>
      <c r="L40" s="1366"/>
      <c r="M40" s="1366"/>
    </row>
    <row r="41" spans="1:18" ht="18" customHeight="1">
      <c r="A41" s="296"/>
      <c r="B41" s="297"/>
      <c r="C41" s="298"/>
      <c r="D41" s="323" t="s">
        <v>771</v>
      </c>
      <c r="E41" s="294" t="s">
        <v>759</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762</v>
      </c>
      <c r="F42" s="304">
        <f ca="1">INDIRECT("'数据-取费表'!v"&amp;$G$1)</f>
        <v>0</v>
      </c>
      <c r="G42" s="1292"/>
      <c r="H42" s="121"/>
      <c r="I42" s="1305"/>
      <c r="J42" s="1306"/>
      <c r="K42" s="2331"/>
      <c r="L42" s="121"/>
      <c r="M42" s="121"/>
    </row>
    <row r="43" spans="1:18" ht="18" customHeight="1" thickBot="1">
      <c r="A43" s="325" t="s">
        <v>396</v>
      </c>
      <c r="B43" s="326" t="s">
        <v>772</v>
      </c>
      <c r="C43" s="327" t="e">
        <f ca="1">ROUND(C40/F43,0)</f>
        <v>#DIV/0!</v>
      </c>
      <c r="D43" s="328" t="s">
        <v>773</v>
      </c>
      <c r="E43" s="329" t="s">
        <v>774</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3335</v>
      </c>
      <c r="B45" s="1307"/>
      <c r="C45" s="1376" t="e">
        <f ca="1">ROUND((C68-C40)/10000,4)</f>
        <v>#DIV/0!</v>
      </c>
      <c r="D45" s="3131" t="s">
        <v>3336</v>
      </c>
      <c r="E45" s="1307"/>
      <c r="F45" s="1307"/>
      <c r="O45" s="1310" t="s">
        <v>804</v>
      </c>
      <c r="P45" s="1366"/>
      <c r="Q45" s="1366"/>
      <c r="R45" s="1366"/>
    </row>
    <row r="46" spans="1:18" s="1292" customFormat="1" ht="13.5" thickBot="1">
      <c r="A46" s="1311" t="s">
        <v>805</v>
      </c>
      <c r="C46" s="1312" t="e">
        <f ca="1">ROUND(C45,0)</f>
        <v>#DIV/0!</v>
      </c>
      <c r="D46" s="1313" t="str">
        <f>C2</f>
        <v>万元</v>
      </c>
      <c r="I46" s="1314" t="s">
        <v>806</v>
      </c>
      <c r="J46" s="1315"/>
      <c r="K46" s="1316"/>
      <c r="L46" s="1317" t="e">
        <f ca="1">IF(M47="住宅",0,IF(L48&gt;J51,L60,J60))</f>
        <v>#DIV/0!</v>
      </c>
      <c r="O46" s="1318" t="s">
        <v>807</v>
      </c>
      <c r="P46" s="1319" t="s">
        <v>808</v>
      </c>
      <c r="Q46" s="1320" t="s">
        <v>809</v>
      </c>
      <c r="R46" s="1320" t="s">
        <v>810</v>
      </c>
    </row>
    <row r="47" spans="1:18" s="1292" customFormat="1" ht="13.5" thickBot="1">
      <c r="A47" s="892" t="s">
        <v>683</v>
      </c>
      <c r="B47" s="924" t="s">
        <v>684</v>
      </c>
      <c r="C47" s="924" t="s">
        <v>685</v>
      </c>
      <c r="D47" s="924" t="s">
        <v>686</v>
      </c>
      <c r="E47" s="995" t="s">
        <v>687</v>
      </c>
      <c r="F47" s="996"/>
      <c r="G47" s="681"/>
      <c r="I47" s="1321" t="s">
        <v>811</v>
      </c>
      <c r="J47" s="1322"/>
      <c r="K47" s="1323" t="s">
        <v>812</v>
      </c>
      <c r="L47" s="1324">
        <f ca="1">INDIRECT("'数据-取费表'!d"&amp;$G$1)</f>
        <v>0</v>
      </c>
      <c r="M47" s="1288" t="str">
        <f>IF(ISNUMBER(FIND("住宅",C1)),"住宅","非住宅")</f>
        <v>非住宅</v>
      </c>
      <c r="O47" s="1325" t="s">
        <v>403</v>
      </c>
      <c r="P47" s="1326" t="s">
        <v>813</v>
      </c>
      <c r="Q47" s="1327" t="e">
        <f ca="1">C40+J29</f>
        <v>#DIV/0!</v>
      </c>
      <c r="R47" s="1327" t="s">
        <v>814</v>
      </c>
    </row>
    <row r="48" spans="1:18" s="1292" customFormat="1" ht="28.5" thickBot="1">
      <c r="A48" s="1047" t="s">
        <v>438</v>
      </c>
      <c r="B48" s="292" t="s">
        <v>688</v>
      </c>
      <c r="C48" s="1268">
        <f ca="1">C49+C53+C55</f>
        <v>0</v>
      </c>
      <c r="D48" s="1049"/>
      <c r="E48" s="1050"/>
      <c r="F48" s="908"/>
      <c r="G48" s="681"/>
      <c r="H48" s="682"/>
      <c r="I48" s="1328" t="s">
        <v>815</v>
      </c>
      <c r="J48" s="1329"/>
      <c r="K48" s="1330" t="s">
        <v>816</v>
      </c>
      <c r="L48" s="1331">
        <f ca="1">INDIRECT("'数据-取费表'!f"&amp;$G$1)</f>
        <v>0</v>
      </c>
      <c r="O48" s="1325" t="s">
        <v>404</v>
      </c>
      <c r="P48" s="1326" t="s">
        <v>817</v>
      </c>
      <c r="Q48" s="1327" t="e">
        <f ca="1">J60</f>
        <v>#DIV/0!</v>
      </c>
      <c r="R48" s="1327" t="s">
        <v>818</v>
      </c>
    </row>
    <row r="49" spans="1:18" s="1292" customFormat="1" ht="13.5" thickBot="1">
      <c r="A49" s="921" t="s">
        <v>439</v>
      </c>
      <c r="B49" s="1279" t="s">
        <v>775</v>
      </c>
      <c r="C49" s="1051">
        <f ca="1">ROUND(F49*F51*F50*(1-F52),0)</f>
        <v>0</v>
      </c>
      <c r="D49" s="992" t="s">
        <v>691</v>
      </c>
      <c r="E49" s="1280" t="s">
        <v>776</v>
      </c>
      <c r="F49" s="997"/>
      <c r="H49" s="682"/>
      <c r="I49" s="1328" t="s">
        <v>819</v>
      </c>
      <c r="J49" s="1332"/>
      <c r="K49" s="1330" t="s">
        <v>820</v>
      </c>
      <c r="L49" s="1333"/>
      <c r="O49" s="1334" t="s">
        <v>405</v>
      </c>
      <c r="P49" s="1326" t="s">
        <v>821</v>
      </c>
      <c r="Q49" s="1327">
        <f ca="1">C29</f>
        <v>0</v>
      </c>
      <c r="R49" s="1327" t="s">
        <v>814</v>
      </c>
    </row>
    <row r="50" spans="1:18" s="1292" customFormat="1" ht="13.5" thickBot="1">
      <c r="A50" s="922"/>
      <c r="B50" s="925"/>
      <c r="C50" s="926"/>
      <c r="D50" s="899"/>
      <c r="E50" s="993" t="s">
        <v>693</v>
      </c>
      <c r="F50" s="994">
        <f ca="1">F7</f>
        <v>0</v>
      </c>
      <c r="H50" s="682"/>
      <c r="I50" s="1328" t="s">
        <v>822</v>
      </c>
      <c r="J50" s="1335">
        <f>SUMPRODUCT((I63:I65=J47)*(J62:L62=J48)*(J63:L65))</f>
        <v>0</v>
      </c>
      <c r="K50" s="1330" t="s">
        <v>823</v>
      </c>
      <c r="L50" s="1333"/>
      <c r="M50" s="1336"/>
      <c r="O50" s="1334" t="s">
        <v>406</v>
      </c>
      <c r="P50" s="1326" t="s">
        <v>824</v>
      </c>
      <c r="Q50" s="1337" t="e">
        <f ca="1">J58</f>
        <v>#DIV/0!</v>
      </c>
      <c r="R50" s="1327"/>
    </row>
    <row r="51" spans="1:18" s="1292" customFormat="1" ht="13.5" thickBot="1">
      <c r="A51" s="923"/>
      <c r="B51" s="925"/>
      <c r="C51" s="926"/>
      <c r="D51" s="899"/>
      <c r="E51" s="927" t="s">
        <v>694</v>
      </c>
      <c r="F51" s="295">
        <f ca="1">F8</f>
        <v>0</v>
      </c>
      <c r="I51" s="1338" t="s">
        <v>825</v>
      </c>
      <c r="J51" s="1331">
        <f>IF(J49="",J50,J49+J50-YEAR('数据-取费表'!B2))</f>
        <v>0</v>
      </c>
      <c r="K51" s="1339" t="s">
        <v>826</v>
      </c>
      <c r="L51" s="1340">
        <f ca="1">ROUND(-PV(INDIRECT("'数据-取费表'!h"&amp;$G$1),J51,(C39-C13*C76),0),0)</f>
        <v>0</v>
      </c>
      <c r="M51" s="1341"/>
      <c r="O51" s="1334" t="s">
        <v>407</v>
      </c>
      <c r="P51" s="1326" t="s">
        <v>827</v>
      </c>
      <c r="Q51" s="1337">
        <f>J52</f>
        <v>0</v>
      </c>
      <c r="R51" s="1327"/>
    </row>
    <row r="52" spans="1:18" s="1292" customFormat="1" ht="13.5" thickBot="1">
      <c r="A52" s="923"/>
      <c r="B52" s="925"/>
      <c r="C52" s="926"/>
      <c r="D52" s="899"/>
      <c r="E52" s="927" t="s">
        <v>695</v>
      </c>
      <c r="F52" s="991"/>
      <c r="I52" s="1342" t="s">
        <v>828</v>
      </c>
      <c r="J52" s="1343"/>
      <c r="K52" s="1342" t="s">
        <v>829</v>
      </c>
      <c r="L52" s="1343"/>
      <c r="O52" s="1334" t="s">
        <v>408</v>
      </c>
      <c r="P52" s="1326" t="s">
        <v>830</v>
      </c>
      <c r="Q52" s="1327">
        <f ca="1">J53</f>
        <v>0</v>
      </c>
      <c r="R52" s="1327" t="s">
        <v>831</v>
      </c>
    </row>
    <row r="53" spans="1:18" s="1292" customFormat="1" ht="30.75" customHeight="1" thickBot="1">
      <c r="A53" s="1048" t="s">
        <v>440</v>
      </c>
      <c r="B53" s="315" t="s">
        <v>696</v>
      </c>
      <c r="C53" s="308">
        <f ca="1">ROUND(IF(F53="押一",C49/12*F11,IF(F53="押二",C49/12*2*F11,IF(F53="押三",C49/12*3*F11,C54*F11))),0)</f>
        <v>0</v>
      </c>
      <c r="D53" s="150" t="s">
        <v>2113</v>
      </c>
      <c r="E53" s="305" t="s">
        <v>697</v>
      </c>
      <c r="F53" s="1053"/>
      <c r="I53" s="1344" t="s">
        <v>832</v>
      </c>
      <c r="J53" s="2006">
        <f ca="1">IF(M47="住宅",IF(D1="——",MAX(J51,L48),MAX(J51,L48-'数据-取费表'!B24)),IF(D1="——",MIN(J51,L48),MIN(J51,L48-'数据-取费表'!B24)))</f>
        <v>0</v>
      </c>
      <c r="K53" s="3439" t="s">
        <v>833</v>
      </c>
      <c r="L53" s="3440"/>
      <c r="O53" s="1325" t="s">
        <v>409</v>
      </c>
      <c r="P53" s="1326" t="s">
        <v>834</v>
      </c>
      <c r="Q53" s="1327" t="e">
        <f ca="1">Q47+Q48</f>
        <v>#DIV/0!</v>
      </c>
      <c r="R53" s="1327" t="s">
        <v>410</v>
      </c>
    </row>
    <row r="54" spans="1:18" s="1292" customFormat="1" ht="13.5" thickBot="1">
      <c r="A54" s="921"/>
      <c r="B54" s="1377" t="s">
        <v>887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835</v>
      </c>
      <c r="P54" s="1289"/>
      <c r="Q54" s="1289"/>
      <c r="R54" s="1289"/>
    </row>
    <row r="55" spans="1:18" s="1292" customFormat="1" ht="13.5" thickBot="1">
      <c r="A55" s="1020" t="s">
        <v>437</v>
      </c>
      <c r="B55" s="1277" t="s">
        <v>699</v>
      </c>
      <c r="C55" s="1021"/>
      <c r="D55" s="150"/>
      <c r="E55" s="1282"/>
      <c r="F55" s="1345"/>
      <c r="I55" s="1348" t="s">
        <v>836</v>
      </c>
      <c r="J55" s="1349" t="e">
        <f ca="1">ROUND(IF(J47="钢混",J57/J50,1-(1-2%)*(J50-J57)/J50),3)</f>
        <v>#DIV/0!</v>
      </c>
      <c r="K55" s="1350" t="s">
        <v>837</v>
      </c>
      <c r="L55" s="1351"/>
      <c r="O55" s="1318" t="s">
        <v>807</v>
      </c>
      <c r="P55" s="1319" t="s">
        <v>808</v>
      </c>
      <c r="Q55" s="1320" t="s">
        <v>809</v>
      </c>
      <c r="R55" s="1320" t="s">
        <v>810</v>
      </c>
    </row>
    <row r="56" spans="1:18" s="1292" customFormat="1" ht="36" customHeight="1" thickTop="1" thickBot="1">
      <c r="A56" s="903">
        <v>2</v>
      </c>
      <c r="B56" s="904" t="s">
        <v>700</v>
      </c>
      <c r="C56" s="224">
        <f ca="1">C13</f>
        <v>0</v>
      </c>
      <c r="D56" s="1352"/>
      <c r="E56" s="1353"/>
      <c r="F56" s="1345"/>
      <c r="I56" s="1354" t="s">
        <v>838</v>
      </c>
      <c r="J56" s="1355"/>
      <c r="K56" s="1328" t="s">
        <v>839</v>
      </c>
      <c r="L56" s="1331">
        <f ca="1">IF(L48&lt;J51,"——",L48-J51)</f>
        <v>0</v>
      </c>
      <c r="O56" s="1325" t="s">
        <v>403</v>
      </c>
      <c r="P56" s="1326" t="s">
        <v>813</v>
      </c>
      <c r="Q56" s="1327" t="e">
        <f ca="1">C40+J29</f>
        <v>#DIV/0!</v>
      </c>
      <c r="R56" s="1327" t="s">
        <v>814</v>
      </c>
    </row>
    <row r="57" spans="1:18" s="1292" customFormat="1" ht="24.75" thickBot="1">
      <c r="A57" s="1356"/>
      <c r="B57" s="896" t="s">
        <v>763</v>
      </c>
      <c r="C57" s="230">
        <f ca="1">C29</f>
        <v>0</v>
      </c>
      <c r="D57" s="1357"/>
      <c r="E57" s="1358"/>
      <c r="F57" s="1359"/>
      <c r="I57" s="1360" t="s">
        <v>840</v>
      </c>
      <c r="J57" s="1361">
        <f ca="1">IF(OR(M47="住宅",J51&lt;L48,J56="是"),"——",J51-L48)</f>
        <v>0</v>
      </c>
      <c r="K57" s="1328" t="s">
        <v>888</v>
      </c>
      <c r="L57" s="1331">
        <f ca="1">IF(L48&lt;J51,"——",IF(L55="比较法",L49,IF(L55="基准地价",L50,L51)))</f>
        <v>0</v>
      </c>
      <c r="O57" s="1325" t="s">
        <v>404</v>
      </c>
      <c r="P57" s="1326" t="s">
        <v>889</v>
      </c>
      <c r="Q57" s="1327" t="e">
        <f ca="1">L60</f>
        <v>#DIV/0!</v>
      </c>
      <c r="R57" s="1327" t="s">
        <v>890</v>
      </c>
    </row>
    <row r="58" spans="1:18" s="1292" customFormat="1" ht="24.75" thickBot="1">
      <c r="A58" s="307" t="s">
        <v>393</v>
      </c>
      <c r="B58" s="904" t="s">
        <v>710</v>
      </c>
      <c r="C58" s="308">
        <f ca="1">ROUND(C59+C64+C65+C66,0)</f>
        <v>0</v>
      </c>
      <c r="D58" s="906" t="s">
        <v>711</v>
      </c>
      <c r="E58" s="907"/>
      <c r="F58" s="908"/>
      <c r="I58" s="1360" t="s">
        <v>844</v>
      </c>
      <c r="J58" s="1362" t="e">
        <f ca="1">IF(J55&lt;0.4,0.4,J55)</f>
        <v>#DIV/0!</v>
      </c>
      <c r="K58" s="1339" t="s">
        <v>891</v>
      </c>
      <c r="L58" s="1331" t="e">
        <f ca="1">ROUND(POWER(1+L52,L47-L48)*(POWER(1+L52,L48)-1)/(POWER(1+L52,L47)-1),4)</f>
        <v>#DIV/0!</v>
      </c>
      <c r="O58" s="1334" t="s">
        <v>405</v>
      </c>
      <c r="P58" s="1326" t="s">
        <v>846</v>
      </c>
      <c r="Q58" s="1327">
        <f>IF(L55="比较法",L49,IF(L55="基准地价",L50,0))</f>
        <v>0</v>
      </c>
      <c r="R58" s="1327" t="s">
        <v>814</v>
      </c>
    </row>
    <row r="59" spans="1:18" s="1292" customFormat="1" ht="24.75" thickBot="1">
      <c r="A59" s="928" t="s">
        <v>398</v>
      </c>
      <c r="B59" s="896" t="s">
        <v>715</v>
      </c>
      <c r="C59" s="2140">
        <f ca="1">ROUND(IF(AND(项目基本情况!B11="自然人",项目基本情况!B10="北京市"),C49*F59/(1+'数据-取费表'!C42),C60+C61+C62),0)</f>
        <v>0</v>
      </c>
      <c r="D59" s="909" t="s">
        <v>716</v>
      </c>
      <c r="E59" s="910" t="s">
        <v>717</v>
      </c>
      <c r="F59" s="2139" t="str">
        <f>IF(项目基本情况!B11="企业","——",IF('数据-取费表'!B10="住宅",IF(F49*F50*F51/12/(1+'数据-取费表'!F30)&gt;100000,4%,2.5%),IF(F49*F50*F51/12/(1+'数据-取费表'!F30)&gt;100000,12%,7%)))</f>
        <v>——</v>
      </c>
      <c r="I59" s="1360" t="s">
        <v>847</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848</v>
      </c>
      <c r="Q59" s="1337">
        <f>L52</f>
        <v>0</v>
      </c>
      <c r="R59" s="1327"/>
    </row>
    <row r="60" spans="1:18" s="1292" customFormat="1" ht="16.5" thickBot="1">
      <c r="A60" s="928" t="s">
        <v>397</v>
      </c>
      <c r="B60" s="896" t="s">
        <v>719</v>
      </c>
      <c r="C60" s="21">
        <f ca="1">IF(项目基本情况!B11="自然人","——",ROUND(C48*F60/(1+'数据-取费表'!C42),0))</f>
        <v>0</v>
      </c>
      <c r="D60" s="910" t="s">
        <v>720</v>
      </c>
      <c r="E60" s="896" t="s">
        <v>708</v>
      </c>
      <c r="F60" s="322">
        <f t="shared" ref="F60:F66" si="0">F32</f>
        <v>5.6000000000000001E-2</v>
      </c>
      <c r="I60" s="1363" t="s">
        <v>849</v>
      </c>
      <c r="J60" s="1364" t="e">
        <f ca="1">IF(OR(M47="住宅",J51&lt;L48,J56="是"),"0",ROUND(J59/(1+J52)^J53,0))</f>
        <v>#DIV/0!</v>
      </c>
      <c r="K60" s="1365" t="s">
        <v>850</v>
      </c>
      <c r="L60" s="1364" t="e">
        <f ca="1">IF(OR(M47="住宅",L48&lt;J51),0,ROUND(L57*(L58/L59-1),0))</f>
        <v>#DIV/0!</v>
      </c>
      <c r="O60" s="1334" t="s">
        <v>407</v>
      </c>
      <c r="P60" s="1326" t="s">
        <v>851</v>
      </c>
      <c r="Q60" s="1327" t="e">
        <f ca="1">L58</f>
        <v>#DIV/0!</v>
      </c>
      <c r="R60" s="1327" t="s">
        <v>852</v>
      </c>
    </row>
    <row r="61" spans="1:18" s="1292" customFormat="1" ht="13.5" thickBot="1">
      <c r="A61" s="928" t="s">
        <v>777</v>
      </c>
      <c r="B61" s="896" t="s">
        <v>778</v>
      </c>
      <c r="C61" s="21">
        <f ca="1">IF(项目基本情况!B11="自然人","——",IF(D61="按租金收入计税",ROUND(C49*F61/(1+'数据-取费表'!C42),0),IF(D61="按房产原值计税",ROUND(C57*F61*0.7,0),INDIRECT("'数据-取费表'!Aj"&amp;$G$1))))</f>
        <v>0</v>
      </c>
      <c r="D61" s="1278" t="s">
        <v>3319</v>
      </c>
      <c r="E61" s="896" t="s">
        <v>779</v>
      </c>
      <c r="F61" s="314">
        <f t="shared" si="0"/>
        <v>0.12</v>
      </c>
      <c r="I61" s="1366"/>
      <c r="J61" s="1366"/>
      <c r="K61" s="1366"/>
      <c r="L61" s="1366"/>
      <c r="O61" s="1334" t="s">
        <v>408</v>
      </c>
      <c r="P61" s="1326" t="str">
        <f>K59</f>
        <v>建筑物剩余耐用年限下的土地年期修正系数Kn</v>
      </c>
      <c r="Q61" s="1327" t="e">
        <f ca="1">L59</f>
        <v>#DIV/0!</v>
      </c>
      <c r="R61" s="1327" t="s">
        <v>853</v>
      </c>
    </row>
    <row r="62" spans="1:18" s="1292" customFormat="1" ht="13.5" thickBot="1">
      <c r="A62" s="928" t="s">
        <v>780</v>
      </c>
      <c r="B62" s="895" t="s">
        <v>781</v>
      </c>
      <c r="C62" s="22">
        <f ca="1">IF(项目基本情况!B11="自然人","——",ROUND(F62*F63,0))</f>
        <v>0</v>
      </c>
      <c r="D62" s="911" t="s">
        <v>782</v>
      </c>
      <c r="E62" s="896" t="s">
        <v>783</v>
      </c>
      <c r="F62" s="317">
        <f t="shared" si="0"/>
        <v>3</v>
      </c>
      <c r="I62" s="1367" t="s">
        <v>854</v>
      </c>
      <c r="J62" s="610" t="s">
        <v>855</v>
      </c>
      <c r="K62" s="610" t="s">
        <v>856</v>
      </c>
      <c r="L62" s="610" t="s">
        <v>857</v>
      </c>
      <c r="M62" s="1368" t="s">
        <v>858</v>
      </c>
      <c r="O62" s="1325" t="s">
        <v>409</v>
      </c>
      <c r="P62" s="1326" t="s">
        <v>859</v>
      </c>
      <c r="Q62" s="1327" t="e">
        <f ca="1">Q56+Q57</f>
        <v>#DIV/0!</v>
      </c>
      <c r="R62" s="1327" t="s">
        <v>410</v>
      </c>
    </row>
    <row r="63" spans="1:18" s="1292" customFormat="1" ht="13.5" thickBot="1">
      <c r="A63" s="318"/>
      <c r="B63" s="902"/>
      <c r="C63" s="26"/>
      <c r="D63" s="912"/>
      <c r="E63" s="896" t="s">
        <v>784</v>
      </c>
      <c r="F63" s="295">
        <f t="shared" ca="1" si="0"/>
        <v>0</v>
      </c>
      <c r="I63" s="1367" t="s">
        <v>860</v>
      </c>
      <c r="J63" s="610">
        <v>70</v>
      </c>
      <c r="K63" s="610">
        <v>50</v>
      </c>
      <c r="L63" s="610">
        <v>80</v>
      </c>
      <c r="M63" s="1369">
        <v>0.02</v>
      </c>
      <c r="O63" s="1310" t="s">
        <v>861</v>
      </c>
      <c r="P63" s="1289"/>
      <c r="Q63" s="1289"/>
      <c r="R63" s="1289"/>
    </row>
    <row r="64" spans="1:18" s="1292" customFormat="1" ht="13.5" thickBot="1">
      <c r="A64" s="928" t="s">
        <v>785</v>
      </c>
      <c r="B64" s="896" t="s">
        <v>786</v>
      </c>
      <c r="C64" s="21">
        <f ca="1">ROUND(C57*F64,0)</f>
        <v>0</v>
      </c>
      <c r="D64" s="910" t="s">
        <v>787</v>
      </c>
      <c r="E64" s="896" t="s">
        <v>779</v>
      </c>
      <c r="F64" s="320">
        <f t="shared" ca="1" si="0"/>
        <v>0</v>
      </c>
      <c r="I64" s="1367" t="s">
        <v>862</v>
      </c>
      <c r="J64" s="610">
        <v>50</v>
      </c>
      <c r="K64" s="610">
        <v>35</v>
      </c>
      <c r="L64" s="610">
        <v>60</v>
      </c>
      <c r="M64" s="1368">
        <v>0</v>
      </c>
      <c r="O64" s="1318" t="s">
        <v>807</v>
      </c>
      <c r="P64" s="1319" t="s">
        <v>808</v>
      </c>
      <c r="Q64" s="1320" t="s">
        <v>809</v>
      </c>
      <c r="R64" s="1320" t="s">
        <v>810</v>
      </c>
    </row>
    <row r="65" spans="1:18" s="1292" customFormat="1" ht="13.5" thickBot="1">
      <c r="A65" s="928" t="s">
        <v>788</v>
      </c>
      <c r="B65" s="896" t="s">
        <v>738</v>
      </c>
      <c r="C65" s="21">
        <f ca="1">ROUND(C56*F65,0)</f>
        <v>0</v>
      </c>
      <c r="D65" s="910" t="s">
        <v>739</v>
      </c>
      <c r="E65" s="896" t="s">
        <v>740</v>
      </c>
      <c r="F65" s="321">
        <f t="shared" ca="1" si="0"/>
        <v>0</v>
      </c>
      <c r="I65" s="1367" t="s">
        <v>863</v>
      </c>
      <c r="J65" s="610">
        <v>40</v>
      </c>
      <c r="K65" s="610">
        <v>30</v>
      </c>
      <c r="L65" s="610">
        <v>50</v>
      </c>
      <c r="M65" s="1369">
        <v>0.02</v>
      </c>
      <c r="O65" s="1325" t="s">
        <v>403</v>
      </c>
      <c r="P65" s="1326" t="s">
        <v>864</v>
      </c>
      <c r="Q65" s="1327" t="e">
        <f ca="1">C40+J29</f>
        <v>#DIV/0!</v>
      </c>
      <c r="R65" s="1327" t="s">
        <v>814</v>
      </c>
    </row>
    <row r="66" spans="1:18" s="1292" customFormat="1" ht="16.5" thickBot="1">
      <c r="A66" s="928" t="s">
        <v>789</v>
      </c>
      <c r="B66" s="896" t="s">
        <v>724</v>
      </c>
      <c r="C66" s="21">
        <f ca="1">ROUND(C48*F66,0)</f>
        <v>0</v>
      </c>
      <c r="D66" s="910" t="s">
        <v>790</v>
      </c>
      <c r="E66" s="896" t="s">
        <v>708</v>
      </c>
      <c r="F66" s="304">
        <f t="shared" ca="1" si="0"/>
        <v>0</v>
      </c>
      <c r="O66" s="1325" t="s">
        <v>404</v>
      </c>
      <c r="P66" s="1326" t="s">
        <v>842</v>
      </c>
      <c r="Q66" s="1327" t="e">
        <f ca="1">L60</f>
        <v>#DIV/0!</v>
      </c>
      <c r="R66" s="1327" t="s">
        <v>865</v>
      </c>
    </row>
    <row r="67" spans="1:18" s="1292" customFormat="1" ht="16.5" thickBot="1">
      <c r="A67" s="903" t="s">
        <v>394</v>
      </c>
      <c r="B67" s="913" t="s">
        <v>748</v>
      </c>
      <c r="C67" s="308">
        <f ca="1">C48-C58</f>
        <v>0</v>
      </c>
      <c r="D67" s="909" t="s">
        <v>749</v>
      </c>
      <c r="E67" s="914"/>
      <c r="F67" s="915"/>
      <c r="O67" s="1334" t="s">
        <v>405</v>
      </c>
      <c r="P67" s="1326" t="s">
        <v>846</v>
      </c>
      <c r="Q67" s="1370">
        <f ca="1">L51</f>
        <v>0</v>
      </c>
      <c r="R67" s="1327" t="s">
        <v>866</v>
      </c>
    </row>
    <row r="68" spans="1:18" s="1292" customFormat="1" ht="16.5" thickBot="1">
      <c r="A68" s="893" t="s">
        <v>395</v>
      </c>
      <c r="B68" s="894" t="s">
        <v>770</v>
      </c>
      <c r="C68" s="293" t="e">
        <f ca="1">ROUND(C67*(1-((1+F70)/(1+F68))^F69)/(F68-F70),0)</f>
        <v>#DIV/0!</v>
      </c>
      <c r="D68" s="911" t="s">
        <v>754</v>
      </c>
      <c r="E68" s="896" t="s">
        <v>755</v>
      </c>
      <c r="F68" s="304">
        <f ca="1">F40</f>
        <v>0</v>
      </c>
      <c r="O68" s="1334" t="s">
        <v>406</v>
      </c>
      <c r="P68" s="1371" t="s">
        <v>867</v>
      </c>
      <c r="Q68" s="1327">
        <f ca="1">ROUND(Q69-Q70*Q71,0)</f>
        <v>0</v>
      </c>
      <c r="R68" s="1327" t="s">
        <v>414</v>
      </c>
    </row>
    <row r="69" spans="1:18" s="1292" customFormat="1" ht="13.5" thickBot="1">
      <c r="A69" s="897"/>
      <c r="B69" s="898"/>
      <c r="C69" s="298"/>
      <c r="D69" s="916" t="s">
        <v>758</v>
      </c>
      <c r="E69" s="896" t="s">
        <v>759</v>
      </c>
      <c r="F69" s="324">
        <f ca="1">F41</f>
        <v>0</v>
      </c>
      <c r="O69" s="1334" t="s">
        <v>411</v>
      </c>
      <c r="P69" s="1371" t="s">
        <v>868</v>
      </c>
      <c r="Q69" s="1327">
        <f ca="1">C39</f>
        <v>0</v>
      </c>
      <c r="R69" s="1327" t="s">
        <v>814</v>
      </c>
    </row>
    <row r="70" spans="1:18" s="1292" customFormat="1" ht="13.5" thickBot="1">
      <c r="A70" s="900"/>
      <c r="B70" s="901"/>
      <c r="C70" s="302"/>
      <c r="D70" s="912"/>
      <c r="E70" s="896" t="s">
        <v>762</v>
      </c>
      <c r="F70" s="991"/>
      <c r="O70" s="1334" t="s">
        <v>412</v>
      </c>
      <c r="P70" s="1371" t="s">
        <v>869</v>
      </c>
      <c r="Q70" s="1327">
        <f ca="1">C13</f>
        <v>0</v>
      </c>
      <c r="R70" s="1327" t="s">
        <v>814</v>
      </c>
    </row>
    <row r="71" spans="1:18" s="1292" customFormat="1" ht="13.5" thickBot="1">
      <c r="A71" s="917" t="s">
        <v>396</v>
      </c>
      <c r="B71" s="918" t="s">
        <v>772</v>
      </c>
      <c r="C71" s="327" t="e">
        <f ca="1">ROUND(C68/F71,0)</f>
        <v>#DIV/0!</v>
      </c>
      <c r="D71" s="919" t="s">
        <v>773</v>
      </c>
      <c r="E71" s="920" t="s">
        <v>774</v>
      </c>
      <c r="F71" s="330">
        <f ca="1">F43</f>
        <v>0</v>
      </c>
      <c r="O71" s="1334" t="s">
        <v>413</v>
      </c>
      <c r="P71" s="1371" t="s">
        <v>870</v>
      </c>
      <c r="Q71" s="1337">
        <f ca="1">C76</f>
        <v>0</v>
      </c>
      <c r="R71" s="1327"/>
    </row>
    <row r="72" spans="1:18" s="1292" customFormat="1" ht="13.5" thickBot="1">
      <c r="B72" s="685"/>
      <c r="C72" s="685"/>
      <c r="O72" s="1334" t="s">
        <v>407</v>
      </c>
      <c r="P72" s="1326" t="s">
        <v>848</v>
      </c>
      <c r="Q72" s="1337">
        <f>L52</f>
        <v>0</v>
      </c>
      <c r="R72" s="1327"/>
    </row>
    <row r="73" spans="1:18" ht="16.5" thickBot="1">
      <c r="A73" s="1292"/>
      <c r="B73" s="685"/>
      <c r="C73" s="685"/>
      <c r="D73" s="1292"/>
      <c r="E73" s="1292"/>
      <c r="F73" s="1292"/>
      <c r="O73" s="1334" t="s">
        <v>408</v>
      </c>
      <c r="P73" s="1326" t="s">
        <v>851</v>
      </c>
      <c r="Q73" s="1327" t="e">
        <f ca="1">L58</f>
        <v>#DIV/0!</v>
      </c>
      <c r="R73" s="1327" t="s">
        <v>852</v>
      </c>
    </row>
    <row r="74" spans="1:18" ht="13.5" thickBot="1">
      <c r="A74" s="1292"/>
      <c r="B74" s="265" t="s">
        <v>871</v>
      </c>
      <c r="C74" s="1373"/>
      <c r="D74" s="1292"/>
      <c r="E74" s="1292"/>
      <c r="F74" s="1292"/>
      <c r="O74" s="1334" t="s">
        <v>415</v>
      </c>
      <c r="P74" s="1326" t="str">
        <f>K59</f>
        <v>建筑物剩余耐用年限下的土地年期修正系数Kn</v>
      </c>
      <c r="Q74" s="1327" t="e">
        <f ca="1">L59</f>
        <v>#DIV/0!</v>
      </c>
      <c r="R74" s="1327" t="s">
        <v>853</v>
      </c>
    </row>
    <row r="75" spans="1:18" ht="13.5" thickBot="1">
      <c r="A75" s="1292"/>
      <c r="B75" s="331" t="s">
        <v>791</v>
      </c>
      <c r="C75" s="332">
        <f ca="1">ROUND(C13*C76,0)</f>
        <v>0</v>
      </c>
      <c r="D75" s="1292"/>
      <c r="E75" s="1292"/>
      <c r="F75" s="1292"/>
      <c r="K75" s="1309"/>
      <c r="L75" s="1292"/>
      <c r="O75" s="1325" t="s">
        <v>409</v>
      </c>
      <c r="P75" s="1326" t="s">
        <v>834</v>
      </c>
      <c r="Q75" s="1327" t="e">
        <f ca="1">Q65+Q66</f>
        <v>#DIV/0!</v>
      </c>
      <c r="R75" s="1327" t="s">
        <v>410</v>
      </c>
    </row>
    <row r="76" spans="1:18">
      <c r="B76" s="333" t="s">
        <v>792</v>
      </c>
      <c r="C76" s="334">
        <f ca="1">INDIRECT("'数据-取费表'!j"&amp;$G$1)</f>
        <v>0</v>
      </c>
      <c r="I76" s="1292"/>
      <c r="J76" s="1292"/>
      <c r="K76" s="1309"/>
      <c r="L76" s="1292"/>
    </row>
    <row r="77" spans="1:18">
      <c r="B77" s="335" t="s">
        <v>793</v>
      </c>
      <c r="C77" s="336"/>
      <c r="I77" s="1292"/>
      <c r="J77" s="1292"/>
      <c r="K77" s="1309"/>
      <c r="L77" s="1292"/>
    </row>
    <row r="78" spans="1:18">
      <c r="B78" s="262" t="s">
        <v>794</v>
      </c>
      <c r="C78" s="337"/>
    </row>
    <row r="79" spans="1:18">
      <c r="B79" s="331" t="s">
        <v>795</v>
      </c>
      <c r="C79" s="266" t="e">
        <f ca="1">1-C80</f>
        <v>#DIV/0!</v>
      </c>
    </row>
    <row r="80" spans="1:18">
      <c r="B80" s="331" t="s">
        <v>796</v>
      </c>
      <c r="C80" s="266" t="e">
        <f ca="1">ROUND(C75/C39,3)</f>
        <v>#DIV/0!</v>
      </c>
    </row>
    <row r="81" spans="2:3">
      <c r="B81" s="262" t="s">
        <v>797</v>
      </c>
      <c r="C81" s="230"/>
    </row>
    <row r="82" spans="2:3">
      <c r="B82" s="265" t="s">
        <v>798</v>
      </c>
      <c r="C82" s="267" t="e">
        <f ca="1">1-C83</f>
        <v>#DIV/0!</v>
      </c>
    </row>
    <row r="83" spans="2:3">
      <c r="B83" s="265" t="s">
        <v>799</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9" priority="3">
      <formula>$F$10="自定义"</formula>
    </cfRule>
  </conditionalFormatting>
  <conditionalFormatting sqref="C54">
    <cfRule type="expression" dxfId="98" priority="1">
      <formula>$F$53="自定义"</formula>
    </cfRule>
  </conditionalFormatting>
  <conditionalFormatting sqref="I55 I60">
    <cfRule type="expression" dxfId="97" priority="5">
      <formula>$J$51&gt;$L$48</formula>
    </cfRule>
  </conditionalFormatting>
  <conditionalFormatting sqref="J11">
    <cfRule type="expression" dxfId="96" priority="2">
      <formula>$M$10="自定义"</formula>
    </cfRule>
  </conditionalFormatting>
  <conditionalFormatting sqref="K55 K60">
    <cfRule type="expression" dxfId="9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20" sqref="F20"/>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2420</v>
      </c>
      <c r="B1" s="2584"/>
      <c r="C1" s="2596"/>
      <c r="D1" s="2596"/>
      <c r="E1" s="2585"/>
      <c r="F1" s="2586"/>
      <c r="G1" s="2587"/>
      <c r="J1" s="2590" t="s">
        <v>2299</v>
      </c>
      <c r="K1" s="2591"/>
      <c r="L1" s="2591"/>
      <c r="M1" s="2591"/>
      <c r="N1" s="2591"/>
      <c r="O1" s="2591"/>
      <c r="P1" s="2591"/>
      <c r="Q1" s="2591"/>
      <c r="R1" s="2592"/>
      <c r="S1" s="2593"/>
      <c r="T1" s="2593"/>
      <c r="U1" s="2593"/>
    </row>
    <row r="2" spans="1:22" s="2605" customFormat="1" ht="13.15" customHeight="1">
      <c r="A2" s="1293" t="s">
        <v>2300</v>
      </c>
      <c r="B2" s="2595" t="e">
        <f>IF(D2="——",C40,C40+E2)</f>
        <v>#DIV/0!</v>
      </c>
      <c r="C2" s="2596" t="s">
        <v>2301</v>
      </c>
      <c r="D2" s="3139" t="s">
        <v>3342</v>
      </c>
      <c r="E2" s="3140"/>
      <c r="F2" s="2598"/>
      <c r="G2" s="2599"/>
      <c r="H2" s="2600"/>
      <c r="I2" s="2601"/>
      <c r="J2" s="3444" t="s">
        <v>2302</v>
      </c>
      <c r="K2" s="3445"/>
      <c r="L2" s="2602" t="s">
        <v>2303</v>
      </c>
      <c r="M2" s="2602" t="s">
        <v>2304</v>
      </c>
      <c r="N2" s="2602" t="s">
        <v>2305</v>
      </c>
      <c r="O2" s="2602" t="s">
        <v>2306</v>
      </c>
      <c r="P2" s="2602" t="s">
        <v>2307</v>
      </c>
      <c r="Q2" s="2603" t="s">
        <v>2308</v>
      </c>
      <c r="R2" s="2604" t="s">
        <v>2309</v>
      </c>
      <c r="S2" s="2593"/>
      <c r="T2" s="2593"/>
      <c r="U2" s="2593"/>
      <c r="V2" s="2601"/>
    </row>
    <row r="3" spans="1:22" s="2605" customFormat="1" ht="13.15" customHeight="1">
      <c r="A3" s="2606" t="s">
        <v>2310</v>
      </c>
      <c r="B3" s="2607" t="e">
        <f>ROUND(B2*10000/B4,0)</f>
        <v>#DIV/0!</v>
      </c>
      <c r="C3" s="2596" t="s">
        <v>2311</v>
      </c>
      <c r="D3" s="2596"/>
      <c r="E3" s="2597"/>
      <c r="F3" s="2598"/>
      <c r="G3" s="2599"/>
      <c r="H3" s="2600"/>
      <c r="I3" s="2601"/>
      <c r="J3" s="3446" t="s">
        <v>2312</v>
      </c>
      <c r="K3" s="3447"/>
      <c r="L3" s="2608"/>
      <c r="M3" s="2608"/>
      <c r="N3" s="2608"/>
      <c r="O3" s="2608"/>
      <c r="P3" s="2608"/>
      <c r="Q3" s="2609"/>
      <c r="R3" s="2610">
        <f>SUM(L3:Q3)</f>
        <v>0</v>
      </c>
      <c r="S3" s="2593"/>
      <c r="T3" s="2593"/>
      <c r="U3" s="2593"/>
      <c r="V3" s="2601"/>
    </row>
    <row r="4" spans="1:22" s="2605" customFormat="1" ht="13.15" customHeight="1">
      <c r="A4" s="2611" t="s">
        <v>2313</v>
      </c>
      <c r="B4" s="2612"/>
      <c r="C4" s="2596"/>
      <c r="D4" s="2596"/>
      <c r="E4" s="2597"/>
      <c r="F4" s="2598"/>
      <c r="G4" s="2599"/>
      <c r="H4" s="2600"/>
      <c r="I4" s="2601"/>
      <c r="J4" s="3446" t="s">
        <v>2314</v>
      </c>
      <c r="K4" s="3447"/>
      <c r="L4" s="2613"/>
      <c r="M4" s="2613"/>
      <c r="N4" s="2613"/>
      <c r="O4" s="2613"/>
      <c r="P4" s="2613"/>
      <c r="Q4" s="2614"/>
      <c r="R4" s="2615">
        <f>SUM(L4:Q4)</f>
        <v>0</v>
      </c>
      <c r="S4" s="2593"/>
      <c r="T4" s="2593"/>
      <c r="U4" s="2593"/>
      <c r="V4" s="2601"/>
    </row>
    <row r="5" spans="1:22" s="2605" customFormat="1" ht="13.15" customHeight="1" thickBot="1">
      <c r="A5" s="2616" t="s">
        <v>2315</v>
      </c>
      <c r="B5" s="2617"/>
      <c r="C5" s="2596"/>
      <c r="D5" s="2618"/>
      <c r="E5" s="2598"/>
      <c r="F5" s="2598"/>
      <c r="G5" s="2599"/>
      <c r="H5" s="2600"/>
      <c r="I5" s="2601"/>
      <c r="J5" s="2619" t="s">
        <v>2316</v>
      </c>
      <c r="K5" s="2620"/>
      <c r="L5" s="2620"/>
      <c r="M5" s="2621"/>
      <c r="N5" s="2621"/>
      <c r="O5" s="2621"/>
      <c r="P5" s="2621"/>
      <c r="Q5" s="2621"/>
      <c r="R5" s="2604">
        <f>SUM(R14,R19,R24,R25,R27,R28)</f>
        <v>0</v>
      </c>
      <c r="S5" s="2593"/>
      <c r="T5" s="2593" t="s">
        <v>2317</v>
      </c>
      <c r="U5" s="2593" t="e">
        <f>ROUND(R5*10000/365/R3,1)</f>
        <v>#DIV/0!</v>
      </c>
      <c r="V5" s="2601"/>
    </row>
    <row r="6" spans="1:22" s="2605" customFormat="1" ht="13.15" customHeight="1" thickBot="1">
      <c r="A6" s="3448" t="s">
        <v>2318</v>
      </c>
      <c r="B6" s="3449"/>
      <c r="C6" s="3450"/>
      <c r="D6" s="2622"/>
      <c r="E6" s="2623"/>
      <c r="F6" s="2624"/>
      <c r="G6" s="2625"/>
      <c r="H6" s="2600"/>
      <c r="I6" s="2601"/>
      <c r="J6" s="3451">
        <v>1</v>
      </c>
      <c r="K6" s="3452" t="s">
        <v>2319</v>
      </c>
      <c r="L6" s="2626" t="s">
        <v>2320</v>
      </c>
      <c r="M6" s="2627" t="s">
        <v>2321</v>
      </c>
      <c r="N6" s="2627" t="s">
        <v>2322</v>
      </c>
      <c r="O6" s="2627" t="s">
        <v>2323</v>
      </c>
      <c r="P6" s="2627" t="s">
        <v>2324</v>
      </c>
      <c r="Q6" s="2627" t="s">
        <v>2325</v>
      </c>
      <c r="R6" s="2610" t="s">
        <v>2326</v>
      </c>
      <c r="S6" s="2593"/>
      <c r="T6" s="2593" t="s">
        <v>2327</v>
      </c>
      <c r="U6" s="2593"/>
      <c r="V6" s="2601"/>
    </row>
    <row r="7" spans="1:22" s="2605" customFormat="1" ht="13.15" customHeight="1">
      <c r="A7" s="2628" t="s">
        <v>2328</v>
      </c>
      <c r="B7" s="2629"/>
      <c r="C7" s="2630"/>
      <c r="D7" s="2631">
        <f>SUM(D9,D10,D11,D17,0)</f>
        <v>0</v>
      </c>
      <c r="E7" s="2632" t="e">
        <f>E9+E10+E11+E17</f>
        <v>#DIV/0!</v>
      </c>
      <c r="F7" s="2633"/>
      <c r="G7" s="2634"/>
      <c r="H7" s="2600"/>
      <c r="I7" s="2601"/>
      <c r="J7" s="3451"/>
      <c r="K7" s="3453"/>
      <c r="L7" s="2635" t="s">
        <v>2329</v>
      </c>
      <c r="M7" s="2636"/>
      <c r="N7" s="2612"/>
      <c r="O7" s="2637"/>
      <c r="P7" s="2637"/>
      <c r="Q7" s="2638">
        <v>365</v>
      </c>
      <c r="R7" s="2639">
        <f>ROUND(M7*N7*O7*P7*Q7/10000,0)</f>
        <v>0</v>
      </c>
      <c r="S7" s="2593"/>
      <c r="T7" s="2593" t="s">
        <v>2330</v>
      </c>
      <c r="U7" s="2593"/>
      <c r="V7" s="2601"/>
    </row>
    <row r="8" spans="1:22" s="2605" customFormat="1" ht="13.15" customHeight="1">
      <c r="A8" s="2640" t="s">
        <v>2331</v>
      </c>
      <c r="B8" s="3455" t="s">
        <v>2332</v>
      </c>
      <c r="C8" s="3456"/>
      <c r="D8" s="2641" t="s">
        <v>2333</v>
      </c>
      <c r="E8" s="2642" t="s">
        <v>2334</v>
      </c>
      <c r="F8" s="2643" t="s">
        <v>2335</v>
      </c>
      <c r="G8" s="2644"/>
      <c r="H8" s="2600"/>
      <c r="I8" s="2601"/>
      <c r="J8" s="3451"/>
      <c r="K8" s="3453"/>
      <c r="L8" s="2635" t="s">
        <v>2336</v>
      </c>
      <c r="M8" s="2636"/>
      <c r="N8" s="2612"/>
      <c r="O8" s="2637"/>
      <c r="P8" s="2637"/>
      <c r="Q8" s="2638">
        <v>365</v>
      </c>
      <c r="R8" s="2639">
        <f t="shared" ref="R8:R13" si="0">ROUND(M8*N8*O8*P8*Q8/10000,0)</f>
        <v>0</v>
      </c>
      <c r="S8" s="2593"/>
      <c r="T8" s="2593" t="s">
        <v>2337</v>
      </c>
      <c r="U8" s="2593"/>
      <c r="V8" s="2601"/>
    </row>
    <row r="9" spans="1:22" s="2605" customFormat="1" ht="13.15" customHeight="1">
      <c r="A9" s="2640">
        <v>1</v>
      </c>
      <c r="B9" s="3455" t="s">
        <v>2338</v>
      </c>
      <c r="C9" s="3456"/>
      <c r="D9" s="2641">
        <f>ROUND(D6*E9,0)</f>
        <v>0</v>
      </c>
      <c r="E9" s="2645"/>
      <c r="F9" s="2646" t="s">
        <v>2339</v>
      </c>
      <c r="G9" s="2625"/>
      <c r="H9" s="2600"/>
      <c r="I9" s="2601"/>
      <c r="J9" s="3451"/>
      <c r="K9" s="3453"/>
      <c r="L9" s="2635" t="s">
        <v>2340</v>
      </c>
      <c r="M9" s="2636"/>
      <c r="N9" s="2612"/>
      <c r="O9" s="2637"/>
      <c r="P9" s="2637"/>
      <c r="Q9" s="2638">
        <v>365</v>
      </c>
      <c r="R9" s="2639">
        <f t="shared" si="0"/>
        <v>0</v>
      </c>
      <c r="S9" s="2593"/>
      <c r="T9" s="2593"/>
      <c r="U9" s="2593"/>
      <c r="V9" s="2601"/>
    </row>
    <row r="10" spans="1:22" s="2605" customFormat="1" ht="13.15" customHeight="1">
      <c r="A10" s="2640">
        <v>2</v>
      </c>
      <c r="B10" s="3455" t="s">
        <v>2341</v>
      </c>
      <c r="C10" s="3456"/>
      <c r="D10" s="2641">
        <f>ROUND(D6*E10,0)</f>
        <v>0</v>
      </c>
      <c r="E10" s="2645"/>
      <c r="F10" s="2646" t="s">
        <v>2342</v>
      </c>
      <c r="G10" s="2625"/>
      <c r="H10" s="2600"/>
      <c r="I10" s="2601"/>
      <c r="J10" s="3451"/>
      <c r="K10" s="3453"/>
      <c r="L10" s="2635" t="s">
        <v>2343</v>
      </c>
      <c r="M10" s="2636"/>
      <c r="N10" s="2612"/>
      <c r="O10" s="2637"/>
      <c r="P10" s="2637"/>
      <c r="Q10" s="2638">
        <v>365</v>
      </c>
      <c r="R10" s="2639">
        <f t="shared" si="0"/>
        <v>0</v>
      </c>
      <c r="S10" s="2593"/>
      <c r="T10" s="2593"/>
      <c r="U10" s="2593"/>
      <c r="V10" s="2601"/>
    </row>
    <row r="11" spans="1:22" s="2605" customFormat="1" ht="13.15" customHeight="1">
      <c r="A11" s="2640">
        <v>3</v>
      </c>
      <c r="B11" s="3455" t="s">
        <v>2344</v>
      </c>
      <c r="C11" s="3456"/>
      <c r="D11" s="2641">
        <f>D12+D14+D15+D16</f>
        <v>0</v>
      </c>
      <c r="E11" s="2647" t="e">
        <f>D11/D6</f>
        <v>#DIV/0!</v>
      </c>
      <c r="F11" s="2643"/>
      <c r="G11" s="2644"/>
      <c r="H11" s="2600"/>
      <c r="I11" s="2601"/>
      <c r="J11" s="3451"/>
      <c r="K11" s="3453"/>
      <c r="L11" s="2635" t="s">
        <v>2345</v>
      </c>
      <c r="M11" s="2636"/>
      <c r="N11" s="2612"/>
      <c r="O11" s="2637"/>
      <c r="P11" s="2637"/>
      <c r="Q11" s="2638">
        <v>365</v>
      </c>
      <c r="R11" s="2639">
        <f t="shared" si="0"/>
        <v>0</v>
      </c>
      <c r="S11" s="2593"/>
      <c r="T11" s="2593"/>
      <c r="U11" s="2593"/>
      <c r="V11" s="2601"/>
    </row>
    <row r="12" spans="1:22" s="2605" customFormat="1" ht="13.15" customHeight="1">
      <c r="A12" s="2648" t="s">
        <v>2346</v>
      </c>
      <c r="B12" s="3457" t="s">
        <v>2347</v>
      </c>
      <c r="C12" s="3458"/>
      <c r="D12" s="2649">
        <f>ROUND(D13*1.2%*(1-30%),0)</f>
        <v>0</v>
      </c>
      <c r="E12" s="2650">
        <v>1.2E-2</v>
      </c>
      <c r="F12" s="2643" t="s">
        <v>2348</v>
      </c>
      <c r="G12" s="2644"/>
      <c r="H12" s="2600"/>
      <c r="I12" s="2601"/>
      <c r="J12" s="3451"/>
      <c r="K12" s="3453"/>
      <c r="L12" s="2635" t="s">
        <v>2349</v>
      </c>
      <c r="M12" s="2636"/>
      <c r="N12" s="2612"/>
      <c r="O12" s="2637"/>
      <c r="P12" s="2637"/>
      <c r="Q12" s="2638">
        <v>365</v>
      </c>
      <c r="R12" s="2639">
        <f t="shared" si="0"/>
        <v>0</v>
      </c>
      <c r="S12" s="2593"/>
      <c r="T12" s="2593"/>
      <c r="U12" s="2593"/>
      <c r="V12" s="2601"/>
    </row>
    <row r="13" spans="1:22" s="2605" customFormat="1" ht="13.15" customHeight="1">
      <c r="A13" s="2648"/>
      <c r="B13" s="2651"/>
      <c r="C13" s="2652" t="s">
        <v>2350</v>
      </c>
      <c r="D13" s="2653"/>
      <c r="E13" s="2654"/>
      <c r="F13" s="2643"/>
      <c r="G13" s="2644"/>
      <c r="H13" s="2600"/>
      <c r="I13" s="2601"/>
      <c r="J13" s="3451"/>
      <c r="K13" s="3453"/>
      <c r="L13" s="2635" t="s">
        <v>2351</v>
      </c>
      <c r="M13" s="2636"/>
      <c r="N13" s="2612"/>
      <c r="O13" s="2637"/>
      <c r="P13" s="2637"/>
      <c r="Q13" s="2638">
        <v>365</v>
      </c>
      <c r="R13" s="2639">
        <f t="shared" si="0"/>
        <v>0</v>
      </c>
      <c r="S13" s="2593"/>
      <c r="T13" s="2593"/>
      <c r="U13" s="2593"/>
      <c r="V13" s="2601"/>
    </row>
    <row r="14" spans="1:22" s="2605" customFormat="1" ht="13.15" customHeight="1">
      <c r="A14" s="2648" t="s">
        <v>2352</v>
      </c>
      <c r="B14" s="3457" t="s">
        <v>2353</v>
      </c>
      <c r="C14" s="3458"/>
      <c r="D14" s="2649">
        <f>ROUND(E14*B5/10000,0)</f>
        <v>0</v>
      </c>
      <c r="E14" s="2638"/>
      <c r="F14" s="2643" t="s">
        <v>2354</v>
      </c>
      <c r="G14" s="2644"/>
      <c r="H14" s="2600"/>
      <c r="I14" s="2601"/>
      <c r="J14" s="3451"/>
      <c r="K14" s="3454"/>
      <c r="L14" s="2655" t="s">
        <v>2355</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2356</v>
      </c>
      <c r="B15" s="3457" t="s">
        <v>2357</v>
      </c>
      <c r="C15" s="3458"/>
      <c r="D15" s="2649">
        <f>ROUND(D6*E15,0)</f>
        <v>0</v>
      </c>
      <c r="E15" s="2650">
        <v>5.5E-2</v>
      </c>
      <c r="F15" s="2643" t="s">
        <v>2358</v>
      </c>
      <c r="G15" s="2625"/>
      <c r="H15" s="2600"/>
      <c r="I15" s="2601"/>
      <c r="J15" s="3451">
        <v>2</v>
      </c>
      <c r="K15" s="3452" t="s">
        <v>2359</v>
      </c>
      <c r="L15" s="2635" t="s">
        <v>2360</v>
      </c>
      <c r="M15" s="2636" t="s">
        <v>2361</v>
      </c>
      <c r="N15" s="2636" t="s">
        <v>2362</v>
      </c>
      <c r="O15" s="2637" t="s">
        <v>2363</v>
      </c>
      <c r="P15" s="2637" t="s">
        <v>2325</v>
      </c>
      <c r="Q15" s="2612" t="s">
        <v>2364</v>
      </c>
      <c r="R15" s="2659" t="s">
        <v>2326</v>
      </c>
      <c r="S15" s="2593"/>
      <c r="T15" s="2593"/>
      <c r="U15" s="2593"/>
      <c r="V15" s="2601"/>
    </row>
    <row r="16" spans="1:22" s="2605" customFormat="1" ht="13.15" customHeight="1">
      <c r="A16" s="2648" t="s">
        <v>2365</v>
      </c>
      <c r="B16" s="3457" t="s">
        <v>2366</v>
      </c>
      <c r="C16" s="3458"/>
      <c r="D16" s="2660">
        <f>D6*E16</f>
        <v>0</v>
      </c>
      <c r="E16" s="2661"/>
      <c r="F16" s="2646" t="s">
        <v>2367</v>
      </c>
      <c r="G16" s="2625"/>
      <c r="H16" s="2600"/>
      <c r="I16" s="2601"/>
      <c r="J16" s="3451"/>
      <c r="K16" s="3453"/>
      <c r="L16" s="2635" t="s">
        <v>2368</v>
      </c>
      <c r="M16" s="2636"/>
      <c r="N16" s="2636"/>
      <c r="O16" s="2637"/>
      <c r="P16" s="2638">
        <v>365</v>
      </c>
      <c r="Q16" s="2612"/>
      <c r="R16" s="2659">
        <f>ROUND(M16*N16*O16*P16/10000,0)</f>
        <v>0</v>
      </c>
      <c r="S16" s="2593"/>
      <c r="T16" s="2593"/>
      <c r="U16" s="2593"/>
      <c r="V16" s="2601"/>
    </row>
    <row r="17" spans="1:22" s="2605" customFormat="1" ht="13.15" customHeight="1" thickBot="1">
      <c r="A17" s="2662">
        <v>4</v>
      </c>
      <c r="B17" s="3459" t="s">
        <v>2369</v>
      </c>
      <c r="C17" s="3460"/>
      <c r="D17" s="2663">
        <f>ROUND(D6*E17,0)</f>
        <v>0</v>
      </c>
      <c r="E17" s="2664"/>
      <c r="F17" s="2665" t="s">
        <v>2370</v>
      </c>
      <c r="G17" s="2625"/>
      <c r="H17" s="2600"/>
      <c r="I17" s="2601"/>
      <c r="J17" s="3451"/>
      <c r="K17" s="3453"/>
      <c r="L17" s="2635" t="s">
        <v>2371</v>
      </c>
      <c r="M17" s="2636"/>
      <c r="N17" s="2636"/>
      <c r="O17" s="2637"/>
      <c r="P17" s="2638">
        <v>365</v>
      </c>
      <c r="Q17" s="2612"/>
      <c r="R17" s="2659">
        <f>ROUND(M17*N17*O17*P17/10000,0)</f>
        <v>0</v>
      </c>
      <c r="S17" s="2593"/>
      <c r="T17" s="2593"/>
      <c r="U17" s="2593"/>
      <c r="V17" s="2601"/>
    </row>
    <row r="18" spans="1:22" s="2605" customFormat="1" ht="13.15" customHeight="1" thickBot="1">
      <c r="A18" s="2628" t="s">
        <v>2372</v>
      </c>
      <c r="B18" s="2629"/>
      <c r="C18" s="2629"/>
      <c r="D18" s="2666">
        <f>ROUND(D6*E18,0)</f>
        <v>0</v>
      </c>
      <c r="E18" s="2667"/>
      <c r="F18" s="2668" t="s">
        <v>2373</v>
      </c>
      <c r="G18" s="2625"/>
      <c r="H18" s="2600"/>
      <c r="I18" s="2601"/>
      <c r="J18" s="3451"/>
      <c r="K18" s="3453"/>
      <c r="L18" s="2635" t="s">
        <v>2374</v>
      </c>
      <c r="M18" s="2636"/>
      <c r="N18" s="2636"/>
      <c r="O18" s="2637"/>
      <c r="P18" s="2638">
        <v>365</v>
      </c>
      <c r="Q18" s="2612"/>
      <c r="R18" s="2659">
        <f>ROUND(M18*N18*O18*P18/10000,0)</f>
        <v>0</v>
      </c>
      <c r="S18" s="2593"/>
      <c r="T18" s="2593"/>
      <c r="U18" s="2593"/>
      <c r="V18" s="2601"/>
    </row>
    <row r="19" spans="1:22" s="2605" customFormat="1" ht="13.15" customHeight="1" thickBot="1">
      <c r="A19" s="2669" t="s">
        <v>2375</v>
      </c>
      <c r="B19" s="2623"/>
      <c r="C19" s="2623"/>
      <c r="D19" s="2623"/>
      <c r="E19" s="2623"/>
      <c r="F19" s="2624"/>
      <c r="G19" s="2644"/>
      <c r="H19" s="2600"/>
      <c r="I19" s="2601"/>
      <c r="J19" s="3451"/>
      <c r="K19" s="3454"/>
      <c r="L19" s="2655" t="s">
        <v>2355</v>
      </c>
      <c r="M19" s="2656"/>
      <c r="N19" s="2656">
        <f>SUM(N16:N18)</f>
        <v>0</v>
      </c>
      <c r="O19" s="2657"/>
      <c r="P19" s="2670" t="s">
        <v>2419</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51">
        <v>3</v>
      </c>
      <c r="K20" s="3452" t="s">
        <v>2376</v>
      </c>
      <c r="L20" s="2635" t="s">
        <v>2377</v>
      </c>
      <c r="M20" s="2636" t="s">
        <v>2378</v>
      </c>
      <c r="N20" s="2673" t="s">
        <v>2379</v>
      </c>
      <c r="O20" s="2637" t="s">
        <v>2380</v>
      </c>
      <c r="P20" s="2638" t="s">
        <v>2381</v>
      </c>
      <c r="Q20" s="2612" t="s">
        <v>2382</v>
      </c>
      <c r="R20" s="2659" t="s">
        <v>2383</v>
      </c>
      <c r="S20" s="2593"/>
      <c r="T20" s="2593"/>
      <c r="U20" s="2593"/>
      <c r="V20" s="2601"/>
    </row>
    <row r="21" spans="1:22" s="2605" customFormat="1" ht="13.15" customHeight="1">
      <c r="A21" s="2628"/>
      <c r="B21" s="2629"/>
      <c r="C21" s="2674" t="s">
        <v>2384</v>
      </c>
      <c r="D21" s="2675" t="s">
        <v>2385</v>
      </c>
      <c r="E21" s="2676" t="s">
        <v>2386</v>
      </c>
      <c r="F21" s="2672"/>
      <c r="G21" s="2644"/>
      <c r="H21" s="2600"/>
      <c r="I21" s="2601"/>
      <c r="J21" s="3451"/>
      <c r="K21" s="3453"/>
      <c r="L21" s="2635" t="s">
        <v>2387</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2388</v>
      </c>
      <c r="D22" s="2679" t="s">
        <v>2389</v>
      </c>
      <c r="E22" s="2680" t="s">
        <v>2390</v>
      </c>
      <c r="F22" s="2672"/>
      <c r="G22" s="2593"/>
      <c r="H22" s="2600"/>
      <c r="I22" s="2601"/>
      <c r="J22" s="3451"/>
      <c r="K22" s="3453"/>
      <c r="L22" s="2635" t="s">
        <v>2391</v>
      </c>
      <c r="M22" s="2636"/>
      <c r="N22" s="2636"/>
      <c r="O22" s="2637"/>
      <c r="P22" s="2638">
        <v>365</v>
      </c>
      <c r="Q22" s="2612"/>
      <c r="R22" s="2677">
        <f>ROUND(M22*N22*O22*P22/10000,0)</f>
        <v>0</v>
      </c>
      <c r="S22" s="2593"/>
      <c r="T22" s="2593"/>
      <c r="U22" s="2593"/>
      <c r="V22" s="2601"/>
    </row>
    <row r="23" spans="1:22" s="2605" customFormat="1" ht="13.15" customHeight="1">
      <c r="A23" s="2681">
        <v>1</v>
      </c>
      <c r="B23" s="2682" t="s">
        <v>2392</v>
      </c>
      <c r="C23" s="2683">
        <f>D6</f>
        <v>0</v>
      </c>
      <c r="D23" s="2684">
        <f>C23*(1+D24)</f>
        <v>0</v>
      </c>
      <c r="E23" s="2685">
        <f>D23*(1+E24)</f>
        <v>0</v>
      </c>
      <c r="F23" s="2686"/>
      <c r="G23" s="2687"/>
      <c r="H23" s="2600"/>
      <c r="I23" s="2601"/>
      <c r="J23" s="3451"/>
      <c r="K23" s="3453"/>
      <c r="L23" s="2635" t="s">
        <v>2393</v>
      </c>
      <c r="M23" s="2636"/>
      <c r="N23" s="2636"/>
      <c r="O23" s="2637"/>
      <c r="P23" s="2638">
        <v>365</v>
      </c>
      <c r="Q23" s="2612"/>
      <c r="R23" s="2677">
        <f>ROUND(M23*N23*O23*P23/10000,0)</f>
        <v>0</v>
      </c>
      <c r="S23" s="2593"/>
      <c r="T23" s="2593"/>
      <c r="U23" s="2593"/>
      <c r="V23" s="2601"/>
    </row>
    <row r="24" spans="1:22" s="2605" customFormat="1" ht="13.15" customHeight="1">
      <c r="A24" s="2688"/>
      <c r="B24" s="2689" t="s">
        <v>2394</v>
      </c>
      <c r="C24" s="2690"/>
      <c r="D24" s="2691"/>
      <c r="E24" s="2692"/>
      <c r="F24" s="2693"/>
      <c r="G24" s="2687"/>
      <c r="H24" s="2600"/>
      <c r="I24" s="2601"/>
      <c r="J24" s="3451"/>
      <c r="K24" s="3454"/>
      <c r="L24" s="2655" t="s">
        <v>2355</v>
      </c>
      <c r="M24" s="2656">
        <f>SUM(M21:M23)</f>
        <v>0</v>
      </c>
      <c r="N24" s="2656"/>
      <c r="O24" s="2657"/>
      <c r="P24" s="2670" t="s">
        <v>2419</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2395</v>
      </c>
      <c r="L25" s="2696"/>
      <c r="M25" s="2696"/>
      <c r="N25" s="2696"/>
      <c r="O25" s="2696"/>
      <c r="P25" s="2697"/>
      <c r="Q25" s="2698">
        <v>0</v>
      </c>
      <c r="R25" s="2671">
        <f>ROUND(R14*Q25,0)</f>
        <v>0</v>
      </c>
      <c r="S25" s="2593"/>
      <c r="T25" s="2593"/>
      <c r="U25" s="2593"/>
      <c r="V25" s="2699"/>
    </row>
    <row r="26" spans="1:22" s="2700" customFormat="1" ht="13.15" customHeight="1">
      <c r="A26" s="2681">
        <v>2</v>
      </c>
      <c r="B26" s="2682" t="s">
        <v>2396</v>
      </c>
      <c r="C26" s="2683">
        <f>D7</f>
        <v>0</v>
      </c>
      <c r="D26" s="2684">
        <f>D23*D27</f>
        <v>0</v>
      </c>
      <c r="E26" s="2685">
        <f>E23*E27</f>
        <v>0</v>
      </c>
      <c r="F26" s="2686"/>
      <c r="G26" s="2687"/>
      <c r="H26" s="2600"/>
      <c r="I26" s="2601"/>
      <c r="J26" s="3461">
        <v>5</v>
      </c>
      <c r="K26" s="2701" t="s">
        <v>2397</v>
      </c>
      <c r="L26" s="2702"/>
      <c r="M26" s="2703"/>
      <c r="N26" s="2704" t="s">
        <v>2398</v>
      </c>
      <c r="O26" s="2704" t="s">
        <v>2399</v>
      </c>
      <c r="P26" s="2705" t="s">
        <v>2400</v>
      </c>
      <c r="Q26" s="2705" t="s">
        <v>2401</v>
      </c>
      <c r="R26" s="2610" t="s">
        <v>2326</v>
      </c>
      <c r="S26" s="2644"/>
      <c r="T26" s="2644"/>
      <c r="U26" s="2644"/>
      <c r="V26" s="2699"/>
    </row>
    <row r="27" spans="1:22" s="2605" customFormat="1" ht="13.15" customHeight="1">
      <c r="A27" s="2688"/>
      <c r="B27" s="2689" t="s">
        <v>2402</v>
      </c>
      <c r="C27" s="2706" t="e">
        <f>E7</f>
        <v>#DIV/0!</v>
      </c>
      <c r="D27" s="2691"/>
      <c r="E27" s="2692"/>
      <c r="F27" s="2693"/>
      <c r="G27" s="2687"/>
      <c r="H27" s="2707"/>
      <c r="I27" s="2699"/>
      <c r="J27" s="346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2403</v>
      </c>
      <c r="F28" s="2693"/>
      <c r="G28" s="2593"/>
      <c r="H28" s="2707"/>
      <c r="I28" s="2699"/>
      <c r="J28" s="2713">
        <v>6</v>
      </c>
      <c r="K28" s="2714" t="s">
        <v>2404</v>
      </c>
      <c r="L28" s="2715" t="s">
        <v>2405</v>
      </c>
      <c r="M28" s="2716"/>
      <c r="N28" s="2715" t="s">
        <v>2406</v>
      </c>
      <c r="O28" s="2717"/>
      <c r="P28" s="2715" t="s">
        <v>2407</v>
      </c>
      <c r="Q28" s="2718">
        <v>1.4999999999999999E-2</v>
      </c>
      <c r="R28" s="2719"/>
      <c r="S28" s="2593"/>
      <c r="T28" s="2593"/>
      <c r="U28" s="2593"/>
      <c r="V28" s="2699"/>
    </row>
    <row r="29" spans="1:22" s="2700" customFormat="1" ht="13.15" customHeight="1">
      <c r="A29" s="2681">
        <v>3</v>
      </c>
      <c r="B29" s="2682" t="s">
        <v>2408</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2402</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2409</v>
      </c>
      <c r="K31" s="2591"/>
      <c r="L31" s="2591"/>
      <c r="M31" s="2591"/>
      <c r="N31" s="2591"/>
      <c r="O31" s="2591"/>
      <c r="P31" s="2591"/>
      <c r="Q31" s="2591"/>
      <c r="R31" s="2592"/>
      <c r="S31" s="2593"/>
      <c r="T31" s="2593"/>
      <c r="U31" s="2593"/>
      <c r="V31" s="2699"/>
    </row>
    <row r="32" spans="1:22" s="2700" customFormat="1" ht="13.15" customHeight="1">
      <c r="A32" s="2681">
        <v>4</v>
      </c>
      <c r="B32" s="2682" t="s">
        <v>2410</v>
      </c>
      <c r="C32" s="2683">
        <f>C23-C26-C29</f>
        <v>0</v>
      </c>
      <c r="D32" s="2684">
        <f>D23-D26-D29</f>
        <v>0</v>
      </c>
      <c r="E32" s="2685">
        <f>E23-E26-E29</f>
        <v>0</v>
      </c>
      <c r="F32" s="2686"/>
      <c r="G32" s="2593"/>
      <c r="H32" s="2600"/>
      <c r="I32" s="2601"/>
      <c r="J32" s="3444" t="s">
        <v>2302</v>
      </c>
      <c r="K32" s="3445"/>
      <c r="L32" s="2602" t="s">
        <v>2303</v>
      </c>
      <c r="M32" s="2602" t="s">
        <v>2304</v>
      </c>
      <c r="N32" s="2602" t="s">
        <v>2305</v>
      </c>
      <c r="O32" s="2602" t="s">
        <v>2306</v>
      </c>
      <c r="P32" s="2602" t="s">
        <v>2307</v>
      </c>
      <c r="Q32" s="2603" t="s">
        <v>2308</v>
      </c>
      <c r="R32" s="2722" t="s">
        <v>2309</v>
      </c>
      <c r="S32" s="2593"/>
      <c r="T32" s="2593"/>
      <c r="U32" s="2593"/>
      <c r="V32" s="2699"/>
    </row>
    <row r="33" spans="1:23" s="2605" customFormat="1" ht="13.15" customHeight="1">
      <c r="A33" s="2681"/>
      <c r="B33" s="2682"/>
      <c r="C33" s="2683"/>
      <c r="D33" s="2723"/>
      <c r="E33" s="2724"/>
      <c r="F33" s="2686"/>
      <c r="G33" s="2593"/>
      <c r="H33" s="2707"/>
      <c r="I33" s="2699"/>
      <c r="J33" s="3446" t="s">
        <v>2312</v>
      </c>
      <c r="K33" s="3447"/>
      <c r="L33" s="2608"/>
      <c r="M33" s="2608"/>
      <c r="N33" s="2608"/>
      <c r="O33" s="2608"/>
      <c r="P33" s="2608"/>
      <c r="Q33" s="2609"/>
      <c r="R33" s="2725">
        <f>SUM(L33:Q33)</f>
        <v>0</v>
      </c>
      <c r="S33" s="2593"/>
      <c r="T33" s="2593"/>
      <c r="U33" s="2593"/>
      <c r="V33" s="2601"/>
    </row>
    <row r="34" spans="1:23" s="2605" customFormat="1" ht="13.15" customHeight="1">
      <c r="A34" s="2681">
        <v>5</v>
      </c>
      <c r="B34" s="2682" t="s">
        <v>2411</v>
      </c>
      <c r="C34" s="2726"/>
      <c r="D34" s="2727"/>
      <c r="E34" s="2728"/>
      <c r="F34" s="2686"/>
      <c r="G34" s="2593"/>
      <c r="H34" s="2707"/>
      <c r="I34" s="2699"/>
      <c r="J34" s="3446" t="s">
        <v>2314</v>
      </c>
      <c r="K34" s="344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2412</v>
      </c>
      <c r="C35" s="2730"/>
      <c r="D35" s="2731"/>
      <c r="E35" s="2732"/>
      <c r="F35" s="2686"/>
      <c r="G35" s="2733"/>
      <c r="H35" s="2600"/>
      <c r="I35" s="2699"/>
      <c r="J35" s="2619" t="s">
        <v>2316</v>
      </c>
      <c r="K35" s="2620"/>
      <c r="L35" s="2620"/>
      <c r="M35" s="2621"/>
      <c r="N35" s="2621"/>
      <c r="O35" s="2621"/>
      <c r="P35" s="2621"/>
      <c r="Q35" s="2621"/>
      <c r="R35" s="2734">
        <f>R40+R41+R43</f>
        <v>0</v>
      </c>
      <c r="S35" s="2593"/>
      <c r="T35" s="2593" t="s">
        <v>2317</v>
      </c>
      <c r="U35" s="2593"/>
      <c r="V35" s="2601"/>
    </row>
    <row r="36" spans="1:23" s="2605" customFormat="1" ht="13.15" customHeight="1" thickBot="1">
      <c r="A36" s="2681">
        <v>7</v>
      </c>
      <c r="B36" s="2735" t="s">
        <v>2413</v>
      </c>
      <c r="C36" s="2736"/>
      <c r="D36" s="2737"/>
      <c r="E36" s="2738"/>
      <c r="F36" s="2739">
        <f>C36+D36+E36</f>
        <v>0</v>
      </c>
      <c r="G36" s="2593"/>
      <c r="H36" s="2600"/>
      <c r="I36" s="2601"/>
      <c r="J36" s="3451">
        <v>1</v>
      </c>
      <c r="K36" s="3452" t="s">
        <v>2414</v>
      </c>
      <c r="L36" s="2626"/>
      <c r="M36" s="2627"/>
      <c r="N36" s="2627"/>
      <c r="O36" s="2627"/>
      <c r="P36" s="2627"/>
      <c r="Q36" s="2627"/>
      <c r="R36" s="2610" t="s">
        <v>2326</v>
      </c>
      <c r="S36" s="2593"/>
      <c r="T36" s="2593" t="s">
        <v>2327</v>
      </c>
      <c r="U36" s="2593"/>
      <c r="V36" s="2601"/>
    </row>
    <row r="37" spans="1:23" s="2605" customFormat="1" ht="13.15" customHeight="1">
      <c r="A37" s="2681"/>
      <c r="B37" s="2682"/>
      <c r="C37" s="2682"/>
      <c r="D37" s="2682"/>
      <c r="E37" s="2682"/>
      <c r="F37" s="2686"/>
      <c r="G37" s="2593"/>
      <c r="H37" s="2600"/>
      <c r="I37" s="2601"/>
      <c r="J37" s="3451"/>
      <c r="K37" s="3453"/>
      <c r="L37" s="2635"/>
      <c r="M37" s="2636"/>
      <c r="N37" s="2612"/>
      <c r="O37" s="2637"/>
      <c r="P37" s="2637"/>
      <c r="Q37" s="2638"/>
      <c r="R37" s="2639"/>
      <c r="S37" s="2593"/>
      <c r="T37" s="2593" t="s">
        <v>2330</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51"/>
      <c r="K38" s="3453"/>
      <c r="L38" s="2635"/>
      <c r="M38" s="2636"/>
      <c r="N38" s="2612"/>
      <c r="O38" s="2637"/>
      <c r="P38" s="2637"/>
      <c r="Q38" s="2638"/>
      <c r="R38" s="2639"/>
      <c r="S38" s="2593"/>
      <c r="T38" s="2593" t="s">
        <v>2337</v>
      </c>
      <c r="U38" s="2593"/>
      <c r="V38" s="2601"/>
    </row>
    <row r="39" spans="1:23" s="2605" customFormat="1" ht="13.15" customHeight="1">
      <c r="A39" s="2681">
        <v>9</v>
      </c>
      <c r="B39" s="2682" t="s">
        <v>2415</v>
      </c>
      <c r="C39" s="2649" t="e">
        <f>C38</f>
        <v>#DIV/0!</v>
      </c>
      <c r="D39" s="2682">
        <f>D38/(1+D34)^C36</f>
        <v>0</v>
      </c>
      <c r="E39" s="2682">
        <f>E38/(1+E34)^(C36+D36)</f>
        <v>0</v>
      </c>
      <c r="F39" s="2686"/>
      <c r="G39" s="2601"/>
      <c r="H39" s="2600"/>
      <c r="I39" s="2601"/>
      <c r="J39" s="3451"/>
      <c r="K39" s="3453"/>
      <c r="L39" s="2635"/>
      <c r="M39" s="2636"/>
      <c r="N39" s="2612"/>
      <c r="O39" s="2637"/>
      <c r="P39" s="2637"/>
      <c r="Q39" s="2638"/>
      <c r="R39" s="2639"/>
      <c r="S39" s="2593"/>
      <c r="T39" s="2593"/>
      <c r="U39" s="2593"/>
      <c r="V39" s="2601"/>
    </row>
    <row r="40" spans="1:23" s="2605" customFormat="1" ht="13.15" customHeight="1">
      <c r="A40" s="2740">
        <v>10</v>
      </c>
      <c r="B40" s="2682" t="s">
        <v>2416</v>
      </c>
      <c r="C40" s="2741" t="e">
        <f>C39+D39+E39</f>
        <v>#DIV/0!</v>
      </c>
      <c r="D40" s="2742"/>
      <c r="E40" s="2742"/>
      <c r="F40" s="2743"/>
      <c r="G40" s="2593"/>
      <c r="H40" s="2600"/>
      <c r="I40" s="2601"/>
      <c r="J40" s="3451"/>
      <c r="K40" s="3454"/>
      <c r="L40" s="2655" t="s">
        <v>2355</v>
      </c>
      <c r="M40" s="2656"/>
      <c r="N40" s="2656"/>
      <c r="O40" s="2657"/>
      <c r="P40" s="2657"/>
      <c r="Q40" s="2658"/>
      <c r="R40" s="2604">
        <f>SUM(R37:R39)</f>
        <v>0</v>
      </c>
      <c r="S40" s="2593"/>
      <c r="T40" s="2593"/>
      <c r="U40" s="2593"/>
      <c r="V40" s="2601"/>
    </row>
    <row r="41" spans="1:23" s="2605" customFormat="1" ht="13.15" customHeight="1" thickBot="1">
      <c r="A41" s="2744">
        <v>11</v>
      </c>
      <c r="B41" s="2745" t="s">
        <v>2417</v>
      </c>
      <c r="C41" s="2745" t="e">
        <f>ROUND(C40*10000/B4,0)</f>
        <v>#DIV/0!</v>
      </c>
      <c r="D41" s="2746"/>
      <c r="E41" s="2746"/>
      <c r="F41" s="2747"/>
      <c r="G41" s="2600"/>
      <c r="H41" s="2600"/>
      <c r="I41" s="2601"/>
      <c r="J41" s="2694">
        <v>2</v>
      </c>
      <c r="K41" s="2695" t="s">
        <v>2395</v>
      </c>
      <c r="L41" s="2696"/>
      <c r="M41" s="2696"/>
      <c r="N41" s="2696"/>
      <c r="O41" s="2696"/>
      <c r="P41" s="2697"/>
      <c r="Q41" s="2698"/>
      <c r="R41" s="2671">
        <f>ROUND(R40*Q41,0)</f>
        <v>0</v>
      </c>
      <c r="S41" s="2593"/>
      <c r="T41" s="2593"/>
      <c r="U41" s="2644"/>
      <c r="V41" s="2601"/>
    </row>
    <row r="42" spans="1:23" s="2605" customFormat="1" ht="13.15" customHeight="1">
      <c r="G42" s="2600"/>
      <c r="H42" s="2600"/>
      <c r="I42" s="2601"/>
      <c r="J42" s="3461">
        <v>3</v>
      </c>
      <c r="K42" s="2701" t="s">
        <v>2397</v>
      </c>
      <c r="L42" s="2702"/>
      <c r="M42" s="2703"/>
      <c r="N42" s="2704" t="s">
        <v>2398</v>
      </c>
      <c r="O42" s="2704" t="s">
        <v>2399</v>
      </c>
      <c r="P42" s="2705" t="s">
        <v>2400</v>
      </c>
      <c r="Q42" s="2705" t="s">
        <v>2401</v>
      </c>
      <c r="R42" s="2610" t="s">
        <v>2326</v>
      </c>
      <c r="S42" s="2644"/>
      <c r="T42" s="2644"/>
      <c r="U42" s="2593"/>
      <c r="V42" s="2601"/>
    </row>
    <row r="43" spans="1:23" ht="13.15" customHeight="1">
      <c r="A43" s="2605"/>
      <c r="B43" s="2605"/>
      <c r="C43" s="2605"/>
      <c r="D43" s="2605"/>
      <c r="E43" s="2605"/>
      <c r="F43" s="2605"/>
      <c r="I43" s="2588"/>
      <c r="J43" s="346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2404</v>
      </c>
      <c r="L44" s="2750" t="s">
        <v>2405</v>
      </c>
      <c r="M44" s="2716"/>
      <c r="N44" s="2750" t="s">
        <v>2406</v>
      </c>
      <c r="O44" s="2716"/>
      <c r="P44" s="2750" t="s">
        <v>2407</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1654</v>
      </c>
      <c r="B1" s="1726"/>
      <c r="C1" s="1726"/>
      <c r="D1" s="1726"/>
      <c r="E1" s="1727"/>
      <c r="F1" s="2480"/>
      <c r="G1" s="459"/>
      <c r="H1" s="459"/>
      <c r="I1" s="459"/>
      <c r="J1" s="459"/>
      <c r="K1" s="459"/>
      <c r="L1" s="459"/>
      <c r="M1" s="459"/>
      <c r="N1" s="459"/>
      <c r="O1" s="459"/>
      <c r="P1" s="459"/>
      <c r="Q1" s="459"/>
      <c r="R1" s="459"/>
      <c r="S1" s="459"/>
    </row>
    <row r="2" spans="1:22" ht="15.75">
      <c r="A2" s="1728" t="s">
        <v>1458</v>
      </c>
      <c r="B2" s="811">
        <f ca="1">SUMIF(B6:B13,"&lt;&gt;#ref!",B6:B13)</f>
        <v>0</v>
      </c>
      <c r="C2" s="1729" t="s">
        <v>1647</v>
      </c>
      <c r="D2" s="1730" t="s">
        <v>1648</v>
      </c>
      <c r="E2" s="2393">
        <f>SUM(E6:E13)</f>
        <v>272.99</v>
      </c>
      <c r="F2" s="2480"/>
      <c r="G2" s="459"/>
      <c r="H2" s="459"/>
      <c r="I2" s="459"/>
      <c r="J2" s="459"/>
      <c r="K2" s="459"/>
      <c r="L2" s="459"/>
      <c r="M2" s="459"/>
      <c r="N2" s="459"/>
      <c r="O2" s="459"/>
      <c r="P2" s="459"/>
      <c r="Q2" s="459"/>
      <c r="R2" s="459"/>
      <c r="S2" s="459"/>
    </row>
    <row r="3" spans="1:22" ht="15.75">
      <c r="A3" s="1728" t="s">
        <v>682</v>
      </c>
      <c r="B3" s="2387">
        <f ca="1">ROUND(B2*10000/E2,0)</f>
        <v>0</v>
      </c>
      <c r="C3" s="1729" t="s">
        <v>1655</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1649</v>
      </c>
      <c r="B5" s="3463" t="s">
        <v>1650</v>
      </c>
      <c r="C5" s="3464"/>
      <c r="D5" s="2481"/>
      <c r="E5" s="1731" t="s">
        <v>1651</v>
      </c>
      <c r="F5" s="129" t="s">
        <v>1652</v>
      </c>
      <c r="G5" s="459"/>
      <c r="H5" s="459"/>
      <c r="I5" s="459"/>
      <c r="J5" s="459"/>
      <c r="K5" s="459"/>
      <c r="L5" s="459"/>
      <c r="M5" s="459"/>
      <c r="N5" s="459"/>
      <c r="O5" s="459"/>
      <c r="P5" s="459"/>
      <c r="Q5" s="459"/>
      <c r="R5" s="459"/>
      <c r="S5" s="459"/>
    </row>
    <row r="6" spans="1:22">
      <c r="A6" s="2390" t="str">
        <f>'数据-取费表'!AN6</f>
        <v>收益法-住宅</v>
      </c>
      <c r="B6" s="2388" t="e">
        <f ca="1">IF(F6="是",'数据-取费表'!AO6,0)</f>
        <v>#REF!</v>
      </c>
      <c r="C6" s="1729" t="s">
        <v>1647</v>
      </c>
      <c r="D6" s="2480"/>
      <c r="E6" s="2392">
        <f>IF(OR(A6=0,F6="否"),0,'数据-取费表'!K6+'数据-取费表'!S6)</f>
        <v>272.99</v>
      </c>
      <c r="F6" s="1732" t="s">
        <v>1653</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1647</v>
      </c>
      <c r="D7" s="2480"/>
      <c r="E7" s="2392">
        <f>IF(OR(A7=0,F7="否"),0,'数据-取费表'!K7+'数据-取费表'!S7)</f>
        <v>0</v>
      </c>
      <c r="F7" s="1732" t="s">
        <v>1653</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1647</v>
      </c>
      <c r="D8" s="2480"/>
      <c r="E8" s="2392">
        <f>IF(OR(A8=0,F8="否"),0,'数据-取费表'!K8+'数据-取费表'!S8)</f>
        <v>0</v>
      </c>
      <c r="F8" s="1732" t="s">
        <v>1653</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1647</v>
      </c>
      <c r="D9" s="2480"/>
      <c r="E9" s="2392">
        <f>IF(OR(A9=0,F9="否"),0,'数据-取费表'!K9+'数据-取费表'!S9)</f>
        <v>0</v>
      </c>
      <c r="F9" s="1732" t="s">
        <v>1653</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1647</v>
      </c>
      <c r="D10" s="2480"/>
      <c r="E10" s="2392">
        <f>IF(OR(A10=0,F10="否"),0,'数据-取费表'!K10+'数据-取费表'!S10)</f>
        <v>0</v>
      </c>
      <c r="F10" s="1732" t="s">
        <v>1653</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1647</v>
      </c>
      <c r="D11" s="2480"/>
      <c r="E11" s="2392">
        <f>IF(OR(A11=0,F11="否"),0,'数据-取费表'!K11+'数据-取费表'!S11)</f>
        <v>0</v>
      </c>
      <c r="F11" s="1732" t="s">
        <v>1653</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1647</v>
      </c>
      <c r="D12" s="2480"/>
      <c r="E12" s="2392">
        <f>IF(OR(A12=0,F12="否"),0,'数据-取费表'!K12+'数据-取费表'!S12)</f>
        <v>0</v>
      </c>
      <c r="F12" s="1732" t="s">
        <v>1653</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1647</v>
      </c>
      <c r="D13" s="2482"/>
      <c r="E13" s="2392">
        <f>IF(OR(A13=0,F13="否"),0,'数据-取费表'!K13+'数据-取费表'!S13)</f>
        <v>0</v>
      </c>
      <c r="F13" s="1732" t="s">
        <v>1653</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BFA28-CF80-48DD-A9D4-7D405C1411C5}">
  <sheetPr>
    <tabColor rgb="FF92D050"/>
    <pageSetUpPr fitToPage="1"/>
  </sheetPr>
  <dimension ref="A1:H57"/>
  <sheetViews>
    <sheetView view="pageBreakPreview" zoomScaleNormal="70" zoomScaleSheetLayoutView="100" workbookViewId="0">
      <selection activeCell="O37" sqref="O3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1457</v>
      </c>
      <c r="B1" s="1374" t="s">
        <v>4787</v>
      </c>
      <c r="C1" s="1717" t="s">
        <v>1559</v>
      </c>
      <c r="D1" s="190"/>
      <c r="E1" s="190"/>
      <c r="F1" s="190"/>
      <c r="G1" s="1062">
        <f>MATCH(B1,'数据-取费表'!A6:A16,0)+5</f>
        <v>7</v>
      </c>
      <c r="H1" s="998" t="str">
        <f>IF(ISERROR(FIND("住宅",B1)),"非住宅","住宅")</f>
        <v>非住宅</v>
      </c>
    </row>
    <row r="2" spans="1:8" s="192" customFormat="1" ht="18" customHeight="1">
      <c r="A2" s="193" t="s">
        <v>681</v>
      </c>
      <c r="B2" s="3123">
        <f ca="1">ROUND(IF(D2="——",C52/10000,C52/10000-E2),4)</f>
        <v>66.105199999999996</v>
      </c>
      <c r="C2" s="191" t="s">
        <v>1459</v>
      </c>
      <c r="D2" s="1711" t="s">
        <v>43</v>
      </c>
      <c r="E2" s="1089" t="e">
        <f ca="1">SUMIF(INDIRECT("'"&amp;G2&amp;"'"&amp;"!A:A"),"承租人权益价值",INDIRECT("'"&amp;G2&amp;"'"&amp;"!c:c"))</f>
        <v>#REF!</v>
      </c>
      <c r="F2" s="1712" t="s">
        <v>1459</v>
      </c>
      <c r="G2" s="1713"/>
    </row>
    <row r="3" spans="1:8" s="192" customFormat="1" ht="18" customHeight="1" thickBot="1">
      <c r="A3" s="195" t="s">
        <v>682</v>
      </c>
      <c r="B3" s="196">
        <f ca="1">ROUND(B2*10000/(IF(B1="",'数据-汇总表'!E3,INDIRECT("'数据-取费表'!k"&amp;$G$1))),0)</f>
        <v>15591</v>
      </c>
      <c r="C3" s="191" t="s">
        <v>1461</v>
      </c>
      <c r="D3" s="191"/>
      <c r="E3" s="191"/>
      <c r="F3" s="191"/>
      <c r="G3" s="191"/>
    </row>
    <row r="4" spans="1:8" s="200" customFormat="1" ht="15.75">
      <c r="A4" s="197" t="s">
        <v>1462</v>
      </c>
      <c r="B4" s="198"/>
      <c r="C4" s="198"/>
      <c r="D4" s="198"/>
      <c r="E4" s="198"/>
      <c r="F4" s="198"/>
      <c r="G4" s="199"/>
    </row>
    <row r="5" spans="1:8" s="206" customFormat="1" ht="13.5" customHeight="1">
      <c r="A5" s="247" t="s">
        <v>337</v>
      </c>
      <c r="B5" s="202" t="s">
        <v>1464</v>
      </c>
      <c r="C5" s="203">
        <f ca="1">C6+C7+C8</f>
        <v>219868.19999999998</v>
      </c>
      <c r="D5" s="203" t="s">
        <v>1465</v>
      </c>
      <c r="E5" s="204" t="s">
        <v>1466</v>
      </c>
      <c r="F5" s="204" t="s">
        <v>1467</v>
      </c>
      <c r="G5" s="205"/>
    </row>
    <row r="6" spans="1:8" s="206" customFormat="1" ht="13.5" customHeight="1">
      <c r="A6" s="732" t="s">
        <v>346</v>
      </c>
      <c r="B6" s="207" t="s">
        <v>1469</v>
      </c>
      <c r="C6" s="208">
        <f>'土地比较法-住宅、综合'!B61*'土地比较法-住宅、综合'!E61</f>
        <v>205131.19999999998</v>
      </c>
      <c r="D6" s="209"/>
      <c r="E6" s="210"/>
      <c r="F6" s="210"/>
      <c r="G6" s="211"/>
    </row>
    <row r="7" spans="1:8" s="206" customFormat="1" ht="13.5" customHeight="1">
      <c r="A7" s="732" t="s">
        <v>347</v>
      </c>
      <c r="B7" s="207" t="s">
        <v>1471</v>
      </c>
      <c r="C7" s="212">
        <f>ROUND(C6*F7,0)</f>
        <v>6257</v>
      </c>
      <c r="D7" s="212"/>
      <c r="E7" s="210"/>
      <c r="F7" s="213">
        <f>IF(项目基本情况!B8="出让",0,'数据-取费表'!B48+'数据-取费表'!B49)</f>
        <v>3.0499999999999999E-2</v>
      </c>
      <c r="G7" s="211"/>
    </row>
    <row r="8" spans="1:8" s="215" customFormat="1">
      <c r="A8" s="732" t="s">
        <v>348</v>
      </c>
      <c r="B8" s="207" t="s">
        <v>1473</v>
      </c>
      <c r="C8" s="212">
        <f ca="1">IF(G8="已包含在土地购买价格中",0,C9+C10)</f>
        <v>8480</v>
      </c>
      <c r="D8" s="214"/>
      <c r="E8" s="212"/>
      <c r="F8" s="213"/>
      <c r="G8" s="1714" t="s">
        <v>4809</v>
      </c>
    </row>
    <row r="9" spans="1:8" s="206" customFormat="1" ht="13.5" customHeight="1">
      <c r="A9" s="733" t="s">
        <v>355</v>
      </c>
      <c r="B9" s="216" t="s">
        <v>1474</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1476</v>
      </c>
      <c r="C10" s="217">
        <f ca="1">ROUND(D10*E10,0)</f>
        <v>8480</v>
      </c>
      <c r="D10" s="795">
        <f ca="1">IF(B1="",'数据-汇总表'!E6,IF(INDIRECT("'数据-取费表'!c"&amp;$G$1)="住宅",INDIRECT("'数据-取费表'!s"&amp;$G$1),INDIRECT("'数据-取费表'!k"&amp;$G$1)+INDIRECT("'数据-取费表'!s"&amp;$G$1)))</f>
        <v>42.4</v>
      </c>
      <c r="E10" s="217">
        <f>'数据-取费表'!B28</f>
        <v>200</v>
      </c>
      <c r="F10" s="213"/>
      <c r="G10" s="218"/>
    </row>
    <row r="11" spans="1:8" s="206" customFormat="1" ht="13.5" hidden="1" customHeight="1">
      <c r="A11" s="219" t="s">
        <v>4</v>
      </c>
      <c r="B11" s="207" t="s">
        <v>1477</v>
      </c>
      <c r="C11" s="203"/>
      <c r="D11" s="210"/>
      <c r="E11" s="210"/>
      <c r="F11" s="210"/>
      <c r="G11" s="211"/>
    </row>
    <row r="12" spans="1:8" s="206" customFormat="1" ht="13.5" hidden="1" customHeight="1">
      <c r="A12" s="219" t="s">
        <v>5</v>
      </c>
      <c r="B12" s="207" t="s">
        <v>1478</v>
      </c>
      <c r="C12" s="203">
        <v>0</v>
      </c>
      <c r="D12" s="210"/>
      <c r="E12" s="220"/>
      <c r="F12" s="213">
        <v>3.0499999999999999E-2</v>
      </c>
      <c r="G12" s="211"/>
    </row>
    <row r="13" spans="1:8" s="206" customFormat="1" ht="13.5" hidden="1" customHeight="1">
      <c r="A13" s="219" t="s">
        <v>6</v>
      </c>
      <c r="B13" s="207" t="s">
        <v>1479</v>
      </c>
      <c r="C13" s="203"/>
      <c r="D13" s="210"/>
      <c r="E13" s="210"/>
      <c r="F13" s="210"/>
      <c r="G13" s="211"/>
    </row>
    <row r="14" spans="1:8" s="206" customFormat="1" ht="13.5" hidden="1" customHeight="1">
      <c r="A14" s="219" t="s">
        <v>7</v>
      </c>
      <c r="B14" s="207" t="s">
        <v>1473</v>
      </c>
      <c r="C14" s="203"/>
      <c r="D14" s="210"/>
      <c r="E14" s="210"/>
      <c r="F14" s="210"/>
      <c r="G14" s="211" t="s">
        <v>1481</v>
      </c>
    </row>
    <row r="15" spans="1:8" s="206" customFormat="1" ht="13.5" hidden="1" customHeight="1">
      <c r="A15" s="219" t="s">
        <v>8</v>
      </c>
      <c r="B15" s="207" t="s">
        <v>1482</v>
      </c>
      <c r="C15" s="212"/>
      <c r="D15" s="210"/>
      <c r="E15" s="210"/>
      <c r="F15" s="210"/>
      <c r="G15" s="211" t="s">
        <v>1483</v>
      </c>
    </row>
    <row r="16" spans="1:8" s="206" customFormat="1" ht="13.5" hidden="1" customHeight="1">
      <c r="A16" s="219" t="s">
        <v>9</v>
      </c>
      <c r="B16" s="207" t="s">
        <v>1473</v>
      </c>
      <c r="C16" s="212"/>
      <c r="D16" s="210"/>
      <c r="E16" s="210"/>
      <c r="F16" s="210"/>
      <c r="G16" s="211"/>
    </row>
    <row r="17" spans="1:7" s="206" customFormat="1" ht="13.5" hidden="1" customHeight="1">
      <c r="A17" s="219" t="s">
        <v>10</v>
      </c>
      <c r="B17" s="207" t="s">
        <v>1484</v>
      </c>
      <c r="C17" s="221"/>
      <c r="D17" s="221"/>
      <c r="E17" s="221"/>
      <c r="F17" s="221"/>
      <c r="G17" s="211" t="s">
        <v>1483</v>
      </c>
    </row>
    <row r="18" spans="1:7" s="206" customFormat="1" ht="13.5" hidden="1" customHeight="1">
      <c r="A18" s="219" t="s">
        <v>11</v>
      </c>
      <c r="B18" s="207" t="s">
        <v>1485</v>
      </c>
      <c r="C18" s="212">
        <v>0</v>
      </c>
      <c r="D18" s="210"/>
      <c r="E18" s="210"/>
      <c r="F18" s="213">
        <v>3.0499999999999999E-2</v>
      </c>
      <c r="G18" s="211" t="s">
        <v>1486</v>
      </c>
    </row>
    <row r="19" spans="1:7" s="215" customFormat="1" ht="13.5" customHeight="1">
      <c r="A19" s="247" t="s">
        <v>1487</v>
      </c>
      <c r="B19" s="202" t="s">
        <v>1488</v>
      </c>
      <c r="C19" s="203" t="str">
        <f>IF(G19="已包含在土地取得成本中","0",ROUND(D19*E19,0))</f>
        <v>0</v>
      </c>
      <c r="D19" s="204">
        <f ca="1">D9+D10</f>
        <v>42.4</v>
      </c>
      <c r="E19" s="203">
        <f>'数据-取费表'!B31</f>
        <v>200</v>
      </c>
      <c r="F19" s="223"/>
      <c r="G19" s="1714" t="s">
        <v>4810</v>
      </c>
    </row>
    <row r="20" spans="1:7" s="206" customFormat="1" ht="13.5" customHeight="1">
      <c r="A20" s="247" t="s">
        <v>1489</v>
      </c>
      <c r="B20" s="202" t="s">
        <v>1490</v>
      </c>
      <c r="C20" s="224">
        <f ca="1">ROUND((C5+C19)*F20,0)</f>
        <v>4397</v>
      </c>
      <c r="D20" s="224"/>
      <c r="E20" s="224"/>
      <c r="F20" s="225">
        <f>'数据-取费表'!B37</f>
        <v>0.02</v>
      </c>
      <c r="G20" s="226" t="s">
        <v>1491</v>
      </c>
    </row>
    <row r="21" spans="1:7" s="206" customFormat="1" ht="13.5" customHeight="1">
      <c r="A21" s="247" t="s">
        <v>1492</v>
      </c>
      <c r="B21" s="202" t="s">
        <v>1493</v>
      </c>
      <c r="C21" s="227">
        <f>F21</f>
        <v>0.02</v>
      </c>
      <c r="D21" s="228" t="s">
        <v>1494</v>
      </c>
      <c r="E21" s="224"/>
      <c r="F21" s="225">
        <f>'数据-取费表'!B38</f>
        <v>0.02</v>
      </c>
      <c r="G21" s="226" t="s">
        <v>1495</v>
      </c>
    </row>
    <row r="22" spans="1:7" s="206" customFormat="1" ht="13.5" customHeight="1">
      <c r="A22" s="247" t="s">
        <v>1496</v>
      </c>
      <c r="B22" s="202" t="s">
        <v>1497</v>
      </c>
      <c r="C22" s="224">
        <f ca="1">ROUND(SUM(C23:C25),0)</f>
        <v>14117</v>
      </c>
      <c r="D22" s="227">
        <f ca="1">C26</f>
        <v>5.9999999999999995E-4</v>
      </c>
      <c r="E22" s="228" t="s">
        <v>1494</v>
      </c>
      <c r="F22" s="229">
        <f ca="1">'数据-取费表'!B40</f>
        <v>3.1300000000000001E-2</v>
      </c>
      <c r="G22" s="226" t="str">
        <f>IF('数据-取费表'!B22&lt;=1,"单利计息","复利计息")</f>
        <v>复利计息</v>
      </c>
    </row>
    <row r="23" spans="1:7" s="206" customFormat="1" ht="13.5" customHeight="1">
      <c r="A23" s="734" t="s">
        <v>346</v>
      </c>
      <c r="B23" s="207" t="s">
        <v>1499</v>
      </c>
      <c r="C23" s="230">
        <f ca="1">ROUND(IF('数据-取费表'!B22&lt;=1,C5*F22*'数据-取费表'!B22,C5*(POWER((1+F22),'数据-取费表'!B22)-1)),0)</f>
        <v>13979</v>
      </c>
      <c r="D23" s="230"/>
      <c r="E23" s="230"/>
      <c r="F23" s="231"/>
      <c r="G23" s="232" t="s">
        <v>1500</v>
      </c>
    </row>
    <row r="24" spans="1:7" s="206" customFormat="1" ht="13.5" customHeight="1">
      <c r="A24" s="734" t="s">
        <v>347</v>
      </c>
      <c r="B24" s="207" t="s">
        <v>1502</v>
      </c>
      <c r="C24" s="230">
        <f ca="1">ROUND(IF('数据-取费表'!B22&lt;=1,C19*F22*('数据-取费表'!B19/2+'数据-取费表'!B20),C19*(POWER((1+F22),('数据-取费表'!B19/2+'数据-取费表'!B20))-1)),0)</f>
        <v>0</v>
      </c>
      <c r="D24" s="230"/>
      <c r="E24" s="230"/>
      <c r="F24" s="231"/>
      <c r="G24" s="232" t="s">
        <v>1503</v>
      </c>
    </row>
    <row r="25" spans="1:7" s="206" customFormat="1" ht="24">
      <c r="A25" s="734" t="s">
        <v>348</v>
      </c>
      <c r="B25" s="207" t="s">
        <v>1505</v>
      </c>
      <c r="C25" s="230">
        <f ca="1">ROUND(IF('数据-取费表'!B22&lt;=1,C20*F22*'数据-取费表'!B22/2,C20*(POWER((1+F22),'数据-取费表'!B22/2)-1)),0)</f>
        <v>138</v>
      </c>
      <c r="D25" s="230"/>
      <c r="E25" s="233"/>
      <c r="F25" s="231"/>
      <c r="G25" s="234" t="s">
        <v>1506</v>
      </c>
    </row>
    <row r="26" spans="1:7" s="206" customFormat="1">
      <c r="A26" s="734" t="s">
        <v>350</v>
      </c>
      <c r="B26" s="207" t="s">
        <v>1507</v>
      </c>
      <c r="C26" s="230">
        <f ca="1">ROUND(IF('数据-取费表'!B22&lt;=1,F21*F22*'数据-取费表'!B22/2,F21*(POWER((1+F22),'数据-取费表'!B22/2)-1)),4)</f>
        <v>5.9999999999999995E-4</v>
      </c>
      <c r="D26" s="230"/>
      <c r="E26" s="233"/>
      <c r="F26" s="231"/>
      <c r="G26" s="235"/>
    </row>
    <row r="27" spans="1:7" s="206" customFormat="1" ht="24.75">
      <c r="A27" s="247" t="s">
        <v>1508</v>
      </c>
      <c r="B27" s="236" t="s">
        <v>1509</v>
      </c>
      <c r="C27" s="237">
        <f ca="1">C28</f>
        <v>22427</v>
      </c>
      <c r="D27" s="227">
        <f ca="1">C29</f>
        <v>2E-3</v>
      </c>
      <c r="E27" s="228" t="s">
        <v>1494</v>
      </c>
      <c r="F27" s="238">
        <f ca="1">IF(B1="",'数据-取费表'!Q16,INDIRECT("'数据-取费表'!q"&amp;$G$1))</f>
        <v>0.1</v>
      </c>
      <c r="G27" s="239" t="s">
        <v>1511</v>
      </c>
    </row>
    <row r="28" spans="1:7" s="206" customFormat="1" ht="13.5" customHeight="1">
      <c r="A28" s="734" t="s">
        <v>346</v>
      </c>
      <c r="B28" s="240" t="s">
        <v>1512</v>
      </c>
      <c r="C28" s="241">
        <f ca="1">ROUND((C5+C19+C20)*F27,0)</f>
        <v>22427</v>
      </c>
      <c r="D28" s="227"/>
      <c r="E28" s="228"/>
      <c r="F28" s="238"/>
      <c r="G28" s="239"/>
    </row>
    <row r="29" spans="1:7" s="206" customFormat="1" ht="13.5" customHeight="1">
      <c r="A29" s="734" t="s">
        <v>347</v>
      </c>
      <c r="B29" s="240" t="s">
        <v>1513</v>
      </c>
      <c r="C29" s="230">
        <f ca="1">ROUND(C21*F27,4)</f>
        <v>2E-3</v>
      </c>
      <c r="D29" s="227"/>
      <c r="E29" s="228"/>
      <c r="F29" s="238"/>
      <c r="G29" s="239"/>
    </row>
    <row r="30" spans="1:7" s="206" customFormat="1" ht="13.5" customHeight="1">
      <c r="A30" s="247" t="s">
        <v>1514</v>
      </c>
      <c r="B30" s="202" t="s">
        <v>1515</v>
      </c>
      <c r="C30" s="227">
        <f>ROUND(F30/(1+'数据-取费表'!C42),4)</f>
        <v>5.33E-2</v>
      </c>
      <c r="D30" s="228" t="s">
        <v>1494</v>
      </c>
      <c r="E30" s="233"/>
      <c r="F30" s="229">
        <f>'数据-取费表'!B41</f>
        <v>5.6000000000000001E-2</v>
      </c>
      <c r="G30" s="226" t="s">
        <v>1516</v>
      </c>
    </row>
    <row r="31" spans="1:7" ht="16.5" customHeight="1">
      <c r="A31" s="201">
        <v>1</v>
      </c>
      <c r="B31" s="202" t="s">
        <v>1517</v>
      </c>
      <c r="C31" s="203">
        <f ca="1">ROUND((C5+C19+C20+C22+C27)/(1-C21-D22-D27-C30),0)</f>
        <v>282230</v>
      </c>
      <c r="D31" s="222"/>
      <c r="E31" s="203"/>
      <c r="F31" s="242"/>
      <c r="G31" s="226" t="s">
        <v>1518</v>
      </c>
    </row>
    <row r="32" spans="1:7" s="200" customFormat="1" ht="15.75">
      <c r="A32" s="244" t="s">
        <v>1585</v>
      </c>
      <c r="B32" s="245"/>
      <c r="C32" s="245"/>
      <c r="D32" s="245"/>
      <c r="E32" s="245"/>
      <c r="F32" s="245"/>
      <c r="G32" s="246"/>
    </row>
    <row r="33" spans="1:7" s="206" customFormat="1" ht="13.5" customHeight="1">
      <c r="A33" s="247" t="s">
        <v>337</v>
      </c>
      <c r="B33" s="202" t="s">
        <v>1586</v>
      </c>
      <c r="C33" s="248">
        <f ca="1">SUM(C34:C38)</f>
        <v>303372</v>
      </c>
      <c r="D33" s="224"/>
      <c r="E33" s="204"/>
      <c r="F33" s="233"/>
      <c r="G33" s="226"/>
    </row>
    <row r="34" spans="1:7" s="250" customFormat="1" ht="13.5" customHeight="1">
      <c r="A34" s="734" t="s">
        <v>346</v>
      </c>
      <c r="B34" s="207" t="s">
        <v>1521</v>
      </c>
      <c r="C34" s="212">
        <f ca="1">ROUND(IF(B1="",SUMPRODUCT('数据-取费表'!K6:K14,'数据-取费表'!L6:L14),INDIRECT("'数据-取费表'!l"&amp;$G$1)*INDIRECT("'数据-取费表'!k"&amp;$G$1)+'数据-取费表'!L14*INDIRECT("'数据-取费表'!S"&amp;$G$1)),0)</f>
        <v>275600</v>
      </c>
      <c r="D34" s="209"/>
      <c r="E34" s="212"/>
      <c r="F34" s="249"/>
      <c r="G34" s="211"/>
    </row>
    <row r="35" spans="1:7" ht="13.5" customHeight="1">
      <c r="A35" s="734" t="s">
        <v>351</v>
      </c>
      <c r="B35" s="207" t="s">
        <v>1523</v>
      </c>
      <c r="C35" s="212">
        <f ca="1">ROUND(C34*F35,0)</f>
        <v>13780</v>
      </c>
      <c r="D35" s="212"/>
      <c r="E35" s="212"/>
      <c r="F35" s="251">
        <f>'数据-取费表'!B33</f>
        <v>0.05</v>
      </c>
      <c r="G35" s="211" t="s">
        <v>1524</v>
      </c>
    </row>
    <row r="36" spans="1:7" ht="24">
      <c r="A36" s="734" t="s">
        <v>352</v>
      </c>
      <c r="B36" s="207" t="s">
        <v>1525</v>
      </c>
      <c r="C36" s="212">
        <f ca="1">ROUND(IF(B1="",SUM('数据-取费表'!AP6:AP13)*F36,IF(INDIRECT("'数据-取费表'!c"&amp;$G$1)="住宅",INDIRECT("'数据-取费表'!k"&amp;$G$1)*INDIRECT("'数据-取费表'!l"&amp;$G$1)*F36,0)),0)</f>
        <v>0</v>
      </c>
      <c r="D36" s="212"/>
      <c r="E36" s="212"/>
      <c r="F36" s="251">
        <f>'数据-取费表'!B34</f>
        <v>0.05</v>
      </c>
      <c r="G36" s="252" t="s">
        <v>1526</v>
      </c>
    </row>
    <row r="37" spans="1:7" s="250" customFormat="1" ht="13.5" customHeight="1">
      <c r="A37" s="734" t="s">
        <v>353</v>
      </c>
      <c r="B37" s="207" t="s">
        <v>1527</v>
      </c>
      <c r="C37" s="241">
        <f ca="1">ROUND(E37*D37,0)</f>
        <v>8480</v>
      </c>
      <c r="D37" s="209">
        <f ca="1">D19</f>
        <v>42.4</v>
      </c>
      <c r="E37" s="241">
        <f>'数据-取费表'!B35</f>
        <v>200</v>
      </c>
      <c r="F37" s="251"/>
      <c r="G37" s="253"/>
    </row>
    <row r="38" spans="1:7" ht="13.5" customHeight="1">
      <c r="A38" s="734" t="s">
        <v>354</v>
      </c>
      <c r="B38" s="207" t="s">
        <v>1529</v>
      </c>
      <c r="C38" s="212">
        <f ca="1">ROUND(C34*F38,0)</f>
        <v>5512</v>
      </c>
      <c r="D38" s="212"/>
      <c r="E38" s="212"/>
      <c r="F38" s="251">
        <f>'数据-取费表'!B36</f>
        <v>0.02</v>
      </c>
      <c r="G38" s="211" t="s">
        <v>1524</v>
      </c>
    </row>
    <row r="39" spans="1:7" s="206" customFormat="1" ht="13.5" customHeight="1">
      <c r="A39" s="247" t="s">
        <v>1487</v>
      </c>
      <c r="B39" s="202" t="s">
        <v>1490</v>
      </c>
      <c r="C39" s="224">
        <f ca="1">ROUND(C33*F20,0)</f>
        <v>6067</v>
      </c>
      <c r="D39" s="224"/>
      <c r="E39" s="224"/>
      <c r="F39" s="225">
        <f>F20</f>
        <v>0.02</v>
      </c>
      <c r="G39" s="226" t="s">
        <v>1532</v>
      </c>
    </row>
    <row r="40" spans="1:7" s="206" customFormat="1" ht="13.5" customHeight="1">
      <c r="A40" s="247" t="s">
        <v>1489</v>
      </c>
      <c r="B40" s="202" t="s">
        <v>1493</v>
      </c>
      <c r="C40" s="227">
        <f>F21</f>
        <v>0.02</v>
      </c>
      <c r="D40" s="228" t="s">
        <v>1535</v>
      </c>
      <c r="E40" s="224"/>
      <c r="F40" s="225">
        <f>F21</f>
        <v>0.02</v>
      </c>
      <c r="G40" s="226" t="s">
        <v>1536</v>
      </c>
    </row>
    <row r="41" spans="1:7" s="206" customFormat="1" ht="13.5" customHeight="1">
      <c r="A41" s="247" t="s">
        <v>1492</v>
      </c>
      <c r="B41" s="202" t="s">
        <v>1497</v>
      </c>
      <c r="C41" s="224">
        <f ca="1">ROUND(SUM(C42:C43),0)</f>
        <v>9686</v>
      </c>
      <c r="D41" s="227">
        <f ca="1">C44</f>
        <v>5.9999999999999995E-4</v>
      </c>
      <c r="E41" s="228" t="s">
        <v>1535</v>
      </c>
      <c r="F41" s="229">
        <f ca="1">F22</f>
        <v>3.1300000000000001E-2</v>
      </c>
      <c r="G41" s="226" t="str">
        <f>IF('数据-取费表'!B22&lt;=1,"单利计息","复利计息")</f>
        <v>复利计息</v>
      </c>
    </row>
    <row r="42" spans="1:7" ht="13.5" customHeight="1">
      <c r="A42" s="734" t="s">
        <v>346</v>
      </c>
      <c r="B42" s="207" t="s">
        <v>1499</v>
      </c>
      <c r="C42" s="230">
        <f ca="1">ROUND(IF('数据-取费表'!B22&lt;=1,C33*F22*'数据-取费表'!B20/2,C33*(POWER((1+F22),'数据-取费表'!B20/2)-1)),0)</f>
        <v>9496</v>
      </c>
      <c r="D42" s="230"/>
      <c r="E42" s="230"/>
      <c r="F42" s="231"/>
      <c r="G42" s="3421" t="s">
        <v>1587</v>
      </c>
    </row>
    <row r="43" spans="1:7" ht="13.5" customHeight="1">
      <c r="A43" s="734" t="s">
        <v>347</v>
      </c>
      <c r="B43" s="207" t="s">
        <v>1502</v>
      </c>
      <c r="C43" s="230">
        <f ca="1">ROUND(IF('数据-取费表'!B22&lt;=1,C39*F22*'数据-取费表'!B20/2,C39*(POWER((1+F22),'数据-取费表'!B20/2)-1)),0)</f>
        <v>190</v>
      </c>
      <c r="D43" s="230"/>
      <c r="E43" s="230"/>
      <c r="F43" s="231"/>
      <c r="G43" s="3422"/>
    </row>
    <row r="44" spans="1:7" ht="13.5" customHeight="1">
      <c r="A44" s="734" t="s">
        <v>348</v>
      </c>
      <c r="B44" s="207" t="s">
        <v>1505</v>
      </c>
      <c r="C44" s="230">
        <f ca="1">ROUND(IF('数据-取费表'!B22&lt;=1,C40*F22*'数据-取费表'!B20/2,C40*(POWER((1+F22),'数据-取费表'!B20/2)-1)),4)</f>
        <v>5.9999999999999995E-4</v>
      </c>
      <c r="D44" s="230"/>
      <c r="E44" s="230"/>
      <c r="F44" s="231"/>
      <c r="G44" s="3423"/>
    </row>
    <row r="45" spans="1:7" s="206" customFormat="1" ht="13.5" customHeight="1">
      <c r="A45" s="247" t="s">
        <v>1496</v>
      </c>
      <c r="B45" s="236" t="s">
        <v>1509</v>
      </c>
      <c r="C45" s="237">
        <f ca="1">C46</f>
        <v>30944</v>
      </c>
      <c r="D45" s="227">
        <f ca="1">C47</f>
        <v>2E-3</v>
      </c>
      <c r="E45" s="228" t="s">
        <v>1535</v>
      </c>
      <c r="F45" s="238">
        <f ca="1">F27</f>
        <v>0.1</v>
      </c>
      <c r="G45" s="239" t="s">
        <v>1544</v>
      </c>
    </row>
    <row r="46" spans="1:7" s="206" customFormat="1" ht="13.5" customHeight="1">
      <c r="A46" s="734" t="s">
        <v>346</v>
      </c>
      <c r="B46" s="240" t="s">
        <v>1545</v>
      </c>
      <c r="C46" s="241">
        <f ca="1">ROUND((C33+C39)*F27,0)</f>
        <v>30944</v>
      </c>
      <c r="D46" s="255"/>
      <c r="E46" s="228"/>
      <c r="F46" s="238"/>
      <c r="G46" s="239"/>
    </row>
    <row r="47" spans="1:7" s="206" customFormat="1" ht="13.5" customHeight="1">
      <c r="A47" s="734" t="s">
        <v>347</v>
      </c>
      <c r="B47" s="240" t="s">
        <v>1546</v>
      </c>
      <c r="C47" s="230">
        <f ca="1">ROUND(C40*F27,4)</f>
        <v>2E-3</v>
      </c>
      <c r="D47" s="255"/>
      <c r="E47" s="228"/>
      <c r="F47" s="238"/>
      <c r="G47" s="239"/>
    </row>
    <row r="48" spans="1:7" s="206" customFormat="1" ht="13.5" customHeight="1">
      <c r="A48" s="247" t="s">
        <v>1508</v>
      </c>
      <c r="B48" s="202" t="s">
        <v>1547</v>
      </c>
      <c r="C48" s="254">
        <f>ROUND(F30/(1+'数据-取费表'!C42),4)</f>
        <v>5.33E-2</v>
      </c>
      <c r="D48" s="228" t="s">
        <v>1535</v>
      </c>
      <c r="E48" s="224"/>
      <c r="F48" s="229">
        <f>F30</f>
        <v>5.6000000000000001E-2</v>
      </c>
      <c r="G48" s="226" t="s">
        <v>1548</v>
      </c>
    </row>
    <row r="49" spans="1:7" ht="16.5" customHeight="1">
      <c r="A49" s="247" t="s">
        <v>1514</v>
      </c>
      <c r="B49" s="202" t="s">
        <v>1588</v>
      </c>
      <c r="C49" s="224">
        <f ca="1">ROUND((C33+C39+C41+C45)/(1-C40-D41-D45-C48),0)</f>
        <v>378822</v>
      </c>
      <c r="D49" s="224"/>
      <c r="E49" s="224"/>
      <c r="F49" s="256"/>
      <c r="G49" s="226" t="s">
        <v>1550</v>
      </c>
    </row>
    <row r="50" spans="1:7" s="250" customFormat="1">
      <c r="A50" s="247" t="s">
        <v>1551</v>
      </c>
      <c r="B50" s="202" t="s">
        <v>1552</v>
      </c>
      <c r="C50" s="224"/>
      <c r="D50" s="224"/>
      <c r="E50" s="224"/>
      <c r="F50" s="256">
        <f>IF('数据-取费表'!B24=0,'数据-取费表'!N16,1)</f>
        <v>1</v>
      </c>
      <c r="G50" s="239"/>
    </row>
    <row r="51" spans="1:7" ht="16.5" customHeight="1">
      <c r="A51" s="247" t="s">
        <v>1554</v>
      </c>
      <c r="B51" s="202" t="s">
        <v>1589</v>
      </c>
      <c r="C51" s="224">
        <f ca="1">ROUND(C49*F50,0)</f>
        <v>378822</v>
      </c>
      <c r="D51" s="224"/>
      <c r="E51" s="224"/>
      <c r="F51" s="256"/>
      <c r="G51" s="226" t="s">
        <v>1556</v>
      </c>
    </row>
    <row r="52" spans="1:7" s="200" customFormat="1" ht="16.5" thickBot="1">
      <c r="A52" s="257" t="s">
        <v>1557</v>
      </c>
      <c r="B52" s="258"/>
      <c r="C52" s="259">
        <f ca="1">C31+C51</f>
        <v>661052</v>
      </c>
      <c r="D52" s="258"/>
      <c r="E52" s="258"/>
      <c r="F52" s="258"/>
      <c r="G52" s="260"/>
    </row>
    <row r="55" spans="1:7" ht="15">
      <c r="B55" s="262" t="s">
        <v>1558</v>
      </c>
      <c r="C55" s="263"/>
    </row>
    <row r="56" spans="1:7">
      <c r="B56" s="265" t="s">
        <v>798</v>
      </c>
      <c r="C56" s="267">
        <f ca="1">1-C57</f>
        <v>0.42700000000000005</v>
      </c>
    </row>
    <row r="57" spans="1:7">
      <c r="B57" s="265" t="s">
        <v>799</v>
      </c>
      <c r="C57" s="266">
        <f ca="1">ROUND(C51/C52,3)</f>
        <v>0.57299999999999995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9292EB46-9FA4-415C-A1BD-04E013817BC7}">
      <formula1>"需扣减承租人权益,——"</formula1>
    </dataValidation>
    <dataValidation type="list" allowBlank="1" showInputMessage="1" showErrorMessage="1" sqref="G2" xr:uid="{CD7A46A7-7CDD-4CEB-8458-02E2CE5EA365}">
      <formula1>估价方法</formula1>
    </dataValidation>
    <dataValidation type="list" allowBlank="1" showInputMessage="1" showErrorMessage="1" sqref="B1" xr:uid="{92F70574-CBBC-4AFB-BE37-D56FFB63CDE6}">
      <formula1>项目类型</formula1>
    </dataValidation>
    <dataValidation type="list" allowBlank="1" showInputMessage="1" showErrorMessage="1" sqref="G19" xr:uid="{EE3D9956-584D-442E-8F83-09B32101B85C}">
      <formula1>"已包含在土地取得成本中,未包含在土地取得成本中"</formula1>
    </dataValidation>
    <dataValidation type="list" allowBlank="1" showInputMessage="1" showErrorMessage="1" sqref="G8" xr:uid="{321A4BEE-AB06-4C81-9EC1-CD730BB8A527}">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734" t="s">
        <v>1762</v>
      </c>
      <c r="C1" s="1155" t="s">
        <v>1658</v>
      </c>
      <c r="D1" s="1142"/>
      <c r="E1" s="3125"/>
      <c r="F1" s="1735"/>
      <c r="G1" s="1152" t="s">
        <v>1763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1458</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1459</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1460</v>
      </c>
      <c r="B3" s="536">
        <f>IF(C2="——",C49,ROUND(B2*10000/D3,0))</f>
        <v>0</v>
      </c>
      <c r="C3" s="344" t="s">
        <v>1764</v>
      </c>
      <c r="D3" s="343">
        <f>IF(D1="",'数据-汇总表'!E3,SUMIF('数据-汇总表'!$C19:$C33,D1,'数据-汇总表'!$E19:$E33))</f>
        <v>315.39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1765</v>
      </c>
      <c r="B4" s="346"/>
      <c r="C4" s="3304" t="s">
        <v>1766</v>
      </c>
      <c r="D4" s="3305"/>
      <c r="E4" s="3306" t="s">
        <v>1767</v>
      </c>
      <c r="F4" s="3307"/>
      <c r="G4" s="3304" t="s">
        <v>1768</v>
      </c>
      <c r="H4" s="3305"/>
      <c r="I4" s="3304" t="s">
        <v>1769</v>
      </c>
      <c r="J4" s="3305"/>
      <c r="K4" s="537" t="s">
        <v>1770</v>
      </c>
      <c r="L4" s="2487"/>
      <c r="M4" s="2488"/>
      <c r="N4" s="2488"/>
      <c r="O4" s="2488"/>
      <c r="P4" s="3308" t="s">
        <v>1771</v>
      </c>
      <c r="Q4" s="3309"/>
      <c r="R4" s="3290" t="s">
        <v>1767</v>
      </c>
      <c r="S4" s="3291"/>
      <c r="T4" s="3290" t="s">
        <v>1768</v>
      </c>
      <c r="U4" s="3291"/>
      <c r="V4" s="3316" t="s">
        <v>1769</v>
      </c>
      <c r="W4" s="3316"/>
      <c r="X4" s="1265"/>
      <c r="Y4" s="3290" t="s">
        <v>1771</v>
      </c>
      <c r="Z4" s="3291"/>
      <c r="AA4" s="3285" t="s">
        <v>1767</v>
      </c>
      <c r="AB4" s="3316" t="s">
        <v>1768</v>
      </c>
      <c r="AC4" s="3285" t="s">
        <v>1769</v>
      </c>
    </row>
    <row r="5" spans="1:29" ht="15">
      <c r="A5" s="348"/>
      <c r="B5" s="349"/>
      <c r="C5" s="3296" t="s">
        <v>1669</v>
      </c>
      <c r="D5" s="3297"/>
      <c r="E5" s="3294" t="s">
        <v>1670</v>
      </c>
      <c r="F5" s="3295"/>
      <c r="G5" s="3296" t="s">
        <v>1671</v>
      </c>
      <c r="H5" s="3297"/>
      <c r="I5" s="3296" t="s">
        <v>1672</v>
      </c>
      <c r="J5" s="3297"/>
      <c r="K5" s="537"/>
      <c r="L5" s="2487"/>
      <c r="M5" s="2488"/>
      <c r="N5" s="2488"/>
      <c r="O5" s="2488"/>
      <c r="P5" s="3310"/>
      <c r="Q5" s="3311"/>
      <c r="R5" s="3292"/>
      <c r="S5" s="3293"/>
      <c r="T5" s="3292"/>
      <c r="U5" s="3293"/>
      <c r="V5" s="3316"/>
      <c r="W5" s="3316"/>
      <c r="X5" s="1265"/>
      <c r="Y5" s="3292"/>
      <c r="Z5" s="3293"/>
      <c r="AA5" s="3286"/>
      <c r="AB5" s="3316"/>
      <c r="AC5" s="3286"/>
    </row>
    <row r="6" spans="1:29" ht="15.75" thickBot="1">
      <c r="A6" s="350"/>
      <c r="B6" s="351"/>
      <c r="C6" s="3298" t="s">
        <v>1673</v>
      </c>
      <c r="D6" s="3299"/>
      <c r="E6" s="3300" t="s">
        <v>1673</v>
      </c>
      <c r="F6" s="3301"/>
      <c r="G6" s="3298" t="s">
        <v>1673</v>
      </c>
      <c r="H6" s="3299"/>
      <c r="I6" s="3298" t="s">
        <v>1673</v>
      </c>
      <c r="J6" s="3299"/>
      <c r="K6" s="537" t="s">
        <v>1674</v>
      </c>
      <c r="L6" s="2487"/>
      <c r="M6" s="2488"/>
      <c r="N6" s="2488"/>
      <c r="O6" s="2488"/>
      <c r="P6" s="3312"/>
      <c r="Q6" s="3313"/>
      <c r="R6" s="3292"/>
      <c r="S6" s="3293"/>
      <c r="T6" s="3314"/>
      <c r="U6" s="3315"/>
      <c r="V6" s="3316"/>
      <c r="W6" s="3316"/>
      <c r="X6" s="1265"/>
      <c r="Y6" s="3314"/>
      <c r="Z6" s="3315"/>
      <c r="AA6" s="3287"/>
      <c r="AB6" s="3316"/>
      <c r="AC6" s="3287"/>
    </row>
    <row r="7" spans="1:29" s="102" customFormat="1" ht="15.75" thickBot="1">
      <c r="A7" s="352" t="s">
        <v>1675</v>
      </c>
      <c r="B7" s="353"/>
      <c r="C7" s="354">
        <f>'数据-取费表'!B2</f>
        <v>46014</v>
      </c>
      <c r="D7" s="355">
        <v>100</v>
      </c>
      <c r="E7" s="356"/>
      <c r="F7" s="357">
        <f>SUMIF(58:58,YEAR(E7)&amp;"-"&amp;MONTH(E7),59:59)</f>
        <v>0</v>
      </c>
      <c r="G7" s="356"/>
      <c r="H7" s="355">
        <f>SUMIF(58:58,YEAR(G7)&amp;"-"&amp;MONTH(G7),59:59)</f>
        <v>0</v>
      </c>
      <c r="I7" s="356"/>
      <c r="J7" s="355">
        <f>SUMIF(58:58,YEAR(I7)&amp;"-"&amp;MONTH(I7),59:59)</f>
        <v>0</v>
      </c>
      <c r="K7" s="38"/>
      <c r="L7" s="2489"/>
      <c r="M7" s="2440"/>
      <c r="N7" s="2440"/>
      <c r="O7" s="2440"/>
      <c r="P7" s="3288" t="s">
        <v>1676</v>
      </c>
      <c r="Q7" s="3317"/>
      <c r="R7" s="664" t="s">
        <v>14</v>
      </c>
      <c r="S7" s="665">
        <f t="shared" ref="S7:S15" si="0">F7</f>
        <v>0</v>
      </c>
      <c r="T7" s="664" t="s">
        <v>14</v>
      </c>
      <c r="U7" s="665">
        <f t="shared" ref="U7:U15" si="1">H7</f>
        <v>0</v>
      </c>
      <c r="V7" s="664" t="s">
        <v>14</v>
      </c>
      <c r="W7" s="665">
        <f t="shared" ref="W7:W15" si="2">J7</f>
        <v>0</v>
      </c>
      <c r="X7" s="666"/>
      <c r="Y7" s="3288" t="s">
        <v>1676</v>
      </c>
      <c r="Z7" s="3289"/>
      <c r="AA7" s="50" t="e">
        <f>D7/F7</f>
        <v>#DIV/0!</v>
      </c>
      <c r="AB7" s="50" t="e">
        <f>D7/H7</f>
        <v>#DIV/0!</v>
      </c>
      <c r="AC7" s="50" t="e">
        <f>D7/J7</f>
        <v>#DIV/0!</v>
      </c>
    </row>
    <row r="8" spans="1:29" s="102" customFormat="1" ht="15.75" thickBot="1">
      <c r="A8" s="352" t="s">
        <v>1677</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288" t="s">
        <v>1679</v>
      </c>
      <c r="Q8" s="3289"/>
      <c r="R8" s="664" t="s">
        <v>14</v>
      </c>
      <c r="S8" s="665">
        <f t="shared" si="0"/>
        <v>100</v>
      </c>
      <c r="T8" s="664" t="s">
        <v>14</v>
      </c>
      <c r="U8" s="665">
        <f t="shared" si="1"/>
        <v>100</v>
      </c>
      <c r="V8" s="664" t="s">
        <v>14</v>
      </c>
      <c r="W8" s="665">
        <f t="shared" si="2"/>
        <v>100</v>
      </c>
      <c r="X8" s="666"/>
      <c r="Y8" s="3288" t="s">
        <v>1679</v>
      </c>
      <c r="Z8" s="3289"/>
      <c r="AA8" s="50">
        <f t="shared" ref="AA8:AA46" si="3">D8/F8</f>
        <v>1</v>
      </c>
      <c r="AB8" s="50">
        <f t="shared" ref="AB8:AB46" si="4">D8/H8</f>
        <v>1</v>
      </c>
      <c r="AC8" s="50">
        <f t="shared" ref="AC8:AC46" si="5">D8/J8</f>
        <v>1</v>
      </c>
    </row>
    <row r="9" spans="1:29" s="102" customFormat="1">
      <c r="A9" s="359" t="s">
        <v>1680</v>
      </c>
      <c r="B9" s="60" t="s">
        <v>1681</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27" t="s">
        <v>1682</v>
      </c>
      <c r="Q9" s="530" t="str">
        <f t="shared" ref="Q9:Q15" si="6">B9</f>
        <v>用途</v>
      </c>
      <c r="R9" s="664" t="s">
        <v>14</v>
      </c>
      <c r="S9" s="665">
        <f t="shared" si="0"/>
        <v>100</v>
      </c>
      <c r="T9" s="664" t="s">
        <v>14</v>
      </c>
      <c r="U9" s="665">
        <f t="shared" si="1"/>
        <v>100</v>
      </c>
      <c r="V9" s="664" t="s">
        <v>14</v>
      </c>
      <c r="W9" s="665">
        <f t="shared" si="2"/>
        <v>100</v>
      </c>
      <c r="X9" s="666"/>
      <c r="Y9" s="3303" t="s">
        <v>1683</v>
      </c>
      <c r="Z9" s="50" t="str">
        <f t="shared" ref="Z9:Z15" si="7">Q9</f>
        <v>用途</v>
      </c>
      <c r="AA9" s="50">
        <f t="shared" si="3"/>
        <v>1</v>
      </c>
      <c r="AB9" s="50">
        <f t="shared" si="4"/>
        <v>1</v>
      </c>
      <c r="AC9" s="50">
        <f t="shared" si="5"/>
        <v>1</v>
      </c>
    </row>
    <row r="10" spans="1:29" s="366" customFormat="1" ht="27">
      <c r="A10" s="363"/>
      <c r="B10" s="364" t="s">
        <v>1684</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27"/>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1685</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27"/>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27"/>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27"/>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27"/>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15">
      <c r="A15" s="379" t="s">
        <v>1686</v>
      </c>
      <c r="B15" s="58" t="s">
        <v>1773</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31" t="s">
        <v>1687</v>
      </c>
      <c r="Q15" s="1263" t="str">
        <f t="shared" si="6"/>
        <v>商业繁华度</v>
      </c>
      <c r="R15" s="667" t="s">
        <v>14</v>
      </c>
      <c r="S15" s="668">
        <f t="shared" si="0"/>
        <v>100</v>
      </c>
      <c r="T15" s="667" t="s">
        <v>14</v>
      </c>
      <c r="U15" s="668">
        <f t="shared" si="1"/>
        <v>100</v>
      </c>
      <c r="V15" s="667" t="s">
        <v>14</v>
      </c>
      <c r="W15" s="668">
        <f t="shared" si="2"/>
        <v>100</v>
      </c>
      <c r="X15" s="1265"/>
      <c r="Y15" s="3318" t="s">
        <v>1687</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32"/>
      <c r="Q16" s="1263"/>
      <c r="R16" s="667"/>
      <c r="S16" s="668"/>
      <c r="T16" s="667"/>
      <c r="U16" s="668"/>
      <c r="V16" s="667"/>
      <c r="W16" s="668"/>
      <c r="X16" s="1265"/>
      <c r="Y16" s="3319"/>
      <c r="Z16" s="1264"/>
      <c r="AA16" s="1264">
        <v>1</v>
      </c>
      <c r="AB16" s="1264">
        <v>1</v>
      </c>
      <c r="AC16" s="1264">
        <v>1</v>
      </c>
    </row>
    <row r="17" spans="1:29" ht="15">
      <c r="A17" s="367"/>
      <c r="B17" s="390" t="s">
        <v>1255</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32"/>
      <c r="Q17" s="1263" t="str">
        <f>B17</f>
        <v>交通便捷度</v>
      </c>
      <c r="R17" s="667" t="s">
        <v>14</v>
      </c>
      <c r="S17" s="668">
        <f>F17</f>
        <v>100</v>
      </c>
      <c r="T17" s="667" t="s">
        <v>14</v>
      </c>
      <c r="U17" s="668">
        <f>H17</f>
        <v>100</v>
      </c>
      <c r="V17" s="667" t="s">
        <v>14</v>
      </c>
      <c r="W17" s="668">
        <f>J17</f>
        <v>100</v>
      </c>
      <c r="X17" s="1265"/>
      <c r="Y17" s="331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32"/>
      <c r="Q18" s="1263"/>
      <c r="R18" s="667"/>
      <c r="S18" s="668"/>
      <c r="T18" s="667"/>
      <c r="U18" s="668"/>
      <c r="V18" s="667"/>
      <c r="W18" s="668"/>
      <c r="X18" s="1265"/>
      <c r="Y18" s="3319"/>
      <c r="Z18" s="1264"/>
      <c r="AA18" s="1264">
        <v>1</v>
      </c>
      <c r="AB18" s="1264">
        <v>1</v>
      </c>
      <c r="AC18" s="1264">
        <v>1</v>
      </c>
    </row>
    <row r="19" spans="1:29" ht="15">
      <c r="A19" s="367"/>
      <c r="B19" s="390" t="s">
        <v>1774</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32"/>
      <c r="Q19" s="1263" t="str">
        <f>B19</f>
        <v>公共配套设施</v>
      </c>
      <c r="R19" s="667" t="s">
        <v>14</v>
      </c>
      <c r="S19" s="668">
        <f>F19</f>
        <v>100</v>
      </c>
      <c r="T19" s="667" t="s">
        <v>14</v>
      </c>
      <c r="U19" s="668">
        <f>H19</f>
        <v>100</v>
      </c>
      <c r="V19" s="667" t="s">
        <v>14</v>
      </c>
      <c r="W19" s="668">
        <f>J19</f>
        <v>100</v>
      </c>
      <c r="X19" s="1265"/>
      <c r="Y19" s="331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32"/>
      <c r="Q20" s="1263"/>
      <c r="R20" s="667"/>
      <c r="S20" s="668"/>
      <c r="T20" s="667"/>
      <c r="U20" s="668"/>
      <c r="V20" s="667"/>
      <c r="W20" s="668"/>
      <c r="X20" s="1265"/>
      <c r="Y20" s="3319"/>
      <c r="Z20" s="1264"/>
      <c r="AA20" s="1264">
        <v>1</v>
      </c>
      <c r="AB20" s="1264">
        <v>1</v>
      </c>
      <c r="AC20" s="1264">
        <v>1</v>
      </c>
    </row>
    <row r="21" spans="1:29" ht="15">
      <c r="A21" s="367"/>
      <c r="B21" s="586" t="s">
        <v>1775</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32"/>
      <c r="Q21" s="1263" t="str">
        <f>B21</f>
        <v>基础设施水平</v>
      </c>
      <c r="R21" s="667" t="s">
        <v>14</v>
      </c>
      <c r="S21" s="668">
        <f>F21</f>
        <v>100</v>
      </c>
      <c r="T21" s="667" t="s">
        <v>14</v>
      </c>
      <c r="U21" s="668">
        <f>H21</f>
        <v>100</v>
      </c>
      <c r="V21" s="667" t="s">
        <v>14</v>
      </c>
      <c r="W21" s="668">
        <f>J21</f>
        <v>100</v>
      </c>
      <c r="X21" s="1265"/>
      <c r="Y21" s="331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32"/>
      <c r="Q22" s="1263"/>
      <c r="R22" s="667"/>
      <c r="S22" s="668"/>
      <c r="T22" s="667"/>
      <c r="U22" s="668"/>
      <c r="V22" s="667"/>
      <c r="W22" s="668"/>
      <c r="X22" s="1265"/>
      <c r="Y22" s="3319"/>
      <c r="Z22" s="1264"/>
      <c r="AA22" s="1264">
        <v>1</v>
      </c>
      <c r="AB22" s="1264">
        <v>1</v>
      </c>
      <c r="AC22" s="1264">
        <v>1</v>
      </c>
    </row>
    <row r="23" spans="1:29" ht="15">
      <c r="A23" s="367"/>
      <c r="B23" s="390" t="s">
        <v>1257</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32"/>
      <c r="Q23" s="1263" t="str">
        <f>B23</f>
        <v>自然及人文环境</v>
      </c>
      <c r="R23" s="667" t="s">
        <v>14</v>
      </c>
      <c r="S23" s="668">
        <f>F23</f>
        <v>100</v>
      </c>
      <c r="T23" s="667" t="s">
        <v>14</v>
      </c>
      <c r="U23" s="668">
        <f>H23</f>
        <v>100</v>
      </c>
      <c r="V23" s="667" t="s">
        <v>14</v>
      </c>
      <c r="W23" s="668">
        <f>J23</f>
        <v>100</v>
      </c>
      <c r="X23" s="1265"/>
      <c r="Y23" s="331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32"/>
      <c r="Q24" s="1263"/>
      <c r="R24" s="667"/>
      <c r="S24" s="668"/>
      <c r="T24" s="667"/>
      <c r="U24" s="668"/>
      <c r="V24" s="667"/>
      <c r="W24" s="668"/>
      <c r="X24" s="1265"/>
      <c r="Y24" s="3319"/>
      <c r="Z24" s="1264"/>
      <c r="AA24" s="1264">
        <v>1</v>
      </c>
      <c r="AB24" s="1264">
        <v>1</v>
      </c>
      <c r="AC24" s="1264">
        <v>1</v>
      </c>
    </row>
    <row r="25" spans="1:29" ht="15">
      <c r="A25" s="367"/>
      <c r="B25" s="364" t="s">
        <v>1776</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32"/>
      <c r="Q25" s="1263" t="str">
        <f t="shared" ref="Q25:Q46" si="11">B25</f>
        <v>临街状况</v>
      </c>
      <c r="R25" s="667" t="s">
        <v>14</v>
      </c>
      <c r="S25" s="668">
        <f>F25</f>
        <v>100</v>
      </c>
      <c r="T25" s="667" t="s">
        <v>14</v>
      </c>
      <c r="U25" s="668">
        <f>H25</f>
        <v>100</v>
      </c>
      <c r="V25" s="667" t="s">
        <v>14</v>
      </c>
      <c r="W25" s="668">
        <f>J25</f>
        <v>100</v>
      </c>
      <c r="X25" s="1265"/>
      <c r="Y25" s="3319"/>
      <c r="Z25" s="1264" t="str">
        <f>Q25</f>
        <v>临街状况</v>
      </c>
      <c r="AA25" s="1264">
        <f t="shared" si="3"/>
        <v>1</v>
      </c>
      <c r="AB25" s="1264">
        <f t="shared" si="4"/>
        <v>1</v>
      </c>
      <c r="AC25" s="1264">
        <f t="shared" si="5"/>
        <v>1</v>
      </c>
    </row>
    <row r="26" spans="1:29" ht="15">
      <c r="A26" s="367"/>
      <c r="B26" s="1066" t="s">
        <v>1777</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32"/>
      <c r="Q26" s="1263" t="str">
        <f t="shared" si="11"/>
        <v>平面位置/可视性</v>
      </c>
      <c r="R26" s="667" t="s">
        <v>14</v>
      </c>
      <c r="S26" s="668">
        <f>F26</f>
        <v>100</v>
      </c>
      <c r="T26" s="667" t="s">
        <v>14</v>
      </c>
      <c r="U26" s="668">
        <f>H26</f>
        <v>100</v>
      </c>
      <c r="V26" s="667" t="s">
        <v>14</v>
      </c>
      <c r="W26" s="668">
        <f>J26</f>
        <v>100</v>
      </c>
      <c r="X26" s="1265"/>
      <c r="Y26" s="3319"/>
      <c r="Z26" s="1264" t="str">
        <f>Q26</f>
        <v>平面位置/可视性</v>
      </c>
      <c r="AA26" s="1264">
        <f t="shared" si="3"/>
        <v>1</v>
      </c>
      <c r="AB26" s="1264">
        <f t="shared" si="4"/>
        <v>1</v>
      </c>
      <c r="AC26" s="1264">
        <f t="shared" si="5"/>
        <v>1</v>
      </c>
    </row>
    <row r="27" spans="1:29" s="102" customFormat="1" ht="15">
      <c r="A27" s="370"/>
      <c r="B27" s="390" t="s">
        <v>1778</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32"/>
      <c r="Q27" s="530" t="str">
        <f t="shared" si="11"/>
        <v>人流量</v>
      </c>
      <c r="R27" s="664" t="s">
        <v>14</v>
      </c>
      <c r="S27" s="665">
        <f>F27</f>
        <v>100</v>
      </c>
      <c r="T27" s="664" t="s">
        <v>14</v>
      </c>
      <c r="U27" s="665">
        <f>H27</f>
        <v>100</v>
      </c>
      <c r="V27" s="664" t="s">
        <v>14</v>
      </c>
      <c r="W27" s="665">
        <f>J27</f>
        <v>100</v>
      </c>
      <c r="X27" s="666"/>
      <c r="Y27" s="3319"/>
      <c r="Z27" s="50" t="str">
        <f>Q27</f>
        <v>人流量</v>
      </c>
      <c r="AA27" s="1264">
        <f>D27/F27</f>
        <v>1</v>
      </c>
      <c r="AB27" s="1264">
        <f>D27/H27</f>
        <v>1</v>
      </c>
      <c r="AC27" s="1264">
        <f>D27/J27</f>
        <v>1</v>
      </c>
    </row>
    <row r="28" spans="1:29" ht="15">
      <c r="A28" s="367"/>
      <c r="B28" s="364" t="s">
        <v>1779</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3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1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32"/>
      <c r="Q29" s="1263">
        <f t="shared" si="11"/>
        <v>111</v>
      </c>
      <c r="R29" s="667" t="s">
        <v>14</v>
      </c>
      <c r="S29" s="668">
        <f t="shared" si="12"/>
        <v>100</v>
      </c>
      <c r="T29" s="667" t="s">
        <v>14</v>
      </c>
      <c r="U29" s="668">
        <f t="shared" si="13"/>
        <v>100</v>
      </c>
      <c r="V29" s="667" t="s">
        <v>14</v>
      </c>
      <c r="W29" s="668">
        <f t="shared" si="14"/>
        <v>100</v>
      </c>
      <c r="X29" s="1265"/>
      <c r="Y29" s="331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32"/>
      <c r="Q30" s="1263">
        <f t="shared" si="11"/>
        <v>111</v>
      </c>
      <c r="R30" s="667" t="s">
        <v>14</v>
      </c>
      <c r="S30" s="668">
        <f t="shared" si="12"/>
        <v>100</v>
      </c>
      <c r="T30" s="667" t="s">
        <v>14</v>
      </c>
      <c r="U30" s="668">
        <f t="shared" si="13"/>
        <v>100</v>
      </c>
      <c r="V30" s="667" t="s">
        <v>14</v>
      </c>
      <c r="W30" s="668">
        <f t="shared" si="14"/>
        <v>100</v>
      </c>
      <c r="X30" s="1265"/>
      <c r="Y30" s="331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32"/>
      <c r="Q31" s="1263">
        <f t="shared" si="11"/>
        <v>111</v>
      </c>
      <c r="R31" s="667" t="s">
        <v>14</v>
      </c>
      <c r="S31" s="668">
        <f t="shared" si="12"/>
        <v>100</v>
      </c>
      <c r="T31" s="667" t="s">
        <v>14</v>
      </c>
      <c r="U31" s="668">
        <f t="shared" si="13"/>
        <v>100</v>
      </c>
      <c r="V31" s="667" t="s">
        <v>14</v>
      </c>
      <c r="W31" s="668">
        <f t="shared" si="14"/>
        <v>100</v>
      </c>
      <c r="X31" s="1265"/>
      <c r="Y31" s="3319"/>
      <c r="Z31" s="1264">
        <f t="shared" si="15"/>
        <v>111</v>
      </c>
      <c r="AA31" s="1264">
        <f t="shared" si="3"/>
        <v>1</v>
      </c>
      <c r="AB31" s="1264">
        <f t="shared" si="4"/>
        <v>1</v>
      </c>
      <c r="AC31" s="1264">
        <f t="shared" si="5"/>
        <v>1</v>
      </c>
    </row>
    <row r="32" spans="1:29" ht="15">
      <c r="A32" s="379" t="s">
        <v>1690</v>
      </c>
      <c r="B32" s="60" t="s">
        <v>1780</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7" t="s">
        <v>1692</v>
      </c>
      <c r="Q32" s="1263" t="str">
        <f t="shared" si="11"/>
        <v>商业类型</v>
      </c>
      <c r="R32" s="667" t="s">
        <v>14</v>
      </c>
      <c r="S32" s="668">
        <f t="shared" si="12"/>
        <v>100</v>
      </c>
      <c r="T32" s="667" t="s">
        <v>14</v>
      </c>
      <c r="U32" s="668">
        <f t="shared" si="13"/>
        <v>100</v>
      </c>
      <c r="V32" s="667" t="s">
        <v>14</v>
      </c>
      <c r="W32" s="668">
        <f t="shared" si="14"/>
        <v>100</v>
      </c>
      <c r="X32" s="1265"/>
      <c r="Y32" s="3321" t="s">
        <v>1692</v>
      </c>
      <c r="Z32" s="1264" t="str">
        <f t="shared" si="15"/>
        <v>商业类型</v>
      </c>
      <c r="AA32" s="1264">
        <f t="shared" si="3"/>
        <v>1</v>
      </c>
      <c r="AB32" s="1264">
        <f t="shared" si="4"/>
        <v>1</v>
      </c>
      <c r="AC32" s="1264">
        <f t="shared" si="5"/>
        <v>1</v>
      </c>
    </row>
    <row r="33" spans="1:29" s="408" customFormat="1" ht="15">
      <c r="A33" s="406"/>
      <c r="B33" s="364" t="s">
        <v>1693</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8"/>
      <c r="Q33" s="531" t="str">
        <f t="shared" si="11"/>
        <v>项目建筑规模</v>
      </c>
      <c r="R33" s="669" t="s">
        <v>14</v>
      </c>
      <c r="S33" s="670" t="e">
        <f t="shared" si="12"/>
        <v>#N/A</v>
      </c>
      <c r="T33" s="669" t="s">
        <v>14</v>
      </c>
      <c r="U33" s="670" t="e">
        <f t="shared" si="13"/>
        <v>#N/A</v>
      </c>
      <c r="V33" s="669" t="s">
        <v>14</v>
      </c>
      <c r="W33" s="670" t="e">
        <f t="shared" si="14"/>
        <v>#N/A</v>
      </c>
      <c r="X33" s="671"/>
      <c r="Y33" s="3321"/>
      <c r="Z33" s="672" t="str">
        <f t="shared" si="15"/>
        <v>项目建筑规模</v>
      </c>
      <c r="AA33" s="1264" t="e">
        <f t="shared" si="3"/>
        <v>#N/A</v>
      </c>
      <c r="AB33" s="1264" t="e">
        <f t="shared" si="4"/>
        <v>#N/A</v>
      </c>
      <c r="AC33" s="1264" t="e">
        <f t="shared" si="5"/>
        <v>#N/A</v>
      </c>
    </row>
    <row r="34" spans="1:29" ht="15">
      <c r="A34" s="409"/>
      <c r="B34" s="364" t="s">
        <v>1694</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8"/>
      <c r="Q34" s="1263" t="str">
        <f t="shared" si="11"/>
        <v>建筑结构</v>
      </c>
      <c r="R34" s="667" t="s">
        <v>14</v>
      </c>
      <c r="S34" s="668">
        <f t="shared" si="12"/>
        <v>100</v>
      </c>
      <c r="T34" s="667" t="s">
        <v>14</v>
      </c>
      <c r="U34" s="668">
        <f t="shared" si="13"/>
        <v>100</v>
      </c>
      <c r="V34" s="667" t="s">
        <v>14</v>
      </c>
      <c r="W34" s="668">
        <f t="shared" si="14"/>
        <v>100</v>
      </c>
      <c r="X34" s="1265"/>
      <c r="Y34" s="3321"/>
      <c r="Z34" s="1264" t="str">
        <f t="shared" si="15"/>
        <v>建筑结构</v>
      </c>
      <c r="AA34" s="1264">
        <f t="shared" si="3"/>
        <v>1</v>
      </c>
      <c r="AB34" s="1264">
        <f t="shared" si="4"/>
        <v>1</v>
      </c>
      <c r="AC34" s="1264">
        <f t="shared" si="5"/>
        <v>1</v>
      </c>
    </row>
    <row r="35" spans="1:29" ht="15">
      <c r="A35" s="409"/>
      <c r="B35" s="364" t="s">
        <v>1781</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8"/>
      <c r="Q35" s="1263" t="str">
        <f t="shared" si="11"/>
        <v>公共部分装修</v>
      </c>
      <c r="R35" s="667" t="s">
        <v>14</v>
      </c>
      <c r="S35" s="668">
        <f t="shared" si="12"/>
        <v>100</v>
      </c>
      <c r="T35" s="667" t="s">
        <v>14</v>
      </c>
      <c r="U35" s="668">
        <f t="shared" si="13"/>
        <v>100</v>
      </c>
      <c r="V35" s="667" t="s">
        <v>14</v>
      </c>
      <c r="W35" s="668">
        <f t="shared" si="14"/>
        <v>100</v>
      </c>
      <c r="X35" s="1265"/>
      <c r="Y35" s="3321"/>
      <c r="Z35" s="1264" t="str">
        <f t="shared" si="15"/>
        <v>公共部分装修</v>
      </c>
      <c r="AA35" s="1264">
        <f t="shared" si="3"/>
        <v>1</v>
      </c>
      <c r="AB35" s="1264">
        <f t="shared" si="4"/>
        <v>1</v>
      </c>
      <c r="AC35" s="1264">
        <f t="shared" si="5"/>
        <v>1</v>
      </c>
    </row>
    <row r="36" spans="1:29" ht="15">
      <c r="A36" s="409"/>
      <c r="B36" s="364" t="s">
        <v>1782</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8"/>
      <c r="Q36" s="1263" t="str">
        <f t="shared" si="11"/>
        <v>成新度</v>
      </c>
      <c r="R36" s="667" t="s">
        <v>14</v>
      </c>
      <c r="S36" s="668" t="e">
        <f t="shared" si="12"/>
        <v>#N/A</v>
      </c>
      <c r="T36" s="667" t="s">
        <v>14</v>
      </c>
      <c r="U36" s="668" t="e">
        <f t="shared" si="13"/>
        <v>#N/A</v>
      </c>
      <c r="V36" s="667" t="s">
        <v>14</v>
      </c>
      <c r="W36" s="668" t="e">
        <f t="shared" si="14"/>
        <v>#N/A</v>
      </c>
      <c r="X36" s="1265"/>
      <c r="Y36" s="3321"/>
      <c r="Z36" s="1264" t="str">
        <f t="shared" si="15"/>
        <v>成新度</v>
      </c>
      <c r="AA36" s="1264" t="e">
        <f t="shared" si="3"/>
        <v>#N/A</v>
      </c>
      <c r="AB36" s="1264" t="e">
        <f t="shared" si="4"/>
        <v>#N/A</v>
      </c>
      <c r="AC36" s="1264" t="e">
        <f t="shared" si="5"/>
        <v>#N/A</v>
      </c>
    </row>
    <row r="37" spans="1:29" s="102" customFormat="1" ht="15">
      <c r="A37" s="410"/>
      <c r="B37" s="364" t="s">
        <v>1783</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8"/>
      <c r="Q37" s="530" t="str">
        <f t="shared" si="11"/>
        <v>市政基础设施</v>
      </c>
      <c r="R37" s="664" t="s">
        <v>14</v>
      </c>
      <c r="S37" s="665">
        <f t="shared" si="12"/>
        <v>100</v>
      </c>
      <c r="T37" s="664" t="s">
        <v>14</v>
      </c>
      <c r="U37" s="665">
        <f t="shared" si="13"/>
        <v>100</v>
      </c>
      <c r="V37" s="664" t="s">
        <v>14</v>
      </c>
      <c r="W37" s="665">
        <f t="shared" si="14"/>
        <v>100</v>
      </c>
      <c r="X37" s="666"/>
      <c r="Y37" s="3321"/>
      <c r="Z37" s="50" t="str">
        <f t="shared" si="15"/>
        <v>市政基础设施</v>
      </c>
      <c r="AA37" s="50">
        <f t="shared" si="3"/>
        <v>1</v>
      </c>
      <c r="AB37" s="50">
        <f t="shared" si="4"/>
        <v>1</v>
      </c>
      <c r="AC37" s="50">
        <f t="shared" si="5"/>
        <v>1</v>
      </c>
    </row>
    <row r="38" spans="1:29" ht="15">
      <c r="A38" s="409"/>
      <c r="B38" s="364" t="s">
        <v>1784</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8" t="s">
        <v>1692</v>
      </c>
      <c r="Q38" s="1263" t="str">
        <f t="shared" si="11"/>
        <v>业态</v>
      </c>
      <c r="R38" s="667" t="s">
        <v>14</v>
      </c>
      <c r="S38" s="668">
        <f t="shared" si="12"/>
        <v>100</v>
      </c>
      <c r="T38" s="667" t="s">
        <v>14</v>
      </c>
      <c r="U38" s="668">
        <f t="shared" si="13"/>
        <v>100</v>
      </c>
      <c r="V38" s="667" t="s">
        <v>14</v>
      </c>
      <c r="W38" s="668">
        <f t="shared" si="14"/>
        <v>100</v>
      </c>
      <c r="X38" s="1265"/>
      <c r="Y38" s="3321" t="s">
        <v>1692</v>
      </c>
      <c r="Z38" s="1264" t="str">
        <f t="shared" si="15"/>
        <v>业态</v>
      </c>
      <c r="AA38" s="1264">
        <f t="shared" si="3"/>
        <v>1</v>
      </c>
      <c r="AB38" s="1264">
        <f t="shared" si="4"/>
        <v>1</v>
      </c>
      <c r="AC38" s="1264">
        <f t="shared" si="5"/>
        <v>1</v>
      </c>
    </row>
    <row r="39" spans="1:29" ht="15">
      <c r="A39" s="409"/>
      <c r="B39" s="364" t="s">
        <v>1785</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8"/>
      <c r="Q39" s="1263" t="str">
        <f t="shared" si="11"/>
        <v>层高</v>
      </c>
      <c r="R39" s="667" t="s">
        <v>14</v>
      </c>
      <c r="S39" s="668">
        <f t="shared" si="12"/>
        <v>100</v>
      </c>
      <c r="T39" s="667" t="s">
        <v>14</v>
      </c>
      <c r="U39" s="668">
        <f t="shared" si="13"/>
        <v>100</v>
      </c>
      <c r="V39" s="667" t="s">
        <v>14</v>
      </c>
      <c r="W39" s="668">
        <f t="shared" si="14"/>
        <v>100</v>
      </c>
      <c r="X39" s="1265"/>
      <c r="Y39" s="3321"/>
      <c r="Z39" s="1264" t="str">
        <f t="shared" si="15"/>
        <v>层高</v>
      </c>
      <c r="AA39" s="1264">
        <f t="shared" si="3"/>
        <v>1</v>
      </c>
      <c r="AB39" s="1264">
        <f t="shared" si="4"/>
        <v>1</v>
      </c>
      <c r="AC39" s="1264">
        <f t="shared" si="5"/>
        <v>1</v>
      </c>
    </row>
    <row r="40" spans="1:29" ht="15">
      <c r="A40" s="409"/>
      <c r="B40" s="364" t="s">
        <v>1786</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8"/>
      <c r="Q40" s="1263" t="str">
        <f t="shared" si="11"/>
        <v>单套建筑面积</v>
      </c>
      <c r="R40" s="667" t="s">
        <v>14</v>
      </c>
      <c r="S40" s="668">
        <f t="shared" si="12"/>
        <v>100</v>
      </c>
      <c r="T40" s="667" t="s">
        <v>14</v>
      </c>
      <c r="U40" s="668">
        <f t="shared" si="13"/>
        <v>100</v>
      </c>
      <c r="V40" s="667" t="s">
        <v>14</v>
      </c>
      <c r="W40" s="668">
        <f t="shared" si="14"/>
        <v>100</v>
      </c>
      <c r="X40" s="1265"/>
      <c r="Y40" s="3321"/>
      <c r="Z40" s="1264" t="str">
        <f t="shared" si="15"/>
        <v>单套建筑面积</v>
      </c>
      <c r="AA40" s="1264">
        <f t="shared" si="3"/>
        <v>1</v>
      </c>
      <c r="AB40" s="1264">
        <f t="shared" si="4"/>
        <v>1</v>
      </c>
      <c r="AC40" s="1264">
        <f t="shared" si="5"/>
        <v>1</v>
      </c>
    </row>
    <row r="41" spans="1:29" s="408" customFormat="1" ht="15">
      <c r="A41" s="406"/>
      <c r="B41" s="400" t="s">
        <v>1787</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8"/>
      <c r="Q41" s="531" t="str">
        <f t="shared" si="11"/>
        <v>进深比</v>
      </c>
      <c r="R41" s="669" t="s">
        <v>14</v>
      </c>
      <c r="S41" s="670">
        <f t="shared" si="12"/>
        <v>100</v>
      </c>
      <c r="T41" s="669" t="s">
        <v>14</v>
      </c>
      <c r="U41" s="670">
        <f t="shared" si="13"/>
        <v>100</v>
      </c>
      <c r="V41" s="669" t="s">
        <v>14</v>
      </c>
      <c r="W41" s="670">
        <f t="shared" si="14"/>
        <v>100</v>
      </c>
      <c r="X41" s="671"/>
      <c r="Y41" s="3321"/>
      <c r="Z41" s="672" t="str">
        <f t="shared" si="15"/>
        <v>进深比</v>
      </c>
      <c r="AA41" s="1264">
        <f t="shared" si="3"/>
        <v>1</v>
      </c>
      <c r="AB41" s="1264">
        <f t="shared" si="4"/>
        <v>1</v>
      </c>
      <c r="AC41" s="1264">
        <f t="shared" si="5"/>
        <v>1</v>
      </c>
    </row>
    <row r="42" spans="1:29" ht="15">
      <c r="A42" s="409"/>
      <c r="B42" s="364" t="s">
        <v>1788</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8"/>
      <c r="Q42" s="1263" t="str">
        <f t="shared" si="11"/>
        <v>内部装修</v>
      </c>
      <c r="R42" s="667" t="s">
        <v>14</v>
      </c>
      <c r="S42" s="668">
        <f t="shared" si="12"/>
        <v>100</v>
      </c>
      <c r="T42" s="667" t="s">
        <v>14</v>
      </c>
      <c r="U42" s="668">
        <f t="shared" si="13"/>
        <v>100</v>
      </c>
      <c r="V42" s="667" t="s">
        <v>14</v>
      </c>
      <c r="W42" s="668">
        <f t="shared" si="14"/>
        <v>100</v>
      </c>
      <c r="X42" s="1265"/>
      <c r="Y42" s="3321"/>
      <c r="Z42" s="1264" t="str">
        <f t="shared" si="15"/>
        <v>内部装修</v>
      </c>
      <c r="AA42" s="1264">
        <f t="shared" si="3"/>
        <v>1</v>
      </c>
      <c r="AB42" s="1264">
        <f t="shared" si="4"/>
        <v>1</v>
      </c>
      <c r="AC42" s="1264">
        <f t="shared" si="5"/>
        <v>1</v>
      </c>
    </row>
    <row r="43" spans="1:29" ht="15">
      <c r="A43" s="409"/>
      <c r="B43" s="364" t="s">
        <v>1703</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8"/>
      <c r="Q43" s="1263" t="str">
        <f t="shared" si="11"/>
        <v>内部装修维护情况</v>
      </c>
      <c r="R43" s="667" t="s">
        <v>14</v>
      </c>
      <c r="S43" s="668">
        <f t="shared" si="12"/>
        <v>100</v>
      </c>
      <c r="T43" s="667" t="s">
        <v>14</v>
      </c>
      <c r="U43" s="668">
        <f t="shared" si="13"/>
        <v>100</v>
      </c>
      <c r="V43" s="667" t="s">
        <v>14</v>
      </c>
      <c r="W43" s="668">
        <f t="shared" si="14"/>
        <v>100</v>
      </c>
      <c r="X43" s="1265"/>
      <c r="Y43" s="332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8"/>
      <c r="Q44" s="530">
        <f t="shared" si="11"/>
        <v>111</v>
      </c>
      <c r="R44" s="664" t="s">
        <v>14</v>
      </c>
      <c r="S44" s="665">
        <f t="shared" si="12"/>
        <v>100</v>
      </c>
      <c r="T44" s="664" t="s">
        <v>14</v>
      </c>
      <c r="U44" s="665">
        <f t="shared" si="13"/>
        <v>100</v>
      </c>
      <c r="V44" s="664" t="s">
        <v>14</v>
      </c>
      <c r="W44" s="665">
        <f t="shared" si="14"/>
        <v>100</v>
      </c>
      <c r="X44" s="666"/>
      <c r="Y44" s="332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8"/>
      <c r="Q45" s="1263">
        <f t="shared" si="11"/>
        <v>111</v>
      </c>
      <c r="R45" s="667" t="s">
        <v>14</v>
      </c>
      <c r="S45" s="668">
        <f t="shared" si="12"/>
        <v>100</v>
      </c>
      <c r="T45" s="667" t="s">
        <v>14</v>
      </c>
      <c r="U45" s="668">
        <f t="shared" si="13"/>
        <v>100</v>
      </c>
      <c r="V45" s="667" t="s">
        <v>14</v>
      </c>
      <c r="W45" s="668">
        <f t="shared" si="14"/>
        <v>100</v>
      </c>
      <c r="X45" s="1265"/>
      <c r="Y45" s="332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9"/>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264">
        <f t="shared" si="5"/>
        <v>1</v>
      </c>
    </row>
    <row r="47" spans="1:29" ht="15">
      <c r="A47" s="416" t="s">
        <v>1704</v>
      </c>
      <c r="B47" s="417"/>
      <c r="C47" s="1081" t="s">
        <v>0</v>
      </c>
      <c r="D47" s="418"/>
      <c r="E47" s="419"/>
      <c r="F47" s="420"/>
      <c r="G47" s="421"/>
      <c r="H47" s="422"/>
      <c r="I47" s="419"/>
      <c r="J47" s="422"/>
      <c r="K47" s="674"/>
      <c r="L47" s="2495"/>
      <c r="M47" s="2488"/>
      <c r="N47" s="2488"/>
      <c r="O47" s="2488"/>
      <c r="P47" s="3302" t="str">
        <f>A47</f>
        <v>成交单价（元/平方米）</v>
      </c>
      <c r="Q47" s="3302"/>
      <c r="R47" s="3316">
        <f>E47</f>
        <v>0</v>
      </c>
      <c r="S47" s="3316"/>
      <c r="T47" s="3316">
        <f>G47</f>
        <v>0</v>
      </c>
      <c r="U47" s="3316"/>
      <c r="V47" s="3316">
        <f>I47</f>
        <v>0</v>
      </c>
      <c r="W47" s="3316"/>
      <c r="X47" s="385"/>
      <c r="Y47" s="673"/>
      <c r="Z47" s="385"/>
      <c r="AA47" s="385"/>
      <c r="AB47" s="385"/>
      <c r="AC47" s="385"/>
    </row>
    <row r="48" spans="1:29" ht="15.75" thickBot="1">
      <c r="A48" s="423" t="s">
        <v>1789</v>
      </c>
      <c r="B48" s="424"/>
      <c r="C48" s="1082" t="e">
        <f>R49</f>
        <v>#DIV/0!</v>
      </c>
      <c r="D48" s="2141" t="s">
        <v>2132</v>
      </c>
      <c r="E48" s="1083" t="e">
        <f>R48</f>
        <v>#DIV/0!</v>
      </c>
      <c r="F48" s="2142"/>
      <c r="G48" s="1082" t="e">
        <f>T48</f>
        <v>#DIV/0!</v>
      </c>
      <c r="H48" s="2142"/>
      <c r="I48" s="1083" t="e">
        <f>V48</f>
        <v>#DIV/0!</v>
      </c>
      <c r="J48" s="2142"/>
      <c r="K48" s="2144">
        <f>F48+H48+J48</f>
        <v>0</v>
      </c>
      <c r="L48" s="2495"/>
      <c r="M48" s="2488"/>
      <c r="N48" s="2488"/>
      <c r="O48" s="2488"/>
      <c r="P48" s="3302" t="str">
        <f>A48</f>
        <v>比较价值（元/平方米）</v>
      </c>
      <c r="Q48" s="3302"/>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385"/>
      <c r="Y48" s="385"/>
      <c r="Z48" s="385"/>
      <c r="AA48" s="385"/>
      <c r="AB48" s="385"/>
      <c r="AC48" s="385"/>
    </row>
    <row r="49" spans="1:29" ht="15.75" thickBot="1">
      <c r="A49" s="427" t="s">
        <v>1790</v>
      </c>
      <c r="B49" s="428"/>
      <c r="C49" s="351" t="e">
        <f>R49</f>
        <v>#DIV/0!</v>
      </c>
      <c r="D49" s="351"/>
      <c r="E49" s="351"/>
      <c r="F49" s="351"/>
      <c r="G49" s="351"/>
      <c r="H49" s="351"/>
      <c r="I49" s="351"/>
      <c r="J49" s="351"/>
      <c r="K49" s="675"/>
      <c r="L49" s="2495"/>
      <c r="M49" s="2488"/>
      <c r="N49" s="2488"/>
      <c r="O49" s="2488"/>
      <c r="P49" s="3323" t="str">
        <f>A49</f>
        <v>估价对象XX用房的比较价值（楼面单价，元/平方米）</v>
      </c>
      <c r="Q49" s="3324"/>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1794</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1675</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1712</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1677</v>
      </c>
      <c r="B61" s="444"/>
      <c r="C61" s="456" t="s">
        <v>1772</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1715</v>
      </c>
      <c r="B63" s="460" t="s">
        <v>1681</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1684</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1685</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1686</v>
      </c>
      <c r="B76" s="460" t="s">
        <v>1716</v>
      </c>
      <c r="C76" s="504" t="s">
        <v>1717</v>
      </c>
      <c r="D76" s="504" t="s">
        <v>1718</v>
      </c>
      <c r="E76" s="504" t="s">
        <v>1719</v>
      </c>
      <c r="F76" s="504" t="s">
        <v>1720</v>
      </c>
      <c r="G76" s="504" t="s">
        <v>1721</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1722</v>
      </c>
      <c r="C78" s="509" t="s">
        <v>1717</v>
      </c>
      <c r="D78" s="509" t="s">
        <v>1718</v>
      </c>
      <c r="E78" s="509" t="s">
        <v>1719</v>
      </c>
      <c r="F78" s="509" t="s">
        <v>1720</v>
      </c>
      <c r="G78" s="509" t="s">
        <v>1721</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1723</v>
      </c>
      <c r="C80" s="509" t="s">
        <v>1717</v>
      </c>
      <c r="D80" s="509" t="s">
        <v>1718</v>
      </c>
      <c r="E80" s="509" t="s">
        <v>1719</v>
      </c>
      <c r="F80" s="509" t="s">
        <v>1720</v>
      </c>
      <c r="G80" s="509" t="s">
        <v>1721</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1775</v>
      </c>
      <c r="C82" s="581" t="s">
        <v>1795</v>
      </c>
      <c r="D82" s="581" t="s">
        <v>1796</v>
      </c>
      <c r="E82" s="581" t="s">
        <v>1797</v>
      </c>
      <c r="F82" s="581" t="s">
        <v>1798</v>
      </c>
      <c r="G82" s="581" t="s">
        <v>1799</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1729</v>
      </c>
      <c r="C84" s="509" t="s">
        <v>1717</v>
      </c>
      <c r="D84" s="509" t="s">
        <v>1718</v>
      </c>
      <c r="E84" s="509" t="s">
        <v>1719</v>
      </c>
      <c r="F84" s="509" t="s">
        <v>1720</v>
      </c>
      <c r="G84" s="509" t="s">
        <v>1721</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1800</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1690</v>
      </c>
      <c r="B100" s="460" t="s">
        <v>1801</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1733</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1734</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1736</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1186</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1738</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1802</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1803</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1804</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1805</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1740</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1741</v>
      </c>
      <c r="C124" s="509" t="s">
        <v>1717</v>
      </c>
      <c r="D124" s="509" t="s">
        <v>1718</v>
      </c>
      <c r="E124" s="509" t="s">
        <v>1719</v>
      </c>
      <c r="F124" s="509" t="s">
        <v>1720</v>
      </c>
      <c r="G124" s="509" t="s">
        <v>1721</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4" priority="16" stopIfTrue="1">
      <formula>$F$52="超过30%"</formula>
    </cfRule>
  </conditionalFormatting>
  <conditionalFormatting sqref="E53">
    <cfRule type="expression" dxfId="93" priority="15" stopIfTrue="1">
      <formula>$F$53="超过20%"</formula>
    </cfRule>
  </conditionalFormatting>
  <conditionalFormatting sqref="E54">
    <cfRule type="expression" dxfId="92" priority="14"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cfRule type="containsText" dxfId="89" priority="17" stopIfTrue="1" operator="containsText" text="超过">
      <formula>NOT(ISERROR(SEARCH("超过",F52)))</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G54">
    <cfRule type="expression" dxfId="86" priority="13"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conditionalFormatting sqref="J52:J54">
    <cfRule type="containsText" dxfId="8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808" t="s">
        <v>1806</v>
      </c>
      <c r="C1" s="1141" t="s">
        <v>1658</v>
      </c>
      <c r="D1" s="1142"/>
      <c r="E1" s="3132"/>
      <c r="F1" s="1735"/>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1459</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1460</v>
      </c>
      <c r="B3" s="536">
        <f>IF(C2="——",C50,ROUND(B2*10000/D3,0))</f>
        <v>0</v>
      </c>
      <c r="C3" s="344" t="s">
        <v>1764</v>
      </c>
      <c r="D3" s="343">
        <f>IF(D1="",'数据-汇总表'!E3,SUMIF('数据-汇总表'!$C19:$C33,D1,'数据-汇总表'!$E19:$E33))</f>
        <v>315.39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1765</v>
      </c>
      <c r="B4" s="346"/>
      <c r="C4" s="3304" t="s">
        <v>1766</v>
      </c>
      <c r="D4" s="3305"/>
      <c r="E4" s="3306" t="s">
        <v>1767</v>
      </c>
      <c r="F4" s="3307"/>
      <c r="G4" s="3304" t="s">
        <v>1768</v>
      </c>
      <c r="H4" s="3305"/>
      <c r="I4" s="3304" t="s">
        <v>1769</v>
      </c>
      <c r="J4" s="3305"/>
      <c r="K4" s="537" t="s">
        <v>1770</v>
      </c>
      <c r="L4" s="2487"/>
      <c r="M4" s="2488"/>
      <c r="N4" s="2488"/>
      <c r="O4" s="2488"/>
      <c r="P4" s="3471" t="s">
        <v>1771</v>
      </c>
      <c r="Q4" s="3472"/>
      <c r="R4" s="3466" t="s">
        <v>1767</v>
      </c>
      <c r="S4" s="3467"/>
      <c r="T4" s="3466" t="s">
        <v>1768</v>
      </c>
      <c r="U4" s="3467"/>
      <c r="V4" s="3475" t="s">
        <v>1769</v>
      </c>
      <c r="W4" s="3475"/>
      <c r="X4" s="1809"/>
      <c r="Y4" s="3466" t="s">
        <v>1771</v>
      </c>
      <c r="Z4" s="3467"/>
      <c r="AA4" s="3465" t="s">
        <v>1767</v>
      </c>
      <c r="AB4" s="3465" t="s">
        <v>1768</v>
      </c>
      <c r="AC4" s="3468" t="s">
        <v>1769</v>
      </c>
    </row>
    <row r="5" spans="1:29" ht="15">
      <c r="A5" s="348"/>
      <c r="B5" s="349"/>
      <c r="C5" s="3296" t="s">
        <v>1669</v>
      </c>
      <c r="D5" s="3297"/>
      <c r="E5" s="3294" t="s">
        <v>1670</v>
      </c>
      <c r="F5" s="3295"/>
      <c r="G5" s="3296" t="s">
        <v>1671</v>
      </c>
      <c r="H5" s="3297"/>
      <c r="I5" s="3296" t="s">
        <v>1672</v>
      </c>
      <c r="J5" s="3297"/>
      <c r="K5" s="537"/>
      <c r="L5" s="2487"/>
      <c r="M5" s="2488"/>
      <c r="N5" s="2488"/>
      <c r="O5" s="2488"/>
      <c r="P5" s="3473"/>
      <c r="Q5" s="3311"/>
      <c r="R5" s="3292"/>
      <c r="S5" s="3293"/>
      <c r="T5" s="3292"/>
      <c r="U5" s="3293"/>
      <c r="V5" s="3316"/>
      <c r="W5" s="3316"/>
      <c r="X5" s="1265"/>
      <c r="Y5" s="3292"/>
      <c r="Z5" s="3293"/>
      <c r="AA5" s="3286"/>
      <c r="AB5" s="3286"/>
      <c r="AC5" s="3469"/>
    </row>
    <row r="6" spans="1:29" ht="15.75" thickBot="1">
      <c r="A6" s="350"/>
      <c r="B6" s="351"/>
      <c r="C6" s="3298" t="s">
        <v>1673</v>
      </c>
      <c r="D6" s="3299"/>
      <c r="E6" s="3300" t="s">
        <v>1673</v>
      </c>
      <c r="F6" s="3301"/>
      <c r="G6" s="3298" t="s">
        <v>1673</v>
      </c>
      <c r="H6" s="3299"/>
      <c r="I6" s="3298" t="s">
        <v>1673</v>
      </c>
      <c r="J6" s="3299"/>
      <c r="K6" s="537" t="s">
        <v>1674</v>
      </c>
      <c r="L6" s="2487"/>
      <c r="M6" s="2488"/>
      <c r="N6" s="2488"/>
      <c r="O6" s="2488"/>
      <c r="P6" s="3474"/>
      <c r="Q6" s="3313"/>
      <c r="R6" s="3292"/>
      <c r="S6" s="3293"/>
      <c r="T6" s="3314"/>
      <c r="U6" s="3315"/>
      <c r="V6" s="3316"/>
      <c r="W6" s="3316"/>
      <c r="X6" s="1265"/>
      <c r="Y6" s="3314"/>
      <c r="Z6" s="3315"/>
      <c r="AA6" s="3287"/>
      <c r="AB6" s="3287"/>
      <c r="AC6" s="3470"/>
    </row>
    <row r="7" spans="1:29" s="102" customFormat="1" ht="15.75" thickBot="1">
      <c r="A7" s="352" t="s">
        <v>1675</v>
      </c>
      <c r="B7" s="353"/>
      <c r="C7" s="354">
        <f>'数据-取费表'!B2</f>
        <v>46014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76" t="s">
        <v>1676</v>
      </c>
      <c r="Q7" s="3317"/>
      <c r="R7" s="664" t="s">
        <v>14</v>
      </c>
      <c r="S7" s="665">
        <f t="shared" ref="S7:S15" si="0">F7</f>
        <v>0</v>
      </c>
      <c r="T7" s="664" t="s">
        <v>14</v>
      </c>
      <c r="U7" s="665">
        <f t="shared" ref="U7:U15" si="1">H7</f>
        <v>0</v>
      </c>
      <c r="V7" s="664" t="s">
        <v>14</v>
      </c>
      <c r="W7" s="665">
        <f t="shared" ref="W7:W15" si="2">J7</f>
        <v>0</v>
      </c>
      <c r="X7" s="666"/>
      <c r="Y7" s="3288" t="s">
        <v>1676</v>
      </c>
      <c r="Z7" s="3289"/>
      <c r="AA7" s="50" t="e">
        <f>D7/F7</f>
        <v>#DIV/0!</v>
      </c>
      <c r="AB7" s="50" t="e">
        <f>D7/H7</f>
        <v>#DIV/0!</v>
      </c>
      <c r="AC7" s="802" t="e">
        <f>D7/J7</f>
        <v>#DIV/0!</v>
      </c>
    </row>
    <row r="8" spans="1:29" s="102" customFormat="1" ht="15.75" thickBot="1">
      <c r="A8" s="352" t="s">
        <v>1677</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76" t="s">
        <v>1679</v>
      </c>
      <c r="Q8" s="3289"/>
      <c r="R8" s="664" t="s">
        <v>14</v>
      </c>
      <c r="S8" s="665">
        <f t="shared" si="0"/>
        <v>100</v>
      </c>
      <c r="T8" s="664" t="s">
        <v>14</v>
      </c>
      <c r="U8" s="665">
        <f t="shared" si="1"/>
        <v>100</v>
      </c>
      <c r="V8" s="664" t="s">
        <v>14</v>
      </c>
      <c r="W8" s="665">
        <f t="shared" si="2"/>
        <v>100</v>
      </c>
      <c r="X8" s="666"/>
      <c r="Y8" s="3288" t="s">
        <v>1679</v>
      </c>
      <c r="Z8" s="3289"/>
      <c r="AA8" s="50">
        <f t="shared" ref="AA8:AA47" si="3">D8/F8</f>
        <v>1</v>
      </c>
      <c r="AB8" s="50">
        <f t="shared" ref="AB8:AB47" si="4">D8/H8</f>
        <v>1</v>
      </c>
      <c r="AC8" s="802">
        <f t="shared" ref="AC8:AC47" si="5">D8/J8</f>
        <v>1</v>
      </c>
    </row>
    <row r="9" spans="1:29" s="102" customFormat="1">
      <c r="A9" s="359" t="s">
        <v>1680</v>
      </c>
      <c r="B9" s="60" t="s">
        <v>1681</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27" t="s">
        <v>1682</v>
      </c>
      <c r="Q9" s="530" t="str">
        <f t="shared" ref="Q9:Q15" si="6">B9</f>
        <v>用途</v>
      </c>
      <c r="R9" s="664" t="s">
        <v>14</v>
      </c>
      <c r="S9" s="665">
        <f t="shared" si="0"/>
        <v>100</v>
      </c>
      <c r="T9" s="664" t="s">
        <v>14</v>
      </c>
      <c r="U9" s="665">
        <f t="shared" si="1"/>
        <v>100</v>
      </c>
      <c r="V9" s="664" t="s">
        <v>14</v>
      </c>
      <c r="W9" s="665">
        <f t="shared" si="2"/>
        <v>100</v>
      </c>
      <c r="X9" s="666"/>
      <c r="Y9" s="3303" t="s">
        <v>1683</v>
      </c>
      <c r="Z9" s="50" t="str">
        <f t="shared" ref="Z9:Z15" si="7">Q9</f>
        <v>用途</v>
      </c>
      <c r="AA9" s="50">
        <f t="shared" si="3"/>
        <v>1</v>
      </c>
      <c r="AB9" s="50">
        <f t="shared" si="4"/>
        <v>1</v>
      </c>
      <c r="AC9" s="802">
        <f t="shared" si="5"/>
        <v>1</v>
      </c>
    </row>
    <row r="10" spans="1:29" s="366" customFormat="1" ht="27">
      <c r="A10" s="363"/>
      <c r="B10" s="364" t="s">
        <v>1684</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27"/>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802">
        <f t="shared" si="5"/>
        <v>1</v>
      </c>
    </row>
    <row r="11" spans="1:29" ht="15">
      <c r="A11" s="367"/>
      <c r="B11" s="364" t="s">
        <v>1685</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27"/>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27"/>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27"/>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27"/>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802">
        <f t="shared" si="5"/>
        <v>1</v>
      </c>
    </row>
    <row r="15" spans="1:29" ht="15">
      <c r="A15" s="379" t="s">
        <v>1686</v>
      </c>
      <c r="B15" s="554" t="s">
        <v>1807</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31" t="s">
        <v>1687</v>
      </c>
      <c r="Q15" s="1263" t="str">
        <f t="shared" si="6"/>
        <v>办公集聚程度</v>
      </c>
      <c r="R15" s="667" t="s">
        <v>14</v>
      </c>
      <c r="S15" s="668">
        <f t="shared" si="0"/>
        <v>100</v>
      </c>
      <c r="T15" s="667" t="s">
        <v>14</v>
      </c>
      <c r="U15" s="668">
        <f t="shared" si="1"/>
        <v>100</v>
      </c>
      <c r="V15" s="667" t="s">
        <v>14</v>
      </c>
      <c r="W15" s="668">
        <f t="shared" si="2"/>
        <v>100</v>
      </c>
      <c r="X15" s="1265"/>
      <c r="Y15" s="3318" t="s">
        <v>1687</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32"/>
      <c r="Q16" s="1263"/>
      <c r="R16" s="667"/>
      <c r="S16" s="668"/>
      <c r="T16" s="667"/>
      <c r="U16" s="668"/>
      <c r="V16" s="667"/>
      <c r="W16" s="668"/>
      <c r="X16" s="1265"/>
      <c r="Y16" s="3319"/>
      <c r="Z16" s="1264"/>
      <c r="AA16" s="1264">
        <v>1</v>
      </c>
      <c r="AB16" s="1264">
        <v>1</v>
      </c>
      <c r="AC16" s="1812">
        <v>1</v>
      </c>
    </row>
    <row r="17" spans="1:29" ht="15">
      <c r="A17" s="367"/>
      <c r="B17" s="556" t="s">
        <v>1255</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32"/>
      <c r="Q17" s="1263" t="str">
        <f>B17</f>
        <v>交通便捷度</v>
      </c>
      <c r="R17" s="667" t="s">
        <v>14</v>
      </c>
      <c r="S17" s="668">
        <f>F17</f>
        <v>100</v>
      </c>
      <c r="T17" s="667" t="s">
        <v>14</v>
      </c>
      <c r="U17" s="668">
        <f>H17</f>
        <v>100</v>
      </c>
      <c r="V17" s="667" t="s">
        <v>14</v>
      </c>
      <c r="W17" s="668">
        <f>J17</f>
        <v>100</v>
      </c>
      <c r="X17" s="1265"/>
      <c r="Y17" s="331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32"/>
      <c r="Q18" s="1263"/>
      <c r="R18" s="667"/>
      <c r="S18" s="668"/>
      <c r="T18" s="667"/>
      <c r="U18" s="668"/>
      <c r="V18" s="667"/>
      <c r="W18" s="668"/>
      <c r="X18" s="1265"/>
      <c r="Y18" s="3319"/>
      <c r="Z18" s="1264"/>
      <c r="AA18" s="1264">
        <v>1</v>
      </c>
      <c r="AB18" s="1264">
        <v>1</v>
      </c>
      <c r="AC18" s="1812">
        <v>1</v>
      </c>
    </row>
    <row r="19" spans="1:29" ht="15">
      <c r="A19" s="367"/>
      <c r="B19" s="556" t="s">
        <v>1808</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32"/>
      <c r="Q19" s="1263" t="str">
        <f>B19</f>
        <v>公共配套设施</v>
      </c>
      <c r="R19" s="667" t="s">
        <v>14</v>
      </c>
      <c r="S19" s="668">
        <f>F19</f>
        <v>100</v>
      </c>
      <c r="T19" s="667" t="s">
        <v>14</v>
      </c>
      <c r="U19" s="668">
        <f>H19</f>
        <v>100</v>
      </c>
      <c r="V19" s="667" t="s">
        <v>14</v>
      </c>
      <c r="W19" s="668">
        <f>J19</f>
        <v>100</v>
      </c>
      <c r="X19" s="1265"/>
      <c r="Y19" s="331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32"/>
      <c r="Q20" s="1263"/>
      <c r="R20" s="667"/>
      <c r="S20" s="668"/>
      <c r="T20" s="667"/>
      <c r="U20" s="668"/>
      <c r="V20" s="667"/>
      <c r="W20" s="668"/>
      <c r="X20" s="1265"/>
      <c r="Y20" s="3319"/>
      <c r="Z20" s="1264"/>
      <c r="AA20" s="1264">
        <v>1</v>
      </c>
      <c r="AB20" s="1264">
        <v>1</v>
      </c>
      <c r="AC20" s="1812">
        <v>1</v>
      </c>
    </row>
    <row r="21" spans="1:29" ht="15">
      <c r="A21" s="367"/>
      <c r="B21" s="557" t="s">
        <v>1809</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32"/>
      <c r="Q21" s="1263" t="str">
        <f>B21</f>
        <v>基础设施水平</v>
      </c>
      <c r="R21" s="667" t="s">
        <v>14</v>
      </c>
      <c r="S21" s="668">
        <f>F21</f>
        <v>100</v>
      </c>
      <c r="T21" s="667" t="s">
        <v>14</v>
      </c>
      <c r="U21" s="668">
        <f>H21</f>
        <v>100</v>
      </c>
      <c r="V21" s="667" t="s">
        <v>14</v>
      </c>
      <c r="W21" s="668">
        <f>J21</f>
        <v>100</v>
      </c>
      <c r="X21" s="1265"/>
      <c r="Y21" s="331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32"/>
      <c r="Q22" s="1263"/>
      <c r="R22" s="667"/>
      <c r="S22" s="668"/>
      <c r="T22" s="667"/>
      <c r="U22" s="668"/>
      <c r="V22" s="667"/>
      <c r="W22" s="668"/>
      <c r="X22" s="1265"/>
      <c r="Y22" s="3319"/>
      <c r="Z22" s="1264"/>
      <c r="AA22" s="1264">
        <v>1</v>
      </c>
      <c r="AB22" s="1264">
        <v>1</v>
      </c>
      <c r="AC22" s="1812">
        <v>1</v>
      </c>
    </row>
    <row r="23" spans="1:29" ht="15">
      <c r="A23" s="367"/>
      <c r="B23" s="556" t="s">
        <v>1810</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32"/>
      <c r="Q23" s="1263" t="str">
        <f>B23</f>
        <v>环境质量</v>
      </c>
      <c r="R23" s="667" t="s">
        <v>14</v>
      </c>
      <c r="S23" s="668">
        <f>F23</f>
        <v>100</v>
      </c>
      <c r="T23" s="667" t="s">
        <v>14</v>
      </c>
      <c r="U23" s="668">
        <f>H23</f>
        <v>100</v>
      </c>
      <c r="V23" s="667" t="s">
        <v>14</v>
      </c>
      <c r="W23" s="668">
        <f>J23</f>
        <v>100</v>
      </c>
      <c r="X23" s="1265"/>
      <c r="Y23" s="331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32"/>
      <c r="Q24" s="1263"/>
      <c r="R24" s="667"/>
      <c r="S24" s="668"/>
      <c r="T24" s="667"/>
      <c r="U24" s="668"/>
      <c r="V24" s="667"/>
      <c r="W24" s="668"/>
      <c r="X24" s="1265"/>
      <c r="Y24" s="3319"/>
      <c r="Z24" s="1264"/>
      <c r="AA24" s="1264">
        <v>1</v>
      </c>
      <c r="AB24" s="1264">
        <v>1</v>
      </c>
      <c r="AC24" s="1812">
        <v>1</v>
      </c>
    </row>
    <row r="25" spans="1:29" ht="27">
      <c r="A25" s="348"/>
      <c r="B25" s="556" t="s">
        <v>1811</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32"/>
      <c r="Q25" s="1263" t="str">
        <f>B25</f>
        <v>毗邻道路的类型与等级</v>
      </c>
      <c r="R25" s="667" t="s">
        <v>14</v>
      </c>
      <c r="S25" s="668">
        <f>F25</f>
        <v>100</v>
      </c>
      <c r="T25" s="667" t="s">
        <v>14</v>
      </c>
      <c r="U25" s="668">
        <f>H25</f>
        <v>100</v>
      </c>
      <c r="V25" s="667" t="s">
        <v>14</v>
      </c>
      <c r="W25" s="668">
        <f>J25</f>
        <v>100</v>
      </c>
      <c r="X25" s="1265"/>
      <c r="Y25" s="331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32"/>
      <c r="Q26" s="1263"/>
      <c r="R26" s="667"/>
      <c r="S26" s="668"/>
      <c r="T26" s="667"/>
      <c r="U26" s="668"/>
      <c r="V26" s="667"/>
      <c r="W26" s="668"/>
      <c r="X26" s="1265"/>
      <c r="Y26" s="3319"/>
      <c r="Z26" s="1264"/>
      <c r="AA26" s="1264">
        <v>1</v>
      </c>
      <c r="AB26" s="1264">
        <v>1</v>
      </c>
      <c r="AC26" s="1812">
        <v>1</v>
      </c>
    </row>
    <row r="27" spans="1:29" ht="15">
      <c r="A27" s="367"/>
      <c r="B27" s="401" t="s">
        <v>1779</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32"/>
      <c r="Q27" s="1263" t="str">
        <f t="shared" ref="Q27:Q47" si="11">B27</f>
        <v>楼层</v>
      </c>
      <c r="R27" s="667" t="s">
        <v>14</v>
      </c>
      <c r="S27" s="668">
        <f>F27</f>
        <v>100</v>
      </c>
      <c r="T27" s="667" t="s">
        <v>14</v>
      </c>
      <c r="U27" s="668">
        <f>H27</f>
        <v>100</v>
      </c>
      <c r="V27" s="667" t="s">
        <v>14</v>
      </c>
      <c r="W27" s="668">
        <f>J27</f>
        <v>100</v>
      </c>
      <c r="X27" s="1265"/>
      <c r="Y27" s="3319"/>
      <c r="Z27" s="1264" t="str">
        <f>Q27</f>
        <v>楼层</v>
      </c>
      <c r="AA27" s="1264">
        <f t="shared" si="3"/>
        <v>1</v>
      </c>
      <c r="AB27" s="1264">
        <f t="shared" si="4"/>
        <v>1</v>
      </c>
      <c r="AC27" s="1812">
        <f t="shared" si="5"/>
        <v>1</v>
      </c>
    </row>
    <row r="28" spans="1:29" s="102" customFormat="1" ht="15">
      <c r="A28" s="370"/>
      <c r="B28" s="556" t="s">
        <v>1812</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32"/>
      <c r="Q28" s="530" t="str">
        <f t="shared" si="11"/>
        <v>朝向</v>
      </c>
      <c r="R28" s="664" t="s">
        <v>14</v>
      </c>
      <c r="S28" s="665">
        <f>F28</f>
        <v>100</v>
      </c>
      <c r="T28" s="664" t="s">
        <v>14</v>
      </c>
      <c r="U28" s="665">
        <f>H28</f>
        <v>100</v>
      </c>
      <c r="V28" s="664" t="s">
        <v>14</v>
      </c>
      <c r="W28" s="665">
        <f>J28</f>
        <v>100</v>
      </c>
      <c r="X28" s="666"/>
      <c r="Y28" s="331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32"/>
      <c r="Q29" s="1263">
        <f t="shared" si="11"/>
        <v>111</v>
      </c>
      <c r="R29" s="667" t="s">
        <v>14</v>
      </c>
      <c r="S29" s="668">
        <f t="shared" ref="S29:S47" si="12">F29</f>
        <v>100</v>
      </c>
      <c r="T29" s="667" t="s">
        <v>14</v>
      </c>
      <c r="U29" s="668">
        <f t="shared" ref="U29:U47" si="13">H29</f>
        <v>100</v>
      </c>
      <c r="V29" s="667" t="s">
        <v>14</v>
      </c>
      <c r="W29" s="668">
        <f t="shared" ref="W29:W47" si="14">J29</f>
        <v>100</v>
      </c>
      <c r="X29" s="1265"/>
      <c r="Y29" s="331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32"/>
      <c r="Q30" s="1263">
        <f t="shared" si="11"/>
        <v>111</v>
      </c>
      <c r="R30" s="667" t="s">
        <v>14</v>
      </c>
      <c r="S30" s="668">
        <f t="shared" si="12"/>
        <v>100</v>
      </c>
      <c r="T30" s="667" t="s">
        <v>14</v>
      </c>
      <c r="U30" s="668">
        <f t="shared" si="13"/>
        <v>100</v>
      </c>
      <c r="V30" s="667" t="s">
        <v>14</v>
      </c>
      <c r="W30" s="668">
        <f t="shared" si="14"/>
        <v>100</v>
      </c>
      <c r="X30" s="1265"/>
      <c r="Y30" s="331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32"/>
      <c r="Q31" s="1263">
        <f t="shared" si="11"/>
        <v>111</v>
      </c>
      <c r="R31" s="667" t="s">
        <v>14</v>
      </c>
      <c r="S31" s="668">
        <f t="shared" si="12"/>
        <v>100</v>
      </c>
      <c r="T31" s="667" t="s">
        <v>14</v>
      </c>
      <c r="U31" s="668">
        <f t="shared" si="13"/>
        <v>100</v>
      </c>
      <c r="V31" s="667" t="s">
        <v>14</v>
      </c>
      <c r="W31" s="668">
        <f t="shared" si="14"/>
        <v>100</v>
      </c>
      <c r="X31" s="1265"/>
      <c r="Y31" s="331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32"/>
      <c r="Q32" s="1263">
        <f t="shared" si="11"/>
        <v>111</v>
      </c>
      <c r="R32" s="667" t="s">
        <v>14</v>
      </c>
      <c r="S32" s="668">
        <f t="shared" si="12"/>
        <v>100</v>
      </c>
      <c r="T32" s="667" t="s">
        <v>14</v>
      </c>
      <c r="U32" s="668">
        <f t="shared" si="13"/>
        <v>100</v>
      </c>
      <c r="V32" s="667" t="s">
        <v>14</v>
      </c>
      <c r="W32" s="668">
        <f t="shared" si="14"/>
        <v>100</v>
      </c>
      <c r="X32" s="1265"/>
      <c r="Y32" s="3319"/>
      <c r="Z32" s="1264">
        <f t="shared" si="15"/>
        <v>111</v>
      </c>
      <c r="AA32" s="1264">
        <f t="shared" si="3"/>
        <v>1</v>
      </c>
      <c r="AB32" s="1264">
        <f t="shared" si="4"/>
        <v>1</v>
      </c>
      <c r="AC32" s="1812">
        <f t="shared" si="5"/>
        <v>1</v>
      </c>
    </row>
    <row r="33" spans="1:29" ht="15">
      <c r="A33" s="379" t="s">
        <v>1690</v>
      </c>
      <c r="B33" s="60" t="s">
        <v>1813</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7" t="s">
        <v>1692</v>
      </c>
      <c r="Q33" s="1263" t="str">
        <f t="shared" si="11"/>
        <v>建筑类型</v>
      </c>
      <c r="R33" s="667" t="s">
        <v>14</v>
      </c>
      <c r="S33" s="668">
        <f t="shared" si="12"/>
        <v>100</v>
      </c>
      <c r="T33" s="667" t="s">
        <v>14</v>
      </c>
      <c r="U33" s="668">
        <f t="shared" si="13"/>
        <v>100</v>
      </c>
      <c r="V33" s="667" t="s">
        <v>14</v>
      </c>
      <c r="W33" s="668">
        <f t="shared" si="14"/>
        <v>100</v>
      </c>
      <c r="X33" s="1265"/>
      <c r="Y33" s="3321" t="s">
        <v>1692</v>
      </c>
      <c r="Z33" s="1264" t="str">
        <f t="shared" si="15"/>
        <v>建筑类型</v>
      </c>
      <c r="AA33" s="1264">
        <f t="shared" si="3"/>
        <v>1</v>
      </c>
      <c r="AB33" s="1264">
        <f t="shared" si="4"/>
        <v>1</v>
      </c>
      <c r="AC33" s="1812">
        <f t="shared" si="5"/>
        <v>1</v>
      </c>
    </row>
    <row r="34" spans="1:29" s="408" customFormat="1" ht="15">
      <c r="A34" s="406"/>
      <c r="B34" s="364" t="s">
        <v>1693</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8"/>
      <c r="Q34" s="531" t="str">
        <f t="shared" si="11"/>
        <v>项目建筑规模</v>
      </c>
      <c r="R34" s="669" t="s">
        <v>14</v>
      </c>
      <c r="S34" s="670" t="e">
        <f t="shared" si="12"/>
        <v>#N/A</v>
      </c>
      <c r="T34" s="669" t="s">
        <v>14</v>
      </c>
      <c r="U34" s="670" t="e">
        <f t="shared" si="13"/>
        <v>#N/A</v>
      </c>
      <c r="V34" s="669" t="s">
        <v>14</v>
      </c>
      <c r="W34" s="670" t="e">
        <f t="shared" si="14"/>
        <v>#N/A</v>
      </c>
      <c r="X34" s="671"/>
      <c r="Y34" s="3321"/>
      <c r="Z34" s="672" t="str">
        <f t="shared" si="15"/>
        <v>项目建筑规模</v>
      </c>
      <c r="AA34" s="1264" t="e">
        <f t="shared" si="3"/>
        <v>#N/A</v>
      </c>
      <c r="AB34" s="1264" t="e">
        <f t="shared" si="4"/>
        <v>#N/A</v>
      </c>
      <c r="AC34" s="1812" t="e">
        <f t="shared" si="5"/>
        <v>#N/A</v>
      </c>
    </row>
    <row r="35" spans="1:29" ht="15">
      <c r="A35" s="409"/>
      <c r="B35" s="364" t="s">
        <v>1694</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8"/>
      <c r="Q35" s="1263" t="str">
        <f t="shared" si="11"/>
        <v>建筑结构</v>
      </c>
      <c r="R35" s="667" t="s">
        <v>14</v>
      </c>
      <c r="S35" s="668">
        <f t="shared" si="12"/>
        <v>100</v>
      </c>
      <c r="T35" s="667" t="s">
        <v>14</v>
      </c>
      <c r="U35" s="668">
        <f t="shared" si="13"/>
        <v>100</v>
      </c>
      <c r="V35" s="667" t="s">
        <v>14</v>
      </c>
      <c r="W35" s="668">
        <f t="shared" si="14"/>
        <v>100</v>
      </c>
      <c r="X35" s="1265"/>
      <c r="Y35" s="3321"/>
      <c r="Z35" s="1264" t="str">
        <f t="shared" si="15"/>
        <v>建筑结构</v>
      </c>
      <c r="AA35" s="1264">
        <f t="shared" si="3"/>
        <v>1</v>
      </c>
      <c r="AB35" s="1264">
        <f t="shared" si="4"/>
        <v>1</v>
      </c>
      <c r="AC35" s="1812">
        <f t="shared" si="5"/>
        <v>1</v>
      </c>
    </row>
    <row r="36" spans="1:29" ht="15">
      <c r="A36" s="409"/>
      <c r="B36" s="364" t="s">
        <v>1781</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8"/>
      <c r="Q36" s="1263" t="str">
        <f t="shared" si="11"/>
        <v>公共部分装修</v>
      </c>
      <c r="R36" s="667" t="s">
        <v>14</v>
      </c>
      <c r="S36" s="668">
        <f t="shared" si="12"/>
        <v>100</v>
      </c>
      <c r="T36" s="667" t="s">
        <v>14</v>
      </c>
      <c r="U36" s="668">
        <f t="shared" si="13"/>
        <v>100</v>
      </c>
      <c r="V36" s="667" t="s">
        <v>14</v>
      </c>
      <c r="W36" s="668">
        <f t="shared" si="14"/>
        <v>100</v>
      </c>
      <c r="X36" s="1265"/>
      <c r="Y36" s="3321"/>
      <c r="Z36" s="1264" t="str">
        <f t="shared" si="15"/>
        <v>公共部分装修</v>
      </c>
      <c r="AA36" s="1264">
        <f t="shared" si="3"/>
        <v>1</v>
      </c>
      <c r="AB36" s="1264">
        <f t="shared" si="4"/>
        <v>1</v>
      </c>
      <c r="AC36" s="1812">
        <f t="shared" si="5"/>
        <v>1</v>
      </c>
    </row>
    <row r="37" spans="1:29" ht="15">
      <c r="A37" s="409"/>
      <c r="B37" s="364" t="s">
        <v>1782</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8"/>
      <c r="Q37" s="1263" t="str">
        <f t="shared" si="11"/>
        <v>成新度</v>
      </c>
      <c r="R37" s="667" t="s">
        <v>14</v>
      </c>
      <c r="S37" s="668" t="e">
        <f t="shared" si="12"/>
        <v>#N/A</v>
      </c>
      <c r="T37" s="667" t="s">
        <v>14</v>
      </c>
      <c r="U37" s="668" t="e">
        <f t="shared" si="13"/>
        <v>#N/A</v>
      </c>
      <c r="V37" s="667" t="s">
        <v>14</v>
      </c>
      <c r="W37" s="668" t="e">
        <f t="shared" si="14"/>
        <v>#N/A</v>
      </c>
      <c r="X37" s="1265"/>
      <c r="Y37" s="3321"/>
      <c r="Z37" s="1264" t="str">
        <f t="shared" si="15"/>
        <v>成新度</v>
      </c>
      <c r="AA37" s="1264" t="e">
        <f t="shared" si="3"/>
        <v>#N/A</v>
      </c>
      <c r="AB37" s="1264" t="e">
        <f t="shared" si="4"/>
        <v>#N/A</v>
      </c>
      <c r="AC37" s="1812" t="e">
        <f t="shared" si="5"/>
        <v>#N/A</v>
      </c>
    </row>
    <row r="38" spans="1:29" s="102" customFormat="1" ht="15">
      <c r="A38" s="410"/>
      <c r="B38" s="364" t="s">
        <v>1814</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8"/>
      <c r="Q38" s="530" t="str">
        <f t="shared" si="11"/>
        <v>写字楼等级</v>
      </c>
      <c r="R38" s="664" t="s">
        <v>14</v>
      </c>
      <c r="S38" s="665">
        <f t="shared" si="12"/>
        <v>100</v>
      </c>
      <c r="T38" s="664" t="s">
        <v>14</v>
      </c>
      <c r="U38" s="665">
        <f t="shared" si="13"/>
        <v>100</v>
      </c>
      <c r="V38" s="664" t="s">
        <v>14</v>
      </c>
      <c r="W38" s="665">
        <f t="shared" si="14"/>
        <v>100</v>
      </c>
      <c r="X38" s="666"/>
      <c r="Y38" s="3321"/>
      <c r="Z38" s="50" t="str">
        <f t="shared" si="15"/>
        <v>写字楼等级</v>
      </c>
      <c r="AA38" s="50">
        <f t="shared" si="3"/>
        <v>1</v>
      </c>
      <c r="AB38" s="50">
        <f t="shared" si="4"/>
        <v>1</v>
      </c>
      <c r="AC38" s="802">
        <f t="shared" si="5"/>
        <v>1</v>
      </c>
    </row>
    <row r="39" spans="1:29" ht="15">
      <c r="A39" s="409"/>
      <c r="B39" s="364" t="s">
        <v>1815</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8" t="s">
        <v>1692</v>
      </c>
      <c r="Q39" s="1263" t="str">
        <f t="shared" si="11"/>
        <v>物业管理</v>
      </c>
      <c r="R39" s="667" t="s">
        <v>14</v>
      </c>
      <c r="S39" s="668">
        <f t="shared" si="12"/>
        <v>100</v>
      </c>
      <c r="T39" s="667" t="s">
        <v>14</v>
      </c>
      <c r="U39" s="668">
        <f t="shared" si="13"/>
        <v>100</v>
      </c>
      <c r="V39" s="667" t="s">
        <v>14</v>
      </c>
      <c r="W39" s="668">
        <f t="shared" si="14"/>
        <v>100</v>
      </c>
      <c r="X39" s="1265"/>
      <c r="Y39" s="3321" t="s">
        <v>1692</v>
      </c>
      <c r="Z39" s="1264" t="str">
        <f t="shared" si="15"/>
        <v>物业管理</v>
      </c>
      <c r="AA39" s="1264">
        <f t="shared" si="3"/>
        <v>1</v>
      </c>
      <c r="AB39" s="1264">
        <f t="shared" si="4"/>
        <v>1</v>
      </c>
      <c r="AC39" s="1812">
        <f t="shared" si="5"/>
        <v>1</v>
      </c>
    </row>
    <row r="40" spans="1:29" ht="15">
      <c r="A40" s="409"/>
      <c r="B40" s="364" t="s">
        <v>1783</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8"/>
      <c r="Q40" s="1263" t="str">
        <f t="shared" si="11"/>
        <v>市政基础设施</v>
      </c>
      <c r="R40" s="667" t="s">
        <v>14</v>
      </c>
      <c r="S40" s="668">
        <f t="shared" si="12"/>
        <v>100</v>
      </c>
      <c r="T40" s="667" t="s">
        <v>14</v>
      </c>
      <c r="U40" s="668">
        <f t="shared" si="13"/>
        <v>100</v>
      </c>
      <c r="V40" s="667" t="s">
        <v>14</v>
      </c>
      <c r="W40" s="668">
        <f t="shared" si="14"/>
        <v>100</v>
      </c>
      <c r="X40" s="1265"/>
      <c r="Y40" s="3321"/>
      <c r="Z40" s="1264" t="str">
        <f t="shared" si="15"/>
        <v>市政基础设施</v>
      </c>
      <c r="AA40" s="1264">
        <f t="shared" si="3"/>
        <v>1</v>
      </c>
      <c r="AB40" s="1264">
        <f t="shared" si="4"/>
        <v>1</v>
      </c>
      <c r="AC40" s="1812">
        <f t="shared" si="5"/>
        <v>1</v>
      </c>
    </row>
    <row r="41" spans="1:29" ht="15">
      <c r="A41" s="409"/>
      <c r="B41" s="364" t="s">
        <v>1785</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8"/>
      <c r="Q41" s="1263" t="str">
        <f t="shared" si="11"/>
        <v>层高</v>
      </c>
      <c r="R41" s="667" t="s">
        <v>14</v>
      </c>
      <c r="S41" s="668">
        <f t="shared" si="12"/>
        <v>100</v>
      </c>
      <c r="T41" s="667" t="s">
        <v>14</v>
      </c>
      <c r="U41" s="668">
        <f t="shared" si="13"/>
        <v>100</v>
      </c>
      <c r="V41" s="667" t="s">
        <v>14</v>
      </c>
      <c r="W41" s="668">
        <f t="shared" si="14"/>
        <v>100</v>
      </c>
      <c r="X41" s="1265"/>
      <c r="Y41" s="3321"/>
      <c r="Z41" s="1264" t="str">
        <f t="shared" si="15"/>
        <v>层高</v>
      </c>
      <c r="AA41" s="1264">
        <f t="shared" si="3"/>
        <v>1</v>
      </c>
      <c r="AB41" s="1264">
        <f t="shared" si="4"/>
        <v>1</v>
      </c>
      <c r="AC41" s="1812">
        <f t="shared" si="5"/>
        <v>1</v>
      </c>
    </row>
    <row r="42" spans="1:29" s="408" customFormat="1" ht="15">
      <c r="A42" s="406"/>
      <c r="B42" s="400" t="s">
        <v>1816</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8"/>
      <c r="Q42" s="531" t="str">
        <f t="shared" si="11"/>
        <v>单套建筑面积</v>
      </c>
      <c r="R42" s="669" t="s">
        <v>14</v>
      </c>
      <c r="S42" s="670">
        <f t="shared" si="12"/>
        <v>100</v>
      </c>
      <c r="T42" s="669" t="s">
        <v>14</v>
      </c>
      <c r="U42" s="670">
        <f t="shared" si="13"/>
        <v>100</v>
      </c>
      <c r="V42" s="669" t="s">
        <v>14</v>
      </c>
      <c r="W42" s="670">
        <f t="shared" si="14"/>
        <v>100</v>
      </c>
      <c r="X42" s="671"/>
      <c r="Y42" s="3321"/>
      <c r="Z42" s="672" t="str">
        <f t="shared" si="15"/>
        <v>单套建筑面积</v>
      </c>
      <c r="AA42" s="1264">
        <f t="shared" si="3"/>
        <v>1</v>
      </c>
      <c r="AB42" s="1264">
        <f t="shared" si="4"/>
        <v>1</v>
      </c>
      <c r="AC42" s="1812">
        <f t="shared" si="5"/>
        <v>1</v>
      </c>
    </row>
    <row r="43" spans="1:29" ht="15">
      <c r="A43" s="409"/>
      <c r="B43" s="364" t="s">
        <v>1788</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8"/>
      <c r="Q43" s="1263" t="str">
        <f t="shared" si="11"/>
        <v>内部装修</v>
      </c>
      <c r="R43" s="667" t="s">
        <v>14</v>
      </c>
      <c r="S43" s="668">
        <f t="shared" si="12"/>
        <v>100</v>
      </c>
      <c r="T43" s="667" t="s">
        <v>14</v>
      </c>
      <c r="U43" s="668">
        <f t="shared" si="13"/>
        <v>100</v>
      </c>
      <c r="V43" s="667" t="s">
        <v>14</v>
      </c>
      <c r="W43" s="668">
        <f t="shared" si="14"/>
        <v>100</v>
      </c>
      <c r="X43" s="1265"/>
      <c r="Y43" s="3321"/>
      <c r="Z43" s="1264" t="str">
        <f t="shared" si="15"/>
        <v>内部装修</v>
      </c>
      <c r="AA43" s="1264">
        <f t="shared" si="3"/>
        <v>1</v>
      </c>
      <c r="AB43" s="1264">
        <f t="shared" si="4"/>
        <v>1</v>
      </c>
      <c r="AC43" s="1812">
        <f t="shared" si="5"/>
        <v>1</v>
      </c>
    </row>
    <row r="44" spans="1:29" ht="15">
      <c r="A44" s="409"/>
      <c r="B44" s="364" t="s">
        <v>1703</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8"/>
      <c r="Q44" s="1263" t="str">
        <f t="shared" si="11"/>
        <v>内部装修维护情况</v>
      </c>
      <c r="R44" s="667" t="s">
        <v>14</v>
      </c>
      <c r="S44" s="668">
        <f t="shared" si="12"/>
        <v>100</v>
      </c>
      <c r="T44" s="667" t="s">
        <v>14</v>
      </c>
      <c r="U44" s="668">
        <f t="shared" si="13"/>
        <v>100</v>
      </c>
      <c r="V44" s="667" t="s">
        <v>14</v>
      </c>
      <c r="W44" s="668">
        <f t="shared" si="14"/>
        <v>100</v>
      </c>
      <c r="X44" s="1265"/>
      <c r="Y44" s="332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8"/>
      <c r="Q45" s="530">
        <f t="shared" si="11"/>
        <v>111</v>
      </c>
      <c r="R45" s="664" t="s">
        <v>14</v>
      </c>
      <c r="S45" s="665">
        <f t="shared" si="12"/>
        <v>100</v>
      </c>
      <c r="T45" s="664" t="s">
        <v>14</v>
      </c>
      <c r="U45" s="665">
        <f t="shared" si="13"/>
        <v>100</v>
      </c>
      <c r="V45" s="664" t="s">
        <v>14</v>
      </c>
      <c r="W45" s="665">
        <f t="shared" si="14"/>
        <v>100</v>
      </c>
      <c r="X45" s="666"/>
      <c r="Y45" s="332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8"/>
      <c r="Q46" s="1263">
        <f t="shared" si="11"/>
        <v>111</v>
      </c>
      <c r="R46" s="667" t="s">
        <v>14</v>
      </c>
      <c r="S46" s="668">
        <f t="shared" si="12"/>
        <v>100</v>
      </c>
      <c r="T46" s="667" t="s">
        <v>14</v>
      </c>
      <c r="U46" s="668">
        <f t="shared" si="13"/>
        <v>100</v>
      </c>
      <c r="V46" s="667" t="s">
        <v>14</v>
      </c>
      <c r="W46" s="668">
        <f t="shared" si="14"/>
        <v>100</v>
      </c>
      <c r="X46" s="1265"/>
      <c r="Y46" s="332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9"/>
      <c r="Q47" s="1263">
        <f t="shared" si="11"/>
        <v>111</v>
      </c>
      <c r="R47" s="667" t="s">
        <v>14</v>
      </c>
      <c r="S47" s="668">
        <f t="shared" si="12"/>
        <v>100</v>
      </c>
      <c r="T47" s="667" t="s">
        <v>14</v>
      </c>
      <c r="U47" s="668">
        <f t="shared" si="13"/>
        <v>100</v>
      </c>
      <c r="V47" s="667" t="s">
        <v>14</v>
      </c>
      <c r="W47" s="668">
        <f t="shared" si="14"/>
        <v>100</v>
      </c>
      <c r="X47" s="1265"/>
      <c r="Y47" s="3430"/>
      <c r="Z47" s="1264">
        <f t="shared" si="15"/>
        <v>111</v>
      </c>
      <c r="AA47" s="1264">
        <f t="shared" si="3"/>
        <v>1</v>
      </c>
      <c r="AB47" s="1264">
        <f t="shared" si="4"/>
        <v>1</v>
      </c>
      <c r="AC47" s="1812">
        <f t="shared" si="5"/>
        <v>1</v>
      </c>
    </row>
    <row r="48" spans="1:29" ht="15">
      <c r="A48" s="416" t="s">
        <v>1704</v>
      </c>
      <c r="B48" s="417"/>
      <c r="C48" s="1081" t="s">
        <v>0</v>
      </c>
      <c r="D48" s="418"/>
      <c r="E48" s="419"/>
      <c r="F48" s="420"/>
      <c r="G48" s="421"/>
      <c r="H48" s="422"/>
      <c r="I48" s="419"/>
      <c r="J48" s="422"/>
      <c r="K48" s="674"/>
      <c r="L48" s="2495"/>
      <c r="M48" s="2488"/>
      <c r="N48" s="2488"/>
      <c r="O48" s="2488"/>
      <c r="P48" s="3327" t="str">
        <f>A48</f>
        <v>成交单价（元/平方米）</v>
      </c>
      <c r="Q48" s="3302"/>
      <c r="R48" s="3316">
        <f>E48</f>
        <v>0</v>
      </c>
      <c r="S48" s="3316"/>
      <c r="T48" s="3316">
        <f>G48</f>
        <v>0</v>
      </c>
      <c r="U48" s="3316"/>
      <c r="V48" s="3316">
        <f>I48</f>
        <v>0</v>
      </c>
      <c r="W48" s="3316"/>
      <c r="X48" s="385"/>
      <c r="Y48" s="673"/>
      <c r="Z48" s="385"/>
      <c r="AA48" s="385"/>
      <c r="AB48" s="385"/>
      <c r="AC48" s="555"/>
    </row>
    <row r="49" spans="1:29" ht="15.75" thickBot="1">
      <c r="A49" s="423" t="s">
        <v>1789</v>
      </c>
      <c r="B49" s="424"/>
      <c r="C49" s="1082" t="e">
        <f>R50</f>
        <v>#DIV/0!</v>
      </c>
      <c r="D49" s="2141" t="s">
        <v>2132</v>
      </c>
      <c r="E49" s="1083" t="e">
        <f>R49</f>
        <v>#DIV/0!</v>
      </c>
      <c r="F49" s="2142"/>
      <c r="G49" s="1082" t="e">
        <f>T49</f>
        <v>#DIV/0!</v>
      </c>
      <c r="H49" s="2142"/>
      <c r="I49" s="1083" t="e">
        <f>V49</f>
        <v>#DIV/0!</v>
      </c>
      <c r="J49" s="2142"/>
      <c r="K49" s="2144">
        <f>F49+H49+J49</f>
        <v>0</v>
      </c>
      <c r="L49" s="2495"/>
      <c r="M49" s="2488"/>
      <c r="N49" s="2488"/>
      <c r="O49" s="2488"/>
      <c r="P49" s="3327" t="str">
        <f>A49</f>
        <v>比较价值（元/平方米）</v>
      </c>
      <c r="Q49" s="3302"/>
      <c r="R49" s="3316" t="e">
        <f>IF(F1="售价",ROUND(PRODUCT(R48,AA7:AA47),0),ROUND(PRODUCT(R48,AA7:AA47),1))</f>
        <v>#DIV/0!</v>
      </c>
      <c r="S49" s="3316"/>
      <c r="T49" s="3316" t="e">
        <f>IF(F1="售价",ROUND(PRODUCT(T48,AB7:AB47),0),ROUND(PRODUCT(T48,AB7:AB47),1))</f>
        <v>#DIV/0!</v>
      </c>
      <c r="U49" s="3316"/>
      <c r="V49" s="3316" t="e">
        <f>IF(F1="售价",ROUND(PRODUCT(V48,AC7:AC47),0),ROUND(PRODUCT(V48,AC7:AC47),1))</f>
        <v>#DIV/0!</v>
      </c>
      <c r="W49" s="3316"/>
      <c r="X49" s="385"/>
      <c r="Y49" s="385"/>
      <c r="Z49" s="385"/>
      <c r="AA49" s="385"/>
      <c r="AB49" s="385"/>
      <c r="AC49" s="555"/>
    </row>
    <row r="50" spans="1:29" ht="15.75" thickBot="1">
      <c r="A50" s="427" t="s">
        <v>1790</v>
      </c>
      <c r="B50" s="428"/>
      <c r="C50" s="351" t="e">
        <f>R50</f>
        <v>#DIV/0!</v>
      </c>
      <c r="D50" s="351"/>
      <c r="E50" s="351"/>
      <c r="F50" s="351"/>
      <c r="G50" s="351"/>
      <c r="H50" s="351"/>
      <c r="I50" s="351"/>
      <c r="J50" s="429"/>
      <c r="K50" s="675"/>
      <c r="L50" s="2495"/>
      <c r="M50" s="2488"/>
      <c r="N50" s="2488"/>
      <c r="O50" s="2488"/>
      <c r="P50" s="3477" t="str">
        <f>A50</f>
        <v>估价对象XX用房的比较价值（楼面单价，元/平方米）</v>
      </c>
      <c r="Q50" s="3478"/>
      <c r="R50" s="3479" t="e">
        <f>IF(F1="售价",ROUND(IF(D49="简单平均",AVERAGE(R49:V49),R49*F49+T49*H49+V49*J49),0),ROUND(IF(D49="简单平均",AVERAGE(R49:V49),R49*F49+T49*H49+V49*J49),1))</f>
        <v>#DIV/0!</v>
      </c>
      <c r="S50" s="3479"/>
      <c r="T50" s="3479"/>
      <c r="U50" s="3479"/>
      <c r="V50" s="3479"/>
      <c r="W50" s="347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1791</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1792</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1793</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1794</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1675</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1712</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1677</v>
      </c>
      <c r="B62" s="444"/>
      <c r="C62" s="456" t="s">
        <v>1772</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1715</v>
      </c>
      <c r="B64" s="460" t="s">
        <v>1681</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1684</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1685</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1686</v>
      </c>
      <c r="B77" s="460" t="s">
        <v>1817</v>
      </c>
      <c r="C77" s="504" t="s">
        <v>1717</v>
      </c>
      <c r="D77" s="504" t="s">
        <v>1718</v>
      </c>
      <c r="E77" s="504" t="s">
        <v>1719</v>
      </c>
      <c r="F77" s="504" t="s">
        <v>1720</v>
      </c>
      <c r="G77" s="504" t="s">
        <v>1721</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1722</v>
      </c>
      <c r="C79" s="509" t="s">
        <v>1717</v>
      </c>
      <c r="D79" s="509" t="s">
        <v>1718</v>
      </c>
      <c r="E79" s="509" t="s">
        <v>1719</v>
      </c>
      <c r="F79" s="509" t="s">
        <v>1720</v>
      </c>
      <c r="G79" s="509" t="s">
        <v>1721</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1723</v>
      </c>
      <c r="C81" s="509" t="s">
        <v>1717</v>
      </c>
      <c r="D81" s="509" t="s">
        <v>1718</v>
      </c>
      <c r="E81" s="509" t="s">
        <v>1719</v>
      </c>
      <c r="F81" s="509" t="s">
        <v>1720</v>
      </c>
      <c r="G81" s="509" t="s">
        <v>1721</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1809</v>
      </c>
      <c r="C83" s="581" t="s">
        <v>1795</v>
      </c>
      <c r="D83" s="581" t="s">
        <v>1796</v>
      </c>
      <c r="E83" s="581" t="s">
        <v>1797</v>
      </c>
      <c r="F83" s="581" t="s">
        <v>1798</v>
      </c>
      <c r="G83" s="581" t="s">
        <v>1799</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1818</v>
      </c>
      <c r="C85" s="509" t="s">
        <v>1717</v>
      </c>
      <c r="D85" s="509" t="s">
        <v>1718</v>
      </c>
      <c r="E85" s="509" t="s">
        <v>1719</v>
      </c>
      <c r="F85" s="509" t="s">
        <v>1720</v>
      </c>
      <c r="G85" s="509" t="s">
        <v>1721</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1819</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1690</v>
      </c>
      <c r="B101" s="460" t="s">
        <v>1732</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1733</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1734</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1736</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1186</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1820</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1737</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1738</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1821</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1804</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1740</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1741</v>
      </c>
      <c r="C125" s="509" t="s">
        <v>1717</v>
      </c>
      <c r="D125" s="509" t="s">
        <v>1718</v>
      </c>
      <c r="E125" s="509" t="s">
        <v>1719</v>
      </c>
      <c r="F125" s="509" t="s">
        <v>1720</v>
      </c>
      <c r="G125" s="509" t="s">
        <v>1721</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F7:F47 H7:H47 J7:J47">
    <cfRule type="cellIs" dxfId="76" priority="1" operator="notEqual">
      <formula>100</formula>
    </cfRule>
  </conditionalFormatting>
  <conditionalFormatting sqref="F49">
    <cfRule type="expression" dxfId="75" priority="4">
      <formula>$D$49="简单平均"</formula>
    </cfRule>
  </conditionalFormatting>
  <conditionalFormatting sqref="F53:F55 H53:H55">
    <cfRule type="containsText" dxfId="74" priority="17" stopIfTrue="1" operator="containsText" text="超过">
      <formula>NOT(ISERROR(SEARCH("超过",F53)))</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G55">
    <cfRule type="expression" dxfId="71" priority="13" stopIfTrue="1">
      <formula>$H$55="超过30%"</formula>
    </cfRule>
  </conditionalFormatting>
  <conditionalFormatting sqref="H49">
    <cfRule type="expression" dxfId="70" priority="3">
      <formula>$D$49="简单平均"</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J49">
    <cfRule type="expression" dxfId="66" priority="2">
      <formula>$D$49="简单平均"</formula>
    </cfRule>
  </conditionalFormatting>
  <conditionalFormatting sqref="J53:J55">
    <cfRule type="containsText" dxfId="65"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808" t="s">
        <v>1822</v>
      </c>
      <c r="C1" s="1141" t="s">
        <v>1658</v>
      </c>
      <c r="D1" s="1142"/>
      <c r="E1" s="3132"/>
      <c r="F1" s="1735"/>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1459</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1460</v>
      </c>
      <c r="B3" s="536">
        <f>IF(C2="——",C43,ROUND(B2*10000/D3,0))</f>
        <v>0</v>
      </c>
      <c r="C3" s="344" t="s">
        <v>1764</v>
      </c>
      <c r="D3" s="343">
        <f>IF(D1="",'数据-汇总表'!E3,SUMIF('数据-汇总表'!$C19:$C33,D1,'数据-汇总表'!$E19:$E33))</f>
        <v>315.39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1765</v>
      </c>
      <c r="B4" s="346"/>
      <c r="C4" s="3304" t="s">
        <v>1766</v>
      </c>
      <c r="D4" s="3305"/>
      <c r="E4" s="3306" t="s">
        <v>1767</v>
      </c>
      <c r="F4" s="3307"/>
      <c r="G4" s="3304" t="s">
        <v>1768</v>
      </c>
      <c r="H4" s="3305"/>
      <c r="I4" s="3304" t="s">
        <v>1769</v>
      </c>
      <c r="J4" s="3305"/>
      <c r="K4" s="537" t="s">
        <v>1770</v>
      </c>
      <c r="L4" s="860"/>
      <c r="M4" s="861"/>
      <c r="N4" s="861"/>
      <c r="O4" s="861"/>
      <c r="P4" s="3308" t="s">
        <v>1771</v>
      </c>
      <c r="Q4" s="3309"/>
      <c r="R4" s="3290" t="s">
        <v>1767</v>
      </c>
      <c r="S4" s="3291"/>
      <c r="T4" s="3290" t="s">
        <v>1768</v>
      </c>
      <c r="U4" s="3291"/>
      <c r="V4" s="3316" t="s">
        <v>1769</v>
      </c>
      <c r="W4" s="3316"/>
      <c r="X4" s="1265"/>
      <c r="Y4" s="3290" t="s">
        <v>1771</v>
      </c>
      <c r="Z4" s="3291"/>
      <c r="AA4" s="3285" t="s">
        <v>1767</v>
      </c>
      <c r="AB4" s="3286" t="s">
        <v>1768</v>
      </c>
      <c r="AC4" s="3285" t="s">
        <v>1769</v>
      </c>
    </row>
    <row r="5" spans="1:29" ht="15">
      <c r="A5" s="348"/>
      <c r="B5" s="349"/>
      <c r="C5" s="3296" t="s">
        <v>1669</v>
      </c>
      <c r="D5" s="3297"/>
      <c r="E5" s="3294" t="s">
        <v>1670</v>
      </c>
      <c r="F5" s="3295"/>
      <c r="G5" s="3296" t="s">
        <v>1671</v>
      </c>
      <c r="H5" s="3297"/>
      <c r="I5" s="3296" t="s">
        <v>1672</v>
      </c>
      <c r="J5" s="3297"/>
      <c r="K5" s="537"/>
      <c r="L5" s="860"/>
      <c r="M5" s="861"/>
      <c r="N5" s="861"/>
      <c r="O5" s="861"/>
      <c r="P5" s="3310"/>
      <c r="Q5" s="3311"/>
      <c r="R5" s="3292"/>
      <c r="S5" s="3293"/>
      <c r="T5" s="3292"/>
      <c r="U5" s="3293"/>
      <c r="V5" s="3316"/>
      <c r="W5" s="3316"/>
      <c r="X5" s="1265"/>
      <c r="Y5" s="3292"/>
      <c r="Z5" s="3293"/>
      <c r="AA5" s="3286"/>
      <c r="AB5" s="3286"/>
      <c r="AC5" s="3286"/>
    </row>
    <row r="6" spans="1:29" ht="15.75" thickBot="1">
      <c r="A6" s="350"/>
      <c r="B6" s="351"/>
      <c r="C6" s="3298" t="s">
        <v>1673</v>
      </c>
      <c r="D6" s="3299"/>
      <c r="E6" s="3300" t="s">
        <v>1673</v>
      </c>
      <c r="F6" s="3301"/>
      <c r="G6" s="3298" t="s">
        <v>1673</v>
      </c>
      <c r="H6" s="3299"/>
      <c r="I6" s="3298" t="s">
        <v>1673</v>
      </c>
      <c r="J6" s="3299"/>
      <c r="K6" s="537" t="s">
        <v>1674</v>
      </c>
      <c r="L6" s="860"/>
      <c r="M6" s="861"/>
      <c r="N6" s="861"/>
      <c r="O6" s="861"/>
      <c r="P6" s="3312"/>
      <c r="Q6" s="3313"/>
      <c r="R6" s="3292"/>
      <c r="S6" s="3293"/>
      <c r="T6" s="3314"/>
      <c r="U6" s="3315"/>
      <c r="V6" s="3316"/>
      <c r="W6" s="3316"/>
      <c r="X6" s="1265"/>
      <c r="Y6" s="3314"/>
      <c r="Z6" s="3315"/>
      <c r="AA6" s="3287"/>
      <c r="AB6" s="3287"/>
      <c r="AC6" s="3287"/>
    </row>
    <row r="7" spans="1:29" s="102" customFormat="1" ht="15.75" thickBot="1">
      <c r="A7" s="352" t="s">
        <v>1675</v>
      </c>
      <c r="B7" s="353"/>
      <c r="C7" s="354">
        <f>'数据-取费表'!B2</f>
        <v>46014</v>
      </c>
      <c r="D7" s="355">
        <v>100</v>
      </c>
      <c r="E7" s="356"/>
      <c r="F7" s="357">
        <f>SUMIF(52:52,YEAR(E7)&amp;"-"&amp;MONTH(E7),53:53)</f>
        <v>0</v>
      </c>
      <c r="G7" s="356"/>
      <c r="H7" s="355">
        <f>SUMIF(52:52,YEAR(G7)&amp;"-"&amp;MONTH(G7),53:53)</f>
        <v>0</v>
      </c>
      <c r="I7" s="356"/>
      <c r="J7" s="355">
        <f>SUMIF(52:52,YEAR(I7)&amp;"-"&amp;MONTH(I7),53:53)</f>
        <v>0</v>
      </c>
      <c r="K7" s="38"/>
      <c r="L7" s="862"/>
      <c r="M7" s="863"/>
      <c r="N7" s="863"/>
      <c r="O7" s="863"/>
      <c r="P7" s="3288" t="s">
        <v>1676</v>
      </c>
      <c r="Q7" s="3317"/>
      <c r="R7" s="664" t="s">
        <v>14</v>
      </c>
      <c r="S7" s="665">
        <f t="shared" ref="S7:S15" si="0">F7</f>
        <v>0</v>
      </c>
      <c r="T7" s="664" t="s">
        <v>14</v>
      </c>
      <c r="U7" s="665">
        <f t="shared" ref="U7:U15" si="1">H7</f>
        <v>0</v>
      </c>
      <c r="V7" s="664" t="s">
        <v>14</v>
      </c>
      <c r="W7" s="665">
        <f t="shared" ref="W7:W15" si="2">J7</f>
        <v>0</v>
      </c>
      <c r="X7" s="666"/>
      <c r="Y7" s="3288" t="s">
        <v>1676</v>
      </c>
      <c r="Z7" s="3289"/>
      <c r="AA7" s="50" t="e">
        <f>D7/F7</f>
        <v>#DIV/0!</v>
      </c>
      <c r="AB7" s="50" t="e">
        <f>D7/H7</f>
        <v>#DIV/0!</v>
      </c>
      <c r="AC7" s="50" t="e">
        <f>D7/J7</f>
        <v>#DIV/0!</v>
      </c>
    </row>
    <row r="8" spans="1:29" s="102" customFormat="1" ht="15.75" thickBot="1">
      <c r="A8" s="352" t="s">
        <v>1677</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288" t="s">
        <v>1679</v>
      </c>
      <c r="Q8" s="3289"/>
      <c r="R8" s="664" t="s">
        <v>14</v>
      </c>
      <c r="S8" s="665">
        <f t="shared" si="0"/>
        <v>100</v>
      </c>
      <c r="T8" s="664" t="s">
        <v>14</v>
      </c>
      <c r="U8" s="665">
        <f t="shared" si="1"/>
        <v>100</v>
      </c>
      <c r="V8" s="664" t="s">
        <v>14</v>
      </c>
      <c r="W8" s="665">
        <f t="shared" si="2"/>
        <v>100</v>
      </c>
      <c r="X8" s="666"/>
      <c r="Y8" s="3288" t="s">
        <v>1679</v>
      </c>
      <c r="Z8" s="3289"/>
      <c r="AA8" s="50">
        <f t="shared" ref="AA8:AA40" si="3">D8/F8</f>
        <v>1</v>
      </c>
      <c r="AB8" s="50">
        <f t="shared" ref="AB8:AB40" si="4">D8/H8</f>
        <v>1</v>
      </c>
      <c r="AC8" s="50">
        <f t="shared" ref="AC8:AC40" si="5">D8/J8</f>
        <v>1</v>
      </c>
    </row>
    <row r="9" spans="1:29" s="102" customFormat="1">
      <c r="A9" s="359" t="s">
        <v>1680</v>
      </c>
      <c r="B9" s="60" t="s">
        <v>1681</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02" t="s">
        <v>1682</v>
      </c>
      <c r="Q9" s="530" t="str">
        <f t="shared" ref="Q9:Q15" si="6">B9</f>
        <v>用途</v>
      </c>
      <c r="R9" s="664" t="s">
        <v>14</v>
      </c>
      <c r="S9" s="665">
        <f t="shared" si="0"/>
        <v>100</v>
      </c>
      <c r="T9" s="664" t="s">
        <v>14</v>
      </c>
      <c r="U9" s="665">
        <f t="shared" si="1"/>
        <v>100</v>
      </c>
      <c r="V9" s="664" t="s">
        <v>14</v>
      </c>
      <c r="W9" s="665">
        <f t="shared" si="2"/>
        <v>100</v>
      </c>
      <c r="X9" s="666"/>
      <c r="Y9" s="3303" t="s">
        <v>1683</v>
      </c>
      <c r="Z9" s="50" t="str">
        <f t="shared" ref="Z9:Z15" si="7">Q9</f>
        <v>用途</v>
      </c>
      <c r="AA9" s="50">
        <f t="shared" si="3"/>
        <v>1</v>
      </c>
      <c r="AB9" s="50">
        <f t="shared" si="4"/>
        <v>1</v>
      </c>
      <c r="AC9" s="50">
        <f t="shared" si="5"/>
        <v>1</v>
      </c>
    </row>
    <row r="10" spans="1:29" s="366" customFormat="1" ht="27">
      <c r="A10" s="363"/>
      <c r="B10" s="364" t="s">
        <v>1684</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02"/>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1685</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02"/>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02"/>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02"/>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02"/>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15">
      <c r="A15" s="379" t="s">
        <v>1686</v>
      </c>
      <c r="B15" s="58" t="s">
        <v>1823</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18" t="s">
        <v>1687</v>
      </c>
      <c r="Q15" s="1263" t="str">
        <f t="shared" si="6"/>
        <v>产业集聚程度</v>
      </c>
      <c r="R15" s="667" t="s">
        <v>14</v>
      </c>
      <c r="S15" s="668">
        <f t="shared" si="0"/>
        <v>100</v>
      </c>
      <c r="T15" s="667" t="s">
        <v>14</v>
      </c>
      <c r="U15" s="668">
        <f t="shared" si="1"/>
        <v>100</v>
      </c>
      <c r="V15" s="667" t="s">
        <v>14</v>
      </c>
      <c r="W15" s="668">
        <f t="shared" si="2"/>
        <v>100</v>
      </c>
      <c r="X15" s="1265"/>
      <c r="Y15" s="3318" t="s">
        <v>1687</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19"/>
      <c r="Q16" s="1263"/>
      <c r="R16" s="667"/>
      <c r="S16" s="668"/>
      <c r="T16" s="667"/>
      <c r="U16" s="668"/>
      <c r="V16" s="667"/>
      <c r="W16" s="668"/>
      <c r="X16" s="1265"/>
      <c r="Y16" s="3319"/>
      <c r="Z16" s="1264"/>
      <c r="AA16" s="1264">
        <v>1</v>
      </c>
      <c r="AB16" s="1264">
        <v>1</v>
      </c>
      <c r="AC16" s="1264">
        <v>1</v>
      </c>
    </row>
    <row r="17" spans="1:29" ht="15">
      <c r="A17" s="367"/>
      <c r="B17" s="390" t="s">
        <v>1255</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19"/>
      <c r="Q17" s="1263" t="str">
        <f>B17</f>
        <v>交通便捷度</v>
      </c>
      <c r="R17" s="667" t="s">
        <v>14</v>
      </c>
      <c r="S17" s="668">
        <f>F17</f>
        <v>100</v>
      </c>
      <c r="T17" s="667" t="s">
        <v>14</v>
      </c>
      <c r="U17" s="668">
        <f>H17</f>
        <v>100</v>
      </c>
      <c r="V17" s="667" t="s">
        <v>14</v>
      </c>
      <c r="W17" s="668">
        <f>J17</f>
        <v>100</v>
      </c>
      <c r="X17" s="1265"/>
      <c r="Y17" s="331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19"/>
      <c r="Q18" s="1263"/>
      <c r="R18" s="667"/>
      <c r="S18" s="668"/>
      <c r="T18" s="667"/>
      <c r="U18" s="668"/>
      <c r="V18" s="667"/>
      <c r="W18" s="668"/>
      <c r="X18" s="1265"/>
      <c r="Y18" s="3319"/>
      <c r="Z18" s="1264"/>
      <c r="AA18" s="1264">
        <v>1</v>
      </c>
      <c r="AB18" s="1264">
        <v>1</v>
      </c>
      <c r="AC18" s="1264">
        <v>1</v>
      </c>
    </row>
    <row r="19" spans="1:29" ht="15">
      <c r="A19" s="367"/>
      <c r="B19" s="390" t="s">
        <v>1808</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19"/>
      <c r="Q19" s="1263" t="str">
        <f>B19</f>
        <v>公共配套设施</v>
      </c>
      <c r="R19" s="667" t="s">
        <v>14</v>
      </c>
      <c r="S19" s="668">
        <f>F19</f>
        <v>100</v>
      </c>
      <c r="T19" s="667" t="s">
        <v>14</v>
      </c>
      <c r="U19" s="668">
        <f>H19</f>
        <v>100</v>
      </c>
      <c r="V19" s="667" t="s">
        <v>14</v>
      </c>
      <c r="W19" s="668">
        <f>J19</f>
        <v>100</v>
      </c>
      <c r="X19" s="1265"/>
      <c r="Y19" s="331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19"/>
      <c r="Q20" s="1263"/>
      <c r="R20" s="667"/>
      <c r="S20" s="668"/>
      <c r="T20" s="667"/>
      <c r="U20" s="668"/>
      <c r="V20" s="667"/>
      <c r="W20" s="668"/>
      <c r="X20" s="1265"/>
      <c r="Y20" s="3319"/>
      <c r="Z20" s="1264"/>
      <c r="AA20" s="1264">
        <v>1</v>
      </c>
      <c r="AB20" s="1264">
        <v>1</v>
      </c>
      <c r="AC20" s="1264">
        <v>1</v>
      </c>
    </row>
    <row r="21" spans="1:29" ht="15">
      <c r="A21" s="367"/>
      <c r="B21" s="586" t="s">
        <v>1809</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19"/>
      <c r="Q21" s="1263" t="str">
        <f>B21</f>
        <v>基础设施水平</v>
      </c>
      <c r="R21" s="667" t="s">
        <v>14</v>
      </c>
      <c r="S21" s="668">
        <f>F21</f>
        <v>100</v>
      </c>
      <c r="T21" s="667" t="s">
        <v>14</v>
      </c>
      <c r="U21" s="668">
        <f>H21</f>
        <v>100</v>
      </c>
      <c r="V21" s="667" t="s">
        <v>14</v>
      </c>
      <c r="W21" s="668">
        <f>J21</f>
        <v>100</v>
      </c>
      <c r="X21" s="1265"/>
      <c r="Y21" s="331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19"/>
      <c r="Q22" s="1263"/>
      <c r="R22" s="667"/>
      <c r="S22" s="668"/>
      <c r="T22" s="667"/>
      <c r="U22" s="668"/>
      <c r="V22" s="667"/>
      <c r="W22" s="668"/>
      <c r="X22" s="1265"/>
      <c r="Y22" s="3319"/>
      <c r="Z22" s="1264"/>
      <c r="AA22" s="1264">
        <v>1</v>
      </c>
      <c r="AB22" s="1264">
        <v>1</v>
      </c>
      <c r="AC22" s="1264">
        <v>1</v>
      </c>
    </row>
    <row r="23" spans="1:29" ht="15">
      <c r="A23" s="367"/>
      <c r="B23" s="390" t="s">
        <v>1810</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19"/>
      <c r="Q23" s="1263" t="str">
        <f>B23</f>
        <v>环境质量</v>
      </c>
      <c r="R23" s="667" t="s">
        <v>14</v>
      </c>
      <c r="S23" s="668">
        <f>F23</f>
        <v>100</v>
      </c>
      <c r="T23" s="667" t="s">
        <v>14</v>
      </c>
      <c r="U23" s="668">
        <f>H23</f>
        <v>100</v>
      </c>
      <c r="V23" s="667" t="s">
        <v>14</v>
      </c>
      <c r="W23" s="668">
        <f>J23</f>
        <v>100</v>
      </c>
      <c r="X23" s="1265"/>
      <c r="Y23" s="331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19"/>
      <c r="Q24" s="1263"/>
      <c r="R24" s="667"/>
      <c r="S24" s="668"/>
      <c r="T24" s="667"/>
      <c r="U24" s="668"/>
      <c r="V24" s="667"/>
      <c r="W24" s="668"/>
      <c r="X24" s="1265"/>
      <c r="Y24" s="331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19"/>
      <c r="Q25" s="1263">
        <f>B25</f>
        <v>111</v>
      </c>
      <c r="R25" s="667" t="s">
        <v>14</v>
      </c>
      <c r="S25" s="668">
        <f>F25</f>
        <v>100</v>
      </c>
      <c r="T25" s="667" t="s">
        <v>14</v>
      </c>
      <c r="U25" s="668">
        <f>H25</f>
        <v>100</v>
      </c>
      <c r="V25" s="667" t="s">
        <v>14</v>
      </c>
      <c r="W25" s="668">
        <f>J25</f>
        <v>100</v>
      </c>
      <c r="X25" s="1265"/>
      <c r="Y25" s="331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19"/>
      <c r="Q26" s="1263">
        <f t="shared" ref="Q26:Q40" si="11">B26</f>
        <v>111</v>
      </c>
      <c r="R26" s="667" t="s">
        <v>14</v>
      </c>
      <c r="S26" s="668">
        <f>F26</f>
        <v>100</v>
      </c>
      <c r="T26" s="667" t="s">
        <v>14</v>
      </c>
      <c r="U26" s="668">
        <f>H26</f>
        <v>100</v>
      </c>
      <c r="V26" s="667" t="s">
        <v>14</v>
      </c>
      <c r="W26" s="668">
        <f>J26</f>
        <v>100</v>
      </c>
      <c r="X26" s="1265"/>
      <c r="Y26" s="331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19"/>
      <c r="Q27" s="530">
        <f t="shared" si="11"/>
        <v>111</v>
      </c>
      <c r="R27" s="664" t="s">
        <v>14</v>
      </c>
      <c r="S27" s="665">
        <f>F27</f>
        <v>100</v>
      </c>
      <c r="T27" s="664" t="s">
        <v>14</v>
      </c>
      <c r="U27" s="665">
        <f>H27</f>
        <v>100</v>
      </c>
      <c r="V27" s="664" t="s">
        <v>14</v>
      </c>
      <c r="W27" s="665">
        <f>J27</f>
        <v>100</v>
      </c>
      <c r="X27" s="666"/>
      <c r="Y27" s="331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19"/>
      <c r="Q28" s="1263">
        <f t="shared" si="11"/>
        <v>111</v>
      </c>
      <c r="R28" s="667" t="s">
        <v>14</v>
      </c>
      <c r="S28" s="668">
        <f t="shared" ref="S28:S40" si="12">F28</f>
        <v>100</v>
      </c>
      <c r="T28" s="667" t="s">
        <v>14</v>
      </c>
      <c r="U28" s="668">
        <f t="shared" ref="U28:U40" si="13">H28</f>
        <v>100</v>
      </c>
      <c r="V28" s="667" t="s">
        <v>14</v>
      </c>
      <c r="W28" s="668">
        <f t="shared" ref="W28:W40" si="14">J28</f>
        <v>100</v>
      </c>
      <c r="X28" s="1265"/>
      <c r="Y28" s="3319"/>
      <c r="Z28" s="1264">
        <f t="shared" ref="Z28:Z40" si="15">Q28</f>
        <v>111</v>
      </c>
      <c r="AA28" s="1264">
        <f t="shared" si="3"/>
        <v>1</v>
      </c>
      <c r="AB28" s="1264">
        <f t="shared" si="4"/>
        <v>1</v>
      </c>
      <c r="AC28" s="1264">
        <f t="shared" si="5"/>
        <v>1</v>
      </c>
    </row>
    <row r="29" spans="1:29" ht="28.5">
      <c r="A29" s="404" t="s">
        <v>1690</v>
      </c>
      <c r="B29" s="60" t="s">
        <v>1813</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20" t="s">
        <v>1692</v>
      </c>
      <c r="Q29" s="1263" t="str">
        <f t="shared" si="11"/>
        <v>建筑类型</v>
      </c>
      <c r="R29" s="667" t="s">
        <v>14</v>
      </c>
      <c r="S29" s="668">
        <f t="shared" si="12"/>
        <v>100</v>
      </c>
      <c r="T29" s="667" t="s">
        <v>14</v>
      </c>
      <c r="U29" s="668">
        <f t="shared" si="13"/>
        <v>100</v>
      </c>
      <c r="V29" s="667" t="s">
        <v>14</v>
      </c>
      <c r="W29" s="668">
        <f t="shared" si="14"/>
        <v>100</v>
      </c>
      <c r="X29" s="1265"/>
      <c r="Y29" s="3321" t="s">
        <v>1692</v>
      </c>
      <c r="Z29" s="1264" t="str">
        <f t="shared" si="15"/>
        <v>建筑类型</v>
      </c>
      <c r="AA29" s="1264">
        <f t="shared" si="3"/>
        <v>1</v>
      </c>
      <c r="AB29" s="1264">
        <f t="shared" si="4"/>
        <v>1</v>
      </c>
      <c r="AC29" s="1264">
        <f t="shared" si="5"/>
        <v>1</v>
      </c>
    </row>
    <row r="30" spans="1:29" s="408" customFormat="1" ht="15">
      <c r="A30" s="406"/>
      <c r="B30" s="364" t="s">
        <v>1693</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21"/>
      <c r="Q30" s="531" t="str">
        <f t="shared" si="11"/>
        <v>项目建筑规模</v>
      </c>
      <c r="R30" s="669" t="s">
        <v>14</v>
      </c>
      <c r="S30" s="670" t="e">
        <f t="shared" si="12"/>
        <v>#N/A</v>
      </c>
      <c r="T30" s="669" t="s">
        <v>14</v>
      </c>
      <c r="U30" s="670" t="e">
        <f t="shared" si="13"/>
        <v>#N/A</v>
      </c>
      <c r="V30" s="669" t="s">
        <v>14</v>
      </c>
      <c r="W30" s="670" t="e">
        <f t="shared" si="14"/>
        <v>#N/A</v>
      </c>
      <c r="X30" s="671"/>
      <c r="Y30" s="3321"/>
      <c r="Z30" s="672" t="str">
        <f t="shared" si="15"/>
        <v>项目建筑规模</v>
      </c>
      <c r="AA30" s="1264" t="e">
        <f t="shared" si="3"/>
        <v>#N/A</v>
      </c>
      <c r="AB30" s="1264" t="e">
        <f t="shared" si="4"/>
        <v>#N/A</v>
      </c>
      <c r="AC30" s="1264" t="e">
        <f t="shared" si="5"/>
        <v>#N/A</v>
      </c>
    </row>
    <row r="31" spans="1:29" ht="15">
      <c r="A31" s="409"/>
      <c r="B31" s="364" t="s">
        <v>1694</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21"/>
      <c r="Q31" s="1263" t="str">
        <f t="shared" si="11"/>
        <v>建筑结构</v>
      </c>
      <c r="R31" s="667" t="s">
        <v>14</v>
      </c>
      <c r="S31" s="668">
        <f t="shared" si="12"/>
        <v>100</v>
      </c>
      <c r="T31" s="667" t="s">
        <v>14</v>
      </c>
      <c r="U31" s="668">
        <f t="shared" si="13"/>
        <v>100</v>
      </c>
      <c r="V31" s="667" t="s">
        <v>14</v>
      </c>
      <c r="W31" s="668">
        <f t="shared" si="14"/>
        <v>100</v>
      </c>
      <c r="X31" s="1265"/>
      <c r="Y31" s="3321"/>
      <c r="Z31" s="1264" t="str">
        <f t="shared" si="15"/>
        <v>建筑结构</v>
      </c>
      <c r="AA31" s="1264">
        <f t="shared" si="3"/>
        <v>1</v>
      </c>
      <c r="AB31" s="1264">
        <f t="shared" si="4"/>
        <v>1</v>
      </c>
      <c r="AC31" s="1264">
        <f t="shared" si="5"/>
        <v>1</v>
      </c>
    </row>
    <row r="32" spans="1:29" ht="15">
      <c r="A32" s="409"/>
      <c r="B32" s="364" t="s">
        <v>1781</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21"/>
      <c r="Q32" s="1263" t="str">
        <f t="shared" si="11"/>
        <v>公共部分装修</v>
      </c>
      <c r="R32" s="667" t="s">
        <v>14</v>
      </c>
      <c r="S32" s="668">
        <f t="shared" si="12"/>
        <v>100</v>
      </c>
      <c r="T32" s="667" t="s">
        <v>14</v>
      </c>
      <c r="U32" s="668">
        <f t="shared" si="13"/>
        <v>100</v>
      </c>
      <c r="V32" s="667" t="s">
        <v>14</v>
      </c>
      <c r="W32" s="668">
        <f t="shared" si="14"/>
        <v>100</v>
      </c>
      <c r="X32" s="1265"/>
      <c r="Y32" s="3321"/>
      <c r="Z32" s="1264" t="str">
        <f t="shared" si="15"/>
        <v>公共部分装修</v>
      </c>
      <c r="AA32" s="1264">
        <f t="shared" si="3"/>
        <v>1</v>
      </c>
      <c r="AB32" s="1264">
        <f t="shared" si="4"/>
        <v>1</v>
      </c>
      <c r="AC32" s="1264">
        <f t="shared" si="5"/>
        <v>1</v>
      </c>
    </row>
    <row r="33" spans="1:29" ht="15">
      <c r="A33" s="409"/>
      <c r="B33" s="364" t="s">
        <v>1782</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21"/>
      <c r="Q33" s="1263" t="str">
        <f t="shared" si="11"/>
        <v>成新度</v>
      </c>
      <c r="R33" s="667" t="s">
        <v>14</v>
      </c>
      <c r="S33" s="668" t="e">
        <f t="shared" si="12"/>
        <v>#N/A</v>
      </c>
      <c r="T33" s="667" t="s">
        <v>14</v>
      </c>
      <c r="U33" s="668" t="e">
        <f t="shared" si="13"/>
        <v>#N/A</v>
      </c>
      <c r="V33" s="667" t="s">
        <v>14</v>
      </c>
      <c r="W33" s="668" t="e">
        <f t="shared" si="14"/>
        <v>#N/A</v>
      </c>
      <c r="X33" s="1265"/>
      <c r="Y33" s="3321"/>
      <c r="Z33" s="1264" t="str">
        <f t="shared" si="15"/>
        <v>成新度</v>
      </c>
      <c r="AA33" s="1264" t="e">
        <f t="shared" si="3"/>
        <v>#N/A</v>
      </c>
      <c r="AB33" s="1264" t="e">
        <f t="shared" si="4"/>
        <v>#N/A</v>
      </c>
      <c r="AC33" s="1264" t="e">
        <f t="shared" si="5"/>
        <v>#N/A</v>
      </c>
    </row>
    <row r="34" spans="1:29" s="102" customFormat="1" ht="15">
      <c r="A34" s="410"/>
      <c r="B34" s="364" t="s">
        <v>1815</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21"/>
      <c r="Q34" s="530" t="str">
        <f t="shared" si="11"/>
        <v>物业管理</v>
      </c>
      <c r="R34" s="664" t="s">
        <v>14</v>
      </c>
      <c r="S34" s="665">
        <f t="shared" si="12"/>
        <v>100</v>
      </c>
      <c r="T34" s="664" t="s">
        <v>14</v>
      </c>
      <c r="U34" s="665">
        <f t="shared" si="13"/>
        <v>100</v>
      </c>
      <c r="V34" s="664" t="s">
        <v>14</v>
      </c>
      <c r="W34" s="665">
        <f t="shared" si="14"/>
        <v>100</v>
      </c>
      <c r="X34" s="666"/>
      <c r="Y34" s="3321"/>
      <c r="Z34" s="50" t="str">
        <f t="shared" si="15"/>
        <v>物业管理</v>
      </c>
      <c r="AA34" s="50">
        <f t="shared" si="3"/>
        <v>1</v>
      </c>
      <c r="AB34" s="50">
        <f t="shared" si="4"/>
        <v>1</v>
      </c>
      <c r="AC34" s="50">
        <f t="shared" si="5"/>
        <v>1</v>
      </c>
    </row>
    <row r="35" spans="1:29" ht="15">
      <c r="A35" s="409"/>
      <c r="B35" s="364" t="s">
        <v>1783</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21" t="s">
        <v>1692</v>
      </c>
      <c r="Q35" s="1263" t="str">
        <f t="shared" si="11"/>
        <v>市政基础设施</v>
      </c>
      <c r="R35" s="667" t="s">
        <v>14</v>
      </c>
      <c r="S35" s="668">
        <f t="shared" si="12"/>
        <v>100</v>
      </c>
      <c r="T35" s="667" t="s">
        <v>14</v>
      </c>
      <c r="U35" s="668">
        <f t="shared" si="13"/>
        <v>100</v>
      </c>
      <c r="V35" s="667" t="s">
        <v>14</v>
      </c>
      <c r="W35" s="668">
        <f t="shared" si="14"/>
        <v>100</v>
      </c>
      <c r="X35" s="1265"/>
      <c r="Y35" s="3321" t="s">
        <v>1692</v>
      </c>
      <c r="Z35" s="1264" t="str">
        <f t="shared" si="15"/>
        <v>市政基础设施</v>
      </c>
      <c r="AA35" s="1264">
        <f t="shared" si="3"/>
        <v>1</v>
      </c>
      <c r="AB35" s="1264">
        <f t="shared" si="4"/>
        <v>1</v>
      </c>
      <c r="AC35" s="1264">
        <f t="shared" si="5"/>
        <v>1</v>
      </c>
    </row>
    <row r="36" spans="1:29" ht="15">
      <c r="A36" s="409"/>
      <c r="B36" s="364" t="s">
        <v>1788</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21"/>
      <c r="Q36" s="1263" t="str">
        <f t="shared" si="11"/>
        <v>内部装修</v>
      </c>
      <c r="R36" s="667" t="s">
        <v>14</v>
      </c>
      <c r="S36" s="668">
        <f t="shared" si="12"/>
        <v>100</v>
      </c>
      <c r="T36" s="667" t="s">
        <v>14</v>
      </c>
      <c r="U36" s="668">
        <f t="shared" si="13"/>
        <v>100</v>
      </c>
      <c r="V36" s="667" t="s">
        <v>14</v>
      </c>
      <c r="W36" s="668">
        <f t="shared" si="14"/>
        <v>100</v>
      </c>
      <c r="X36" s="1265"/>
      <c r="Y36" s="3321"/>
      <c r="Z36" s="1264" t="str">
        <f t="shared" si="15"/>
        <v>内部装修</v>
      </c>
      <c r="AA36" s="1264">
        <f t="shared" si="3"/>
        <v>1</v>
      </c>
      <c r="AB36" s="1264">
        <f t="shared" si="4"/>
        <v>1</v>
      </c>
      <c r="AC36" s="1264">
        <f t="shared" si="5"/>
        <v>1</v>
      </c>
    </row>
    <row r="37" spans="1:29" ht="15">
      <c r="A37" s="409"/>
      <c r="B37" s="364" t="s">
        <v>1824</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21"/>
      <c r="Q37" s="1263" t="str">
        <f t="shared" si="11"/>
        <v>内部装修状况</v>
      </c>
      <c r="R37" s="667" t="s">
        <v>14</v>
      </c>
      <c r="S37" s="668">
        <f t="shared" si="12"/>
        <v>100</v>
      </c>
      <c r="T37" s="667" t="s">
        <v>14</v>
      </c>
      <c r="U37" s="668">
        <f t="shared" si="13"/>
        <v>100</v>
      </c>
      <c r="V37" s="667" t="s">
        <v>14</v>
      </c>
      <c r="W37" s="668">
        <f t="shared" si="14"/>
        <v>100</v>
      </c>
      <c r="X37" s="1265"/>
      <c r="Y37" s="332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21"/>
      <c r="Q38" s="531">
        <f t="shared" si="11"/>
        <v>111</v>
      </c>
      <c r="R38" s="669" t="s">
        <v>14</v>
      </c>
      <c r="S38" s="670">
        <f t="shared" si="12"/>
        <v>100</v>
      </c>
      <c r="T38" s="669" t="s">
        <v>14</v>
      </c>
      <c r="U38" s="670">
        <f t="shared" si="13"/>
        <v>100</v>
      </c>
      <c r="V38" s="669" t="s">
        <v>14</v>
      </c>
      <c r="W38" s="670">
        <f t="shared" si="14"/>
        <v>100</v>
      </c>
      <c r="X38" s="671"/>
      <c r="Y38" s="332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21"/>
      <c r="Q39" s="1263">
        <f t="shared" si="11"/>
        <v>111</v>
      </c>
      <c r="R39" s="667" t="s">
        <v>14</v>
      </c>
      <c r="S39" s="668">
        <f t="shared" si="12"/>
        <v>100</v>
      </c>
      <c r="T39" s="667" t="s">
        <v>14</v>
      </c>
      <c r="U39" s="668">
        <f t="shared" si="13"/>
        <v>100</v>
      </c>
      <c r="V39" s="667" t="s">
        <v>14</v>
      </c>
      <c r="W39" s="668">
        <f t="shared" si="14"/>
        <v>100</v>
      </c>
      <c r="X39" s="1265"/>
      <c r="Y39" s="332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0"/>
      <c r="Q40" s="1263">
        <f t="shared" si="11"/>
        <v>111</v>
      </c>
      <c r="R40" s="667" t="s">
        <v>14</v>
      </c>
      <c r="S40" s="668">
        <f t="shared" si="12"/>
        <v>100</v>
      </c>
      <c r="T40" s="667" t="s">
        <v>14</v>
      </c>
      <c r="U40" s="668">
        <f t="shared" si="13"/>
        <v>100</v>
      </c>
      <c r="V40" s="667" t="s">
        <v>14</v>
      </c>
      <c r="W40" s="668">
        <f t="shared" si="14"/>
        <v>100</v>
      </c>
      <c r="X40" s="1265"/>
      <c r="Y40" s="3430"/>
      <c r="Z40" s="1264">
        <f t="shared" si="15"/>
        <v>111</v>
      </c>
      <c r="AA40" s="1264">
        <f t="shared" si="3"/>
        <v>1</v>
      </c>
      <c r="AB40" s="1264">
        <f t="shared" si="4"/>
        <v>1</v>
      </c>
      <c r="AC40" s="1264">
        <f t="shared" si="5"/>
        <v>1</v>
      </c>
    </row>
    <row r="41" spans="1:29" ht="15">
      <c r="A41" s="416" t="s">
        <v>1704</v>
      </c>
      <c r="B41" s="417"/>
      <c r="C41" s="1081" t="s">
        <v>0</v>
      </c>
      <c r="D41" s="418"/>
      <c r="E41" s="419"/>
      <c r="F41" s="420"/>
      <c r="G41" s="421"/>
      <c r="H41" s="422"/>
      <c r="I41" s="419"/>
      <c r="J41" s="422"/>
      <c r="K41" s="674"/>
      <c r="L41" s="873"/>
      <c r="M41" s="861"/>
      <c r="N41" s="861"/>
      <c r="O41" s="861"/>
      <c r="P41" s="3302" t="str">
        <f>A41</f>
        <v>成交单价（元/平方米）</v>
      </c>
      <c r="Q41" s="3302"/>
      <c r="R41" s="3316">
        <f>E41</f>
        <v>0</v>
      </c>
      <c r="S41" s="3316"/>
      <c r="T41" s="3316">
        <f>G41</f>
        <v>0</v>
      </c>
      <c r="U41" s="3316"/>
      <c r="V41" s="3316">
        <f>I41</f>
        <v>0</v>
      </c>
      <c r="W41" s="3316"/>
      <c r="X41" s="385"/>
      <c r="Y41" s="673"/>
      <c r="Z41" s="385"/>
      <c r="AA41" s="385"/>
      <c r="AB41" s="385"/>
      <c r="AC41" s="385"/>
    </row>
    <row r="42" spans="1:29" ht="15.75" thickBot="1">
      <c r="A42" s="423" t="s">
        <v>1789</v>
      </c>
      <c r="B42" s="424"/>
      <c r="C42" s="1082" t="e">
        <f>R43</f>
        <v>#DIV/0!</v>
      </c>
      <c r="D42" s="2141" t="s">
        <v>2132</v>
      </c>
      <c r="E42" s="1083" t="e">
        <f>R42</f>
        <v>#DIV/0!</v>
      </c>
      <c r="F42" s="2142"/>
      <c r="G42" s="1082" t="e">
        <f>T42</f>
        <v>#DIV/0!</v>
      </c>
      <c r="H42" s="2142"/>
      <c r="I42" s="1083" t="e">
        <f>V42</f>
        <v>#DIV/0!</v>
      </c>
      <c r="J42" s="2142"/>
      <c r="K42" s="2144">
        <f>F42+H42+J42</f>
        <v>0</v>
      </c>
      <c r="L42" s="873"/>
      <c r="M42" s="861"/>
      <c r="N42" s="861"/>
      <c r="O42" s="861"/>
      <c r="P42" s="3302" t="str">
        <f>A42</f>
        <v>比较价值（元/平方米）</v>
      </c>
      <c r="Q42" s="3302"/>
      <c r="R42" s="3316" t="e">
        <f>IF(F1="售价",ROUND(PRODUCT(R41,AA7:AA40),0),ROUND(PRODUCT(R41,AA7:AA40),1))</f>
        <v>#DIV/0!</v>
      </c>
      <c r="S42" s="3316"/>
      <c r="T42" s="3316" t="e">
        <f>IF(F1="售价",ROUND(PRODUCT(T41,AB7:AB40),0),ROUND(PRODUCT(T41,AB7:AB40),1))</f>
        <v>#DIV/0!</v>
      </c>
      <c r="U42" s="3316"/>
      <c r="V42" s="3316" t="e">
        <f>IF(F1="售价",ROUND(PRODUCT(V41,AC7:AC40),0),ROUND(PRODUCT(V41,AC7:AC40),1))</f>
        <v>#DIV/0!</v>
      </c>
      <c r="W42" s="3316"/>
      <c r="X42" s="385"/>
      <c r="Y42" s="385"/>
      <c r="Z42" s="385"/>
      <c r="AA42" s="385"/>
      <c r="AB42" s="385"/>
      <c r="AC42" s="385"/>
    </row>
    <row r="43" spans="1:29" ht="15.75" thickBot="1">
      <c r="A43" s="427" t="s">
        <v>1790</v>
      </c>
      <c r="B43" s="428"/>
      <c r="C43" s="351" t="e">
        <f>R43</f>
        <v>#DIV/0!</v>
      </c>
      <c r="D43" s="351"/>
      <c r="E43" s="351"/>
      <c r="F43" s="351"/>
      <c r="G43" s="351"/>
      <c r="H43" s="351"/>
      <c r="I43" s="351"/>
      <c r="J43" s="351"/>
      <c r="K43" s="675"/>
      <c r="L43" s="873"/>
      <c r="M43" s="861"/>
      <c r="N43" s="861"/>
      <c r="O43" s="861"/>
      <c r="P43" s="3323" t="str">
        <f>A43</f>
        <v>估价对象XX用房的比较价值（楼面单价，元/平方米）</v>
      </c>
      <c r="Q43" s="3324"/>
      <c r="R43" s="3426" t="e">
        <f>IF(F1="售价",ROUND(IF(D42="简单平均",AVERAGE(R42:V42),R42*F42+T42*H42+V42*J42),0),ROUND(IF(D42="简单平均",AVERAGE(R42:V42),R42*F42+T42*H42+V42*J42),1))</f>
        <v>#DIV/0!</v>
      </c>
      <c r="S43" s="3426"/>
      <c r="T43" s="3426"/>
      <c r="U43" s="3426"/>
      <c r="V43" s="3426"/>
      <c r="W43" s="342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1794</v>
      </c>
      <c r="B51" s="385"/>
      <c r="C51" s="659"/>
      <c r="D51" s="659"/>
      <c r="E51" s="659"/>
      <c r="F51" s="660"/>
      <c r="G51" s="660"/>
      <c r="H51" s="659"/>
      <c r="I51" s="659"/>
      <c r="J51" s="659"/>
      <c r="K51" s="887"/>
      <c r="L51" s="888"/>
      <c r="M51" s="886"/>
      <c r="N51" s="886"/>
      <c r="O51" s="886"/>
      <c r="P51" s="438"/>
      <c r="Q51" s="439"/>
    </row>
    <row r="52" spans="1:17" s="442" customFormat="1" ht="15">
      <c r="A52" s="440" t="s">
        <v>1675</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1712</v>
      </c>
      <c r="B54" s="450"/>
      <c r="C54" s="451"/>
      <c r="D54" s="452"/>
      <c r="E54" s="452"/>
      <c r="F54" s="452"/>
      <c r="G54" s="452"/>
      <c r="H54" s="452"/>
      <c r="I54" s="452"/>
      <c r="J54" s="452"/>
      <c r="K54" s="452"/>
      <c r="L54" s="452"/>
      <c r="M54" s="453"/>
      <c r="N54" s="2539"/>
      <c r="O54" s="2540"/>
      <c r="P54" s="439"/>
      <c r="Q54" s="439"/>
    </row>
    <row r="55" spans="1:17" s="102" customFormat="1" ht="15">
      <c r="A55" s="455" t="s">
        <v>1677</v>
      </c>
      <c r="B55" s="444"/>
      <c r="C55" s="456" t="s">
        <v>1772</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1715</v>
      </c>
      <c r="B57" s="460" t="s">
        <v>1681</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1684</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1685</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1686</v>
      </c>
      <c r="B70" s="460" t="s">
        <v>1825</v>
      </c>
      <c r="C70" s="504" t="s">
        <v>1717</v>
      </c>
      <c r="D70" s="504" t="s">
        <v>1718</v>
      </c>
      <c r="E70" s="504" t="s">
        <v>1719</v>
      </c>
      <c r="F70" s="504" t="s">
        <v>1720</v>
      </c>
      <c r="G70" s="504" t="s">
        <v>1721</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1722</v>
      </c>
      <c r="C72" s="509" t="s">
        <v>1717</v>
      </c>
      <c r="D72" s="509" t="s">
        <v>1718</v>
      </c>
      <c r="E72" s="509" t="s">
        <v>1719</v>
      </c>
      <c r="F72" s="509" t="s">
        <v>1720</v>
      </c>
      <c r="G72" s="509" t="s">
        <v>1721</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1723</v>
      </c>
      <c r="C74" s="509" t="s">
        <v>1717</v>
      </c>
      <c r="D74" s="509" t="s">
        <v>1718</v>
      </c>
      <c r="E74" s="509" t="s">
        <v>1719</v>
      </c>
      <c r="F74" s="509" t="s">
        <v>1720</v>
      </c>
      <c r="G74" s="509" t="s">
        <v>1721</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1809</v>
      </c>
      <c r="C76" s="581" t="s">
        <v>1795</v>
      </c>
      <c r="D76" s="581" t="s">
        <v>1796</v>
      </c>
      <c r="E76" s="581" t="s">
        <v>1797</v>
      </c>
      <c r="F76" s="581" t="s">
        <v>1798</v>
      </c>
      <c r="G76" s="581" t="s">
        <v>1799</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1818</v>
      </c>
      <c r="C78" s="509" t="s">
        <v>1717</v>
      </c>
      <c r="D78" s="509" t="s">
        <v>1718</v>
      </c>
      <c r="E78" s="509" t="s">
        <v>1719</v>
      </c>
      <c r="F78" s="509" t="s">
        <v>1720</v>
      </c>
      <c r="G78" s="509" t="s">
        <v>1721</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1690</v>
      </c>
      <c r="B88" s="460" t="s">
        <v>1732</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1733</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1734</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1736</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1186</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1737</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1738</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1740</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1826</v>
      </c>
      <c r="C106" s="509" t="s">
        <v>1717</v>
      </c>
      <c r="D106" s="509" t="s">
        <v>1718</v>
      </c>
      <c r="E106" s="509" t="s">
        <v>1719</v>
      </c>
      <c r="F106" s="509" t="s">
        <v>1720</v>
      </c>
      <c r="G106" s="509" t="s">
        <v>1721</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4" priority="16" stopIfTrue="1">
      <formula>$F$46="超过30%"</formula>
    </cfRule>
  </conditionalFormatting>
  <conditionalFormatting sqref="E47">
    <cfRule type="expression" dxfId="63" priority="15" stopIfTrue="1">
      <formula>$F$47="超过20%"</formula>
    </cfRule>
  </conditionalFormatting>
  <conditionalFormatting sqref="E48">
    <cfRule type="expression" dxfId="62" priority="14" stopIfTrue="1">
      <formula>$F$48="超过30%"</formula>
    </cfRule>
  </conditionalFormatting>
  <conditionalFormatting sqref="F7:F40 H7:H40 J7:J40">
    <cfRule type="cellIs" dxfId="61" priority="1" operator="notEqual">
      <formula>100</formula>
    </cfRule>
  </conditionalFormatting>
  <conditionalFormatting sqref="F42">
    <cfRule type="expression" dxfId="60" priority="4">
      <formula>$D$42="简单平均"</formula>
    </cfRule>
  </conditionalFormatting>
  <conditionalFormatting sqref="F46:F48 H46:H48">
    <cfRule type="containsText" dxfId="59" priority="17" stopIfTrue="1" operator="containsText" text="超过">
      <formula>NOT(ISERROR(SEARCH("超过",F46)))</formula>
    </cfRule>
  </conditionalFormatting>
  <conditionalFormatting sqref="G46">
    <cfRule type="expression" dxfId="58" priority="12" stopIfTrue="1">
      <formula>$H$46="超过30%"</formula>
    </cfRule>
  </conditionalFormatting>
  <conditionalFormatting sqref="G47">
    <cfRule type="expression" dxfId="57" priority="11" stopIfTrue="1">
      <formula>$H$47="超过20%"</formula>
    </cfRule>
  </conditionalFormatting>
  <conditionalFormatting sqref="G48">
    <cfRule type="expression" dxfId="56" priority="13" stopIfTrue="1">
      <formula>$H$48="超过30%"</formula>
    </cfRule>
  </conditionalFormatting>
  <conditionalFormatting sqref="H42">
    <cfRule type="expression" dxfId="55" priority="3">
      <formula>$D$42="简单平均"</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2">
    <cfRule type="expression" dxfId="51" priority="2">
      <formula>$D$42="简单平均"</formula>
    </cfRule>
  </conditionalFormatting>
  <conditionalFormatting sqref="J46:J48">
    <cfRule type="containsText" dxfId="50"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1827</v>
      </c>
      <c r="B1" s="1140" t="s">
        <v>3316</v>
      </c>
      <c r="C1" s="1141" t="s">
        <v>1658</v>
      </c>
      <c r="D1" s="1142"/>
      <c r="E1" s="3132"/>
      <c r="F1" s="1735"/>
      <c r="G1" s="1144" t="s">
        <v>1763</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1459</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1460</v>
      </c>
      <c r="B3" s="536" t="e">
        <f>IF(AND(C2="——",B37="元/平方米"),C39,ROUND(B2*10000/D3,0))</f>
        <v>#DIV/0!</v>
      </c>
      <c r="C3" s="344" t="s">
        <v>1764</v>
      </c>
      <c r="D3" s="343">
        <f>SUMIF('数据-汇总表'!$C19:$C33,D1,'数据-汇总表'!$E19:$E33)</f>
        <v>0</v>
      </c>
      <c r="E3" s="344" t="s">
        <v>1828</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1765</v>
      </c>
      <c r="B4" s="346"/>
      <c r="C4" s="3304" t="s">
        <v>1766</v>
      </c>
      <c r="D4" s="3305"/>
      <c r="E4" s="3306" t="s">
        <v>1767</v>
      </c>
      <c r="F4" s="3307"/>
      <c r="G4" s="3304" t="s">
        <v>1768</v>
      </c>
      <c r="H4" s="3305"/>
      <c r="I4" s="3304" t="s">
        <v>1769</v>
      </c>
      <c r="J4" s="3305"/>
      <c r="K4" s="537" t="s">
        <v>1770</v>
      </c>
      <c r="L4" s="2487"/>
      <c r="M4" s="2488"/>
      <c r="N4" s="2488"/>
      <c r="O4" s="2488"/>
      <c r="P4" s="3308" t="s">
        <v>1771</v>
      </c>
      <c r="Q4" s="3309"/>
      <c r="R4" s="3290" t="s">
        <v>1767</v>
      </c>
      <c r="S4" s="3291"/>
      <c r="T4" s="3290" t="s">
        <v>1768</v>
      </c>
      <c r="U4" s="3291"/>
      <c r="V4" s="3316" t="s">
        <v>1769</v>
      </c>
      <c r="W4" s="3316"/>
      <c r="X4" s="1265"/>
      <c r="Y4" s="3290" t="s">
        <v>1771</v>
      </c>
      <c r="Z4" s="3291"/>
      <c r="AA4" s="3285" t="s">
        <v>1767</v>
      </c>
      <c r="AB4" s="3286" t="s">
        <v>1768</v>
      </c>
      <c r="AC4" s="3285" t="s">
        <v>1769</v>
      </c>
    </row>
    <row r="5" spans="1:29" ht="15">
      <c r="A5" s="348"/>
      <c r="B5" s="349"/>
      <c r="C5" s="3296" t="s">
        <v>1669</v>
      </c>
      <c r="D5" s="3297"/>
      <c r="E5" s="3294" t="s">
        <v>1670</v>
      </c>
      <c r="F5" s="3295"/>
      <c r="G5" s="3296" t="s">
        <v>1671</v>
      </c>
      <c r="H5" s="3297"/>
      <c r="I5" s="3296" t="s">
        <v>1672</v>
      </c>
      <c r="J5" s="3297"/>
      <c r="K5" s="537"/>
      <c r="L5" s="2487"/>
      <c r="M5" s="2488"/>
      <c r="N5" s="2488"/>
      <c r="O5" s="2488"/>
      <c r="P5" s="3310"/>
      <c r="Q5" s="3311"/>
      <c r="R5" s="3292"/>
      <c r="S5" s="3293"/>
      <c r="T5" s="3292"/>
      <c r="U5" s="3293"/>
      <c r="V5" s="3316"/>
      <c r="W5" s="3316"/>
      <c r="X5" s="1265"/>
      <c r="Y5" s="3292"/>
      <c r="Z5" s="3293"/>
      <c r="AA5" s="3286"/>
      <c r="AB5" s="3286"/>
      <c r="AC5" s="3286"/>
    </row>
    <row r="6" spans="1:29" ht="15.75" thickBot="1">
      <c r="A6" s="350"/>
      <c r="B6" s="351"/>
      <c r="C6" s="3298" t="s">
        <v>1673</v>
      </c>
      <c r="D6" s="3299"/>
      <c r="E6" s="3300" t="s">
        <v>1673</v>
      </c>
      <c r="F6" s="3301"/>
      <c r="G6" s="3298" t="s">
        <v>1673</v>
      </c>
      <c r="H6" s="3299"/>
      <c r="I6" s="3298" t="s">
        <v>1673</v>
      </c>
      <c r="J6" s="3299"/>
      <c r="K6" s="537" t="s">
        <v>1674</v>
      </c>
      <c r="L6" s="2487"/>
      <c r="M6" s="2488"/>
      <c r="N6" s="2488"/>
      <c r="O6" s="2488"/>
      <c r="P6" s="3312"/>
      <c r="Q6" s="3313"/>
      <c r="R6" s="3292"/>
      <c r="S6" s="3293"/>
      <c r="T6" s="3314"/>
      <c r="U6" s="3315"/>
      <c r="V6" s="3316"/>
      <c r="W6" s="3316"/>
      <c r="X6" s="1265"/>
      <c r="Y6" s="3314"/>
      <c r="Z6" s="3315"/>
      <c r="AA6" s="3287"/>
      <c r="AB6" s="3287"/>
      <c r="AC6" s="3287"/>
    </row>
    <row r="7" spans="1:29" s="102" customFormat="1" ht="15.75" thickBot="1">
      <c r="A7" s="352" t="s">
        <v>1675</v>
      </c>
      <c r="B7" s="353"/>
      <c r="C7" s="354">
        <f>'数据-取费表'!B2</f>
        <v>46014</v>
      </c>
      <c r="D7" s="355">
        <v>100</v>
      </c>
      <c r="E7" s="356"/>
      <c r="F7" s="357">
        <f>SUMIF(48:48,YEAR(E7)&amp;"-"&amp;MONTH(E7),49:49)</f>
        <v>0</v>
      </c>
      <c r="G7" s="356"/>
      <c r="H7" s="355">
        <f>SUMIF(48:48,YEAR(G7)&amp;"-"&amp;MONTH(G7),49:49)</f>
        <v>0</v>
      </c>
      <c r="I7" s="356"/>
      <c r="J7" s="355">
        <f>SUMIF(48:48,YEAR(I7)&amp;"-"&amp;MONTH(I7),49:49)</f>
        <v>0</v>
      </c>
      <c r="K7" s="38"/>
      <c r="L7" s="2489"/>
      <c r="M7" s="2440"/>
      <c r="N7" s="2440"/>
      <c r="O7" s="2440"/>
      <c r="P7" s="3288" t="s">
        <v>1676</v>
      </c>
      <c r="Q7" s="3317"/>
      <c r="R7" s="664" t="s">
        <v>14</v>
      </c>
      <c r="S7" s="665">
        <f t="shared" ref="S7:S14" si="0">F7</f>
        <v>0</v>
      </c>
      <c r="T7" s="664" t="s">
        <v>14</v>
      </c>
      <c r="U7" s="665">
        <f t="shared" ref="U7:U14" si="1">H7</f>
        <v>0</v>
      </c>
      <c r="V7" s="664" t="s">
        <v>14</v>
      </c>
      <c r="W7" s="665">
        <f t="shared" ref="W7:W14" si="2">J7</f>
        <v>0</v>
      </c>
      <c r="X7" s="666"/>
      <c r="Y7" s="3288" t="s">
        <v>1676</v>
      </c>
      <c r="Z7" s="3289"/>
      <c r="AA7" s="50" t="e">
        <f>D7/F7</f>
        <v>#DIV/0!</v>
      </c>
      <c r="AB7" s="50" t="e">
        <f>D7/H7</f>
        <v>#DIV/0!</v>
      </c>
      <c r="AC7" s="50" t="e">
        <f>D7/J7</f>
        <v>#DIV/0!</v>
      </c>
    </row>
    <row r="8" spans="1:29" s="102" customFormat="1" ht="15.75" thickBot="1">
      <c r="A8" s="352" t="s">
        <v>1677</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288" t="s">
        <v>1679</v>
      </c>
      <c r="Q8" s="3289"/>
      <c r="R8" s="664" t="s">
        <v>14</v>
      </c>
      <c r="S8" s="665">
        <f t="shared" si="0"/>
        <v>100</v>
      </c>
      <c r="T8" s="664" t="s">
        <v>14</v>
      </c>
      <c r="U8" s="665">
        <f t="shared" si="1"/>
        <v>100</v>
      </c>
      <c r="V8" s="664" t="s">
        <v>14</v>
      </c>
      <c r="W8" s="665">
        <f t="shared" si="2"/>
        <v>100</v>
      </c>
      <c r="X8" s="666"/>
      <c r="Y8" s="3288" t="s">
        <v>1679</v>
      </c>
      <c r="Z8" s="3289"/>
      <c r="AA8" s="50">
        <f t="shared" ref="AA8:AA36" si="3">D8/F8</f>
        <v>1</v>
      </c>
      <c r="AB8" s="50">
        <f t="shared" ref="AB8:AB36" si="4">D8/H8</f>
        <v>1</v>
      </c>
      <c r="AC8" s="50">
        <f t="shared" ref="AC8:AC36" si="5">D8/J8</f>
        <v>1</v>
      </c>
    </row>
    <row r="9" spans="1:29" s="102" customFormat="1">
      <c r="A9" s="57" t="s">
        <v>1680</v>
      </c>
      <c r="B9" s="564" t="s">
        <v>1681</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02" t="s">
        <v>1682</v>
      </c>
      <c r="Q9" s="530" t="str">
        <f t="shared" ref="Q9:Q14" si="6">B9</f>
        <v>用途</v>
      </c>
      <c r="R9" s="664" t="s">
        <v>14</v>
      </c>
      <c r="S9" s="665">
        <f t="shared" si="0"/>
        <v>100</v>
      </c>
      <c r="T9" s="664" t="s">
        <v>14</v>
      </c>
      <c r="U9" s="665">
        <f t="shared" si="1"/>
        <v>100</v>
      </c>
      <c r="V9" s="664" t="s">
        <v>14</v>
      </c>
      <c r="W9" s="665">
        <f t="shared" si="2"/>
        <v>100</v>
      </c>
      <c r="X9" s="666"/>
      <c r="Y9" s="3303" t="s">
        <v>1683</v>
      </c>
      <c r="Z9" s="50" t="str">
        <f t="shared" ref="Z9:Z14" si="7">Q9</f>
        <v>用途</v>
      </c>
      <c r="AA9" s="50">
        <f t="shared" si="3"/>
        <v>1</v>
      </c>
      <c r="AB9" s="50">
        <f t="shared" si="4"/>
        <v>1</v>
      </c>
      <c r="AC9" s="50">
        <f t="shared" si="5"/>
        <v>1</v>
      </c>
    </row>
    <row r="10" spans="1:29" s="366" customFormat="1" ht="27">
      <c r="A10" s="565"/>
      <c r="B10" s="566" t="s">
        <v>1684</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02"/>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02"/>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02"/>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02"/>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
      <c r="A14" s="345" t="s">
        <v>1686</v>
      </c>
      <c r="B14" s="554" t="s">
        <v>1829</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18" t="s">
        <v>1687</v>
      </c>
      <c r="Q14" s="1263" t="str">
        <f t="shared" si="6"/>
        <v>交通便捷度</v>
      </c>
      <c r="R14" s="667" t="s">
        <v>14</v>
      </c>
      <c r="S14" s="668">
        <f t="shared" si="0"/>
        <v>100</v>
      </c>
      <c r="T14" s="667" t="s">
        <v>14</v>
      </c>
      <c r="U14" s="668">
        <f t="shared" si="1"/>
        <v>100</v>
      </c>
      <c r="V14" s="667" t="s">
        <v>14</v>
      </c>
      <c r="W14" s="668">
        <f t="shared" si="2"/>
        <v>100</v>
      </c>
      <c r="X14" s="1265"/>
      <c r="Y14" s="3318" t="s">
        <v>1687</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19"/>
      <c r="Q15" s="1263"/>
      <c r="R15" s="667"/>
      <c r="S15" s="668"/>
      <c r="T15" s="667"/>
      <c r="U15" s="668"/>
      <c r="V15" s="667"/>
      <c r="W15" s="668"/>
      <c r="X15" s="1265"/>
      <c r="Y15" s="3319"/>
      <c r="Z15" s="1264"/>
      <c r="AA15" s="1264">
        <v>1</v>
      </c>
      <c r="AB15" s="1264">
        <v>1</v>
      </c>
      <c r="AC15" s="1264">
        <v>1</v>
      </c>
    </row>
    <row r="16" spans="1:29" ht="15">
      <c r="A16" s="348"/>
      <c r="B16" s="556" t="s">
        <v>1808</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19"/>
      <c r="Q16" s="1263" t="str">
        <f>B16</f>
        <v>公共配套设施</v>
      </c>
      <c r="R16" s="667" t="s">
        <v>14</v>
      </c>
      <c r="S16" s="668">
        <f>F16</f>
        <v>100</v>
      </c>
      <c r="T16" s="667" t="s">
        <v>14</v>
      </c>
      <c r="U16" s="668">
        <f>H16</f>
        <v>100</v>
      </c>
      <c r="V16" s="667" t="s">
        <v>14</v>
      </c>
      <c r="W16" s="668">
        <f>J16</f>
        <v>100</v>
      </c>
      <c r="X16" s="1265"/>
      <c r="Y16" s="331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19"/>
      <c r="Q17" s="1263"/>
      <c r="R17" s="667"/>
      <c r="S17" s="668"/>
      <c r="T17" s="667"/>
      <c r="U17" s="668"/>
      <c r="V17" s="667"/>
      <c r="W17" s="668"/>
      <c r="X17" s="1265"/>
      <c r="Y17" s="3319"/>
      <c r="Z17" s="1264"/>
      <c r="AA17" s="1264">
        <v>1</v>
      </c>
      <c r="AB17" s="1264">
        <v>1</v>
      </c>
      <c r="AC17" s="1264">
        <v>1</v>
      </c>
    </row>
    <row r="18" spans="1:29" ht="15">
      <c r="A18" s="348"/>
      <c r="B18" s="557" t="s">
        <v>1809</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19"/>
      <c r="Q18" s="1263" t="str">
        <f>B18</f>
        <v>基础设施水平</v>
      </c>
      <c r="R18" s="667" t="s">
        <v>14</v>
      </c>
      <c r="S18" s="668">
        <f>F18</f>
        <v>100</v>
      </c>
      <c r="T18" s="667" t="s">
        <v>14</v>
      </c>
      <c r="U18" s="668">
        <f>H18</f>
        <v>100</v>
      </c>
      <c r="V18" s="667" t="s">
        <v>14</v>
      </c>
      <c r="W18" s="668">
        <f>J18</f>
        <v>100</v>
      </c>
      <c r="X18" s="1265"/>
      <c r="Y18" s="331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19"/>
      <c r="Q19" s="1263"/>
      <c r="R19" s="667"/>
      <c r="S19" s="668"/>
      <c r="T19" s="667"/>
      <c r="U19" s="668"/>
      <c r="V19" s="667"/>
      <c r="W19" s="668"/>
      <c r="X19" s="1265"/>
      <c r="Y19" s="3319"/>
      <c r="Z19" s="1264"/>
      <c r="AA19" s="1264">
        <v>1</v>
      </c>
      <c r="AB19" s="1264">
        <v>1</v>
      </c>
      <c r="AC19" s="1264">
        <v>1</v>
      </c>
    </row>
    <row r="20" spans="1:29" ht="15">
      <c r="A20" s="348"/>
      <c r="B20" s="556" t="s">
        <v>1830</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19"/>
      <c r="Q20" s="1263" t="str">
        <f>B20</f>
        <v>自然及人文环境</v>
      </c>
      <c r="R20" s="667" t="s">
        <v>14</v>
      </c>
      <c r="S20" s="668">
        <f>F20</f>
        <v>100</v>
      </c>
      <c r="T20" s="667" t="s">
        <v>14</v>
      </c>
      <c r="U20" s="668">
        <f>H20</f>
        <v>100</v>
      </c>
      <c r="V20" s="667" t="s">
        <v>14</v>
      </c>
      <c r="W20" s="668">
        <f>J20</f>
        <v>100</v>
      </c>
      <c r="X20" s="1265"/>
      <c r="Y20" s="331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19"/>
      <c r="Q21" s="1263"/>
      <c r="R21" s="667"/>
      <c r="S21" s="668"/>
      <c r="T21" s="667"/>
      <c r="U21" s="668"/>
      <c r="V21" s="667"/>
      <c r="W21" s="668"/>
      <c r="X21" s="1265"/>
      <c r="Y21" s="3319"/>
      <c r="Z21" s="1264"/>
      <c r="AA21" s="1264">
        <v>1</v>
      </c>
      <c r="AB21" s="1264">
        <v>1</v>
      </c>
      <c r="AC21" s="1264">
        <v>1</v>
      </c>
    </row>
    <row r="22" spans="1:29" ht="15">
      <c r="A22" s="348"/>
      <c r="B22" s="556" t="s">
        <v>1831</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19"/>
      <c r="Q22" s="1263" t="str">
        <f>B22</f>
        <v>楼层</v>
      </c>
      <c r="R22" s="667" t="s">
        <v>14</v>
      </c>
      <c r="S22" s="668">
        <f>F22</f>
        <v>100</v>
      </c>
      <c r="T22" s="667" t="s">
        <v>14</v>
      </c>
      <c r="U22" s="668">
        <f>H22</f>
        <v>100</v>
      </c>
      <c r="V22" s="667" t="s">
        <v>14</v>
      </c>
      <c r="W22" s="668">
        <f>J22</f>
        <v>100</v>
      </c>
      <c r="X22" s="1265"/>
      <c r="Y22" s="331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19"/>
      <c r="Q23" s="1263">
        <f>B23</f>
        <v>111</v>
      </c>
      <c r="R23" s="667" t="s">
        <v>14</v>
      </c>
      <c r="S23" s="668">
        <f>F23</f>
        <v>100</v>
      </c>
      <c r="T23" s="667" t="s">
        <v>14</v>
      </c>
      <c r="U23" s="668">
        <f>H23</f>
        <v>100</v>
      </c>
      <c r="V23" s="667" t="s">
        <v>14</v>
      </c>
      <c r="W23" s="668">
        <f>J23</f>
        <v>100</v>
      </c>
      <c r="X23" s="1265"/>
      <c r="Y23" s="331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19"/>
      <c r="Q24" s="1263">
        <f t="shared" ref="Q24:Q36" si="11">B24</f>
        <v>111</v>
      </c>
      <c r="R24" s="667" t="s">
        <v>14</v>
      </c>
      <c r="S24" s="668">
        <f>F24</f>
        <v>100</v>
      </c>
      <c r="T24" s="667" t="s">
        <v>14</v>
      </c>
      <c r="U24" s="668">
        <f>H24</f>
        <v>100</v>
      </c>
      <c r="V24" s="667" t="s">
        <v>14</v>
      </c>
      <c r="W24" s="668">
        <f>J24</f>
        <v>100</v>
      </c>
      <c r="X24" s="1265"/>
      <c r="Y24" s="331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19"/>
      <c r="Q25" s="530">
        <f t="shared" si="11"/>
        <v>111</v>
      </c>
      <c r="R25" s="664" t="s">
        <v>14</v>
      </c>
      <c r="S25" s="665">
        <f>F25</f>
        <v>100</v>
      </c>
      <c r="T25" s="664" t="s">
        <v>14</v>
      </c>
      <c r="U25" s="665">
        <f>H25</f>
        <v>100</v>
      </c>
      <c r="V25" s="664" t="s">
        <v>14</v>
      </c>
      <c r="W25" s="665">
        <f>J25</f>
        <v>100</v>
      </c>
      <c r="X25" s="666"/>
      <c r="Y25" s="3319"/>
      <c r="Z25" s="50">
        <f>Q25</f>
        <v>111</v>
      </c>
      <c r="AA25" s="1264">
        <f>D25/F25</f>
        <v>1</v>
      </c>
      <c r="AB25" s="1264">
        <f>D25/H25</f>
        <v>1</v>
      </c>
      <c r="AC25" s="1264">
        <f>D25/J25</f>
        <v>1</v>
      </c>
    </row>
    <row r="26" spans="1:29" ht="28.5">
      <c r="A26" s="574" t="s">
        <v>1690</v>
      </c>
      <c r="B26" s="59" t="s">
        <v>1832</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20" t="s">
        <v>1692</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21" t="s">
        <v>1692</v>
      </c>
      <c r="Z26" s="1264" t="str">
        <f t="shared" ref="Z26:Z36" si="15">Q26</f>
        <v>配套类型</v>
      </c>
      <c r="AA26" s="1264" t="e">
        <f t="shared" si="3"/>
        <v>#DIV/0!</v>
      </c>
      <c r="AB26" s="1264" t="e">
        <f t="shared" si="4"/>
        <v>#DIV/0!</v>
      </c>
      <c r="AC26" s="1264" t="e">
        <f t="shared" si="5"/>
        <v>#DIV/0!</v>
      </c>
    </row>
    <row r="27" spans="1:29" s="408" customFormat="1" ht="15">
      <c r="A27" s="575"/>
      <c r="B27" s="119" t="s">
        <v>1833</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21"/>
      <c r="Q27" s="531" t="str">
        <f t="shared" si="11"/>
        <v>项目停车位配比</v>
      </c>
      <c r="R27" s="669" t="s">
        <v>14</v>
      </c>
      <c r="S27" s="670">
        <f t="shared" si="12"/>
        <v>100</v>
      </c>
      <c r="T27" s="669" t="s">
        <v>14</v>
      </c>
      <c r="U27" s="670">
        <f t="shared" si="13"/>
        <v>100</v>
      </c>
      <c r="V27" s="669" t="s">
        <v>14</v>
      </c>
      <c r="W27" s="670">
        <f t="shared" si="14"/>
        <v>100</v>
      </c>
      <c r="X27" s="671"/>
      <c r="Y27" s="3321"/>
      <c r="Z27" s="672" t="str">
        <f t="shared" si="15"/>
        <v>项目停车位配比</v>
      </c>
      <c r="AA27" s="1264">
        <f t="shared" si="3"/>
        <v>1</v>
      </c>
      <c r="AB27" s="1264">
        <f t="shared" si="4"/>
        <v>1</v>
      </c>
      <c r="AC27" s="1264">
        <f t="shared" si="5"/>
        <v>1</v>
      </c>
    </row>
    <row r="28" spans="1:29" ht="15">
      <c r="A28" s="577"/>
      <c r="B28" s="119" t="s">
        <v>1834</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21"/>
      <c r="Q28" s="1263" t="str">
        <f t="shared" si="11"/>
        <v>公共部分装修</v>
      </c>
      <c r="R28" s="667" t="s">
        <v>14</v>
      </c>
      <c r="S28" s="668">
        <f t="shared" si="12"/>
        <v>100</v>
      </c>
      <c r="T28" s="667" t="s">
        <v>14</v>
      </c>
      <c r="U28" s="668">
        <f t="shared" si="13"/>
        <v>100</v>
      </c>
      <c r="V28" s="667" t="s">
        <v>14</v>
      </c>
      <c r="W28" s="668">
        <f t="shared" si="14"/>
        <v>100</v>
      </c>
      <c r="X28" s="1265"/>
      <c r="Y28" s="3321"/>
      <c r="Z28" s="1264" t="str">
        <f t="shared" si="15"/>
        <v>公共部分装修</v>
      </c>
      <c r="AA28" s="1264">
        <f t="shared" si="3"/>
        <v>1</v>
      </c>
      <c r="AB28" s="1264">
        <f t="shared" si="4"/>
        <v>1</v>
      </c>
      <c r="AC28" s="1264">
        <f t="shared" si="5"/>
        <v>1</v>
      </c>
    </row>
    <row r="29" spans="1:29" ht="15">
      <c r="A29" s="577"/>
      <c r="B29" s="119" t="s">
        <v>1835</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21"/>
      <c r="Q29" s="1263" t="str">
        <f t="shared" si="11"/>
        <v>成新率</v>
      </c>
      <c r="R29" s="667" t="s">
        <v>14</v>
      </c>
      <c r="S29" s="668" t="e">
        <f t="shared" si="12"/>
        <v>#N/A</v>
      </c>
      <c r="T29" s="667" t="s">
        <v>14</v>
      </c>
      <c r="U29" s="668" t="e">
        <f t="shared" si="13"/>
        <v>#N/A</v>
      </c>
      <c r="V29" s="667" t="s">
        <v>14</v>
      </c>
      <c r="W29" s="668" t="e">
        <f t="shared" si="14"/>
        <v>#N/A</v>
      </c>
      <c r="X29" s="1265"/>
      <c r="Y29" s="3321"/>
      <c r="Z29" s="1264" t="str">
        <f t="shared" si="15"/>
        <v>成新率</v>
      </c>
      <c r="AA29" s="1264" t="e">
        <f t="shared" si="3"/>
        <v>#N/A</v>
      </c>
      <c r="AB29" s="1264" t="e">
        <f t="shared" si="4"/>
        <v>#N/A</v>
      </c>
      <c r="AC29" s="1264" t="e">
        <f t="shared" si="5"/>
        <v>#N/A</v>
      </c>
    </row>
    <row r="30" spans="1:29" ht="15">
      <c r="A30" s="577"/>
      <c r="B30" s="119" t="s">
        <v>1836</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21"/>
      <c r="Q30" s="1263" t="str">
        <f t="shared" si="11"/>
        <v>物业等级</v>
      </c>
      <c r="R30" s="667" t="s">
        <v>14</v>
      </c>
      <c r="S30" s="668">
        <f t="shared" si="12"/>
        <v>100</v>
      </c>
      <c r="T30" s="667" t="s">
        <v>14</v>
      </c>
      <c r="U30" s="668">
        <f t="shared" si="13"/>
        <v>100</v>
      </c>
      <c r="V30" s="667" t="s">
        <v>14</v>
      </c>
      <c r="W30" s="668">
        <f t="shared" si="14"/>
        <v>100</v>
      </c>
      <c r="X30" s="1265"/>
      <c r="Y30" s="3321"/>
      <c r="Z30" s="1264" t="str">
        <f t="shared" si="15"/>
        <v>物业等级</v>
      </c>
      <c r="AA30" s="1264">
        <f t="shared" si="3"/>
        <v>1</v>
      </c>
      <c r="AB30" s="1264">
        <f t="shared" si="4"/>
        <v>1</v>
      </c>
      <c r="AC30" s="1264">
        <f t="shared" si="5"/>
        <v>1</v>
      </c>
    </row>
    <row r="31" spans="1:29" s="102" customFormat="1" ht="15">
      <c r="A31" s="579"/>
      <c r="B31" s="119" t="s">
        <v>1837</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21"/>
      <c r="Q31" s="530" t="str">
        <f t="shared" si="11"/>
        <v>停车位面积</v>
      </c>
      <c r="R31" s="664" t="s">
        <v>14</v>
      </c>
      <c r="S31" s="665" t="e">
        <f t="shared" si="12"/>
        <v>#N/A</v>
      </c>
      <c r="T31" s="664" t="s">
        <v>14</v>
      </c>
      <c r="U31" s="665" t="e">
        <f t="shared" si="13"/>
        <v>#N/A</v>
      </c>
      <c r="V31" s="664" t="s">
        <v>14</v>
      </c>
      <c r="W31" s="665" t="e">
        <f t="shared" si="14"/>
        <v>#N/A</v>
      </c>
      <c r="X31" s="666"/>
      <c r="Y31" s="3321"/>
      <c r="Z31" s="50" t="str">
        <f t="shared" si="15"/>
        <v>停车位面积</v>
      </c>
      <c r="AA31" s="50" t="e">
        <f t="shared" si="3"/>
        <v>#N/A</v>
      </c>
      <c r="AB31" s="50" t="e">
        <f t="shared" si="4"/>
        <v>#N/A</v>
      </c>
      <c r="AC31" s="50" t="e">
        <f t="shared" si="5"/>
        <v>#N/A</v>
      </c>
    </row>
    <row r="32" spans="1:29" ht="15">
      <c r="A32" s="577"/>
      <c r="B32" s="119" t="s">
        <v>1838</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21" t="s">
        <v>1692</v>
      </c>
      <c r="Q32" s="1263" t="str">
        <f t="shared" si="11"/>
        <v>车位类型</v>
      </c>
      <c r="R32" s="667" t="s">
        <v>14</v>
      </c>
      <c r="S32" s="668">
        <f t="shared" si="12"/>
        <v>100</v>
      </c>
      <c r="T32" s="667" t="s">
        <v>14</v>
      </c>
      <c r="U32" s="668">
        <f t="shared" si="13"/>
        <v>100</v>
      </c>
      <c r="V32" s="667" t="s">
        <v>14</v>
      </c>
      <c r="W32" s="668">
        <f t="shared" si="14"/>
        <v>100</v>
      </c>
      <c r="X32" s="1265"/>
      <c r="Y32" s="3321" t="s">
        <v>1692</v>
      </c>
      <c r="Z32" s="1264" t="str">
        <f t="shared" si="15"/>
        <v>车位类型</v>
      </c>
      <c r="AA32" s="1264">
        <f t="shared" si="3"/>
        <v>1</v>
      </c>
      <c r="AB32" s="1264">
        <f t="shared" si="4"/>
        <v>1</v>
      </c>
      <c r="AC32" s="1264">
        <f t="shared" si="5"/>
        <v>1</v>
      </c>
    </row>
    <row r="33" spans="1:29" ht="15">
      <c r="A33" s="577"/>
      <c r="B33" s="119" t="s">
        <v>1839</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21"/>
      <c r="Q33" s="1263" t="str">
        <f t="shared" si="11"/>
        <v>是否直接入户</v>
      </c>
      <c r="R33" s="667" t="s">
        <v>14</v>
      </c>
      <c r="S33" s="668">
        <f t="shared" si="12"/>
        <v>100</v>
      </c>
      <c r="T33" s="667" t="s">
        <v>14</v>
      </c>
      <c r="U33" s="668">
        <f t="shared" si="13"/>
        <v>100</v>
      </c>
      <c r="V33" s="667" t="s">
        <v>14</v>
      </c>
      <c r="W33" s="668">
        <f t="shared" si="14"/>
        <v>100</v>
      </c>
      <c r="X33" s="1265"/>
      <c r="Y33" s="332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21"/>
      <c r="Q34" s="1263">
        <f t="shared" si="11"/>
        <v>111</v>
      </c>
      <c r="R34" s="667" t="s">
        <v>14</v>
      </c>
      <c r="S34" s="668">
        <f t="shared" si="12"/>
        <v>100</v>
      </c>
      <c r="T34" s="667" t="s">
        <v>14</v>
      </c>
      <c r="U34" s="668">
        <f t="shared" si="13"/>
        <v>100</v>
      </c>
      <c r="V34" s="667" t="s">
        <v>14</v>
      </c>
      <c r="W34" s="668">
        <f t="shared" si="14"/>
        <v>100</v>
      </c>
      <c r="X34" s="1265"/>
      <c r="Y34" s="332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21"/>
      <c r="Q35" s="531">
        <f t="shared" si="11"/>
        <v>111</v>
      </c>
      <c r="R35" s="669" t="s">
        <v>14</v>
      </c>
      <c r="S35" s="670">
        <f t="shared" si="12"/>
        <v>100</v>
      </c>
      <c r="T35" s="669" t="s">
        <v>14</v>
      </c>
      <c r="U35" s="670">
        <f t="shared" si="13"/>
        <v>100</v>
      </c>
      <c r="V35" s="669" t="s">
        <v>14</v>
      </c>
      <c r="W35" s="670">
        <f t="shared" si="14"/>
        <v>100</v>
      </c>
      <c r="X35" s="671"/>
      <c r="Y35" s="332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21"/>
      <c r="Q36" s="1263">
        <f t="shared" si="11"/>
        <v>111</v>
      </c>
      <c r="R36" s="667" t="s">
        <v>14</v>
      </c>
      <c r="S36" s="668">
        <f t="shared" si="12"/>
        <v>100</v>
      </c>
      <c r="T36" s="667" t="s">
        <v>14</v>
      </c>
      <c r="U36" s="668">
        <f t="shared" si="13"/>
        <v>100</v>
      </c>
      <c r="V36" s="667" t="s">
        <v>14</v>
      </c>
      <c r="W36" s="668">
        <f t="shared" si="14"/>
        <v>100</v>
      </c>
      <c r="X36" s="1265"/>
      <c r="Y36" s="3321"/>
      <c r="Z36" s="1264">
        <f t="shared" si="15"/>
        <v>111</v>
      </c>
      <c r="AA36" s="1264">
        <f t="shared" si="3"/>
        <v>1</v>
      </c>
      <c r="AB36" s="1264">
        <f t="shared" si="4"/>
        <v>1</v>
      </c>
      <c r="AC36" s="1264">
        <f t="shared" si="5"/>
        <v>1</v>
      </c>
    </row>
    <row r="37" spans="1:29" ht="15">
      <c r="A37" s="416" t="s">
        <v>1840</v>
      </c>
      <c r="B37" s="1821" t="s">
        <v>3337</v>
      </c>
      <c r="C37" s="1081" t="s">
        <v>0</v>
      </c>
      <c r="D37" s="418"/>
      <c r="E37" s="419"/>
      <c r="F37" s="420"/>
      <c r="G37" s="421"/>
      <c r="H37" s="422"/>
      <c r="I37" s="419"/>
      <c r="J37" s="422"/>
      <c r="K37" s="545"/>
      <c r="L37" s="2495"/>
      <c r="M37" s="2488"/>
      <c r="N37" s="2488"/>
      <c r="O37" s="2488"/>
      <c r="P37" s="3302" t="str">
        <f>A37</f>
        <v>成交单价</v>
      </c>
      <c r="Q37" s="3302"/>
      <c r="R37" s="3316">
        <f>E37</f>
        <v>0</v>
      </c>
      <c r="S37" s="3316"/>
      <c r="T37" s="3316">
        <f>G37</f>
        <v>0</v>
      </c>
      <c r="U37" s="3316"/>
      <c r="V37" s="3316">
        <f>I37</f>
        <v>0</v>
      </c>
      <c r="W37" s="3316"/>
      <c r="X37" s="385"/>
      <c r="Y37" s="673"/>
      <c r="Z37" s="385"/>
      <c r="AA37" s="385"/>
      <c r="AB37" s="385"/>
      <c r="AC37" s="385"/>
    </row>
    <row r="38" spans="1:29" ht="15.75" thickBot="1">
      <c r="A38" s="423" t="s">
        <v>1841</v>
      </c>
      <c r="B38" s="424" t="str">
        <f>B37</f>
        <v>元/平方米</v>
      </c>
      <c r="C38" s="1082" t="e">
        <f>R39</f>
        <v>#DIV/0!</v>
      </c>
      <c r="D38" s="2141" t="s">
        <v>2132</v>
      </c>
      <c r="E38" s="1083" t="e">
        <f>R38</f>
        <v>#DIV/0!</v>
      </c>
      <c r="F38" s="2142"/>
      <c r="G38" s="1082" t="e">
        <f>T38</f>
        <v>#DIV/0!</v>
      </c>
      <c r="H38" s="2142"/>
      <c r="I38" s="1083" t="e">
        <f>V38</f>
        <v>#DIV/0!</v>
      </c>
      <c r="J38" s="2142"/>
      <c r="K38" s="2144">
        <f>F38+H38+J38</f>
        <v>0</v>
      </c>
      <c r="L38" s="2495"/>
      <c r="M38" s="2488"/>
      <c r="N38" s="2488"/>
      <c r="O38" s="2488"/>
      <c r="P38" s="3302" t="str">
        <f>A38</f>
        <v>比较价值（元/平方米）</v>
      </c>
      <c r="Q38" s="3302"/>
      <c r="R38" s="3316" t="e">
        <f>IF(F1="售价",ROUND(PRODUCT(R37,AA7:AA36),0),ROUND(PRODUCT(R37,AA7:AA36),1))</f>
        <v>#DIV/0!</v>
      </c>
      <c r="S38" s="3316"/>
      <c r="T38" s="3316" t="e">
        <f>IF(F1="售价",ROUND(PRODUCT(T37,AB7:AB36),0),ROUND(PRODUCT(T37,AB7:AB36),1))</f>
        <v>#DIV/0!</v>
      </c>
      <c r="U38" s="3316"/>
      <c r="V38" s="3316" t="e">
        <f>IF(F1="售价",ROUND(PRODUCT(V37,AC7:AC36),0),ROUND(PRODUCT(V37,AC7:AC36),1))</f>
        <v>#DIV/0!</v>
      </c>
      <c r="W38" s="3316"/>
      <c r="X38" s="385"/>
      <c r="Y38" s="385"/>
      <c r="Z38" s="385"/>
      <c r="AA38" s="385"/>
      <c r="AB38" s="385"/>
      <c r="AC38" s="385"/>
    </row>
    <row r="39" spans="1:29" ht="15.75" thickBot="1">
      <c r="A39" s="427" t="s">
        <v>1842</v>
      </c>
      <c r="B39" s="428"/>
      <c r="C39" s="351" t="e">
        <f>R39</f>
        <v>#DIV/0!</v>
      </c>
      <c r="D39" s="351"/>
      <c r="E39" s="351"/>
      <c r="F39" s="351"/>
      <c r="G39" s="351"/>
      <c r="H39" s="351"/>
      <c r="I39" s="351"/>
      <c r="J39" s="351"/>
      <c r="K39" s="546"/>
      <c r="L39" s="2495"/>
      <c r="M39" s="2488"/>
      <c r="N39" s="2488"/>
      <c r="O39" s="2488"/>
      <c r="P39" s="3323" t="str">
        <f>A39</f>
        <v>估价对象XX用房的比较价值（楼面单价，元/平方米）</v>
      </c>
      <c r="Q39" s="3324"/>
      <c r="R39" s="3480" t="e">
        <f>IF(F1="售价",ROUND(IF(D38="简单平均",AVERAGE(R38:W38),R38*F38+T38*H38+V38*J38),0),ROUND(IF(D38="简单平均",AVERAGE(R38:V38),R38*F38+T38*H38+V38*J38),1))</f>
        <v>#DIV/0!</v>
      </c>
      <c r="S39" s="3480"/>
      <c r="T39" s="3480"/>
      <c r="U39" s="3480"/>
      <c r="V39" s="3480"/>
      <c r="W39" s="348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1843</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1844</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1845</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1846</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1847</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1712</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1677</v>
      </c>
      <c r="B51" s="444"/>
      <c r="C51" s="456" t="s">
        <v>1772</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1715</v>
      </c>
      <c r="B53" s="460" t="s">
        <v>1681</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1684</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1686</v>
      </c>
      <c r="B63" s="460" t="s">
        <v>1722</v>
      </c>
      <c r="C63" s="504" t="s">
        <v>1717</v>
      </c>
      <c r="D63" s="504" t="s">
        <v>1718</v>
      </c>
      <c r="E63" s="504" t="s">
        <v>1719</v>
      </c>
      <c r="F63" s="504" t="s">
        <v>1720</v>
      </c>
      <c r="G63" s="504" t="s">
        <v>1721</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1723</v>
      </c>
      <c r="C65" s="509" t="s">
        <v>1717</v>
      </c>
      <c r="D65" s="509" t="s">
        <v>1718</v>
      </c>
      <c r="E65" s="509" t="s">
        <v>1719</v>
      </c>
      <c r="F65" s="509" t="s">
        <v>1720</v>
      </c>
      <c r="G65" s="509" t="s">
        <v>1721</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1809</v>
      </c>
      <c r="C67" s="581" t="s">
        <v>1795</v>
      </c>
      <c r="D67" s="581" t="s">
        <v>1796</v>
      </c>
      <c r="E67" s="581" t="s">
        <v>1797</v>
      </c>
      <c r="F67" s="581" t="s">
        <v>1798</v>
      </c>
      <c r="G67" s="581" t="s">
        <v>1799</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1729</v>
      </c>
      <c r="C69" s="509" t="s">
        <v>1717</v>
      </c>
      <c r="D69" s="509" t="s">
        <v>1718</v>
      </c>
      <c r="E69" s="509" t="s">
        <v>1719</v>
      </c>
      <c r="F69" s="509" t="s">
        <v>1720</v>
      </c>
      <c r="G69" s="509" t="s">
        <v>1721</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1848</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1690</v>
      </c>
      <c r="B79" s="460" t="s">
        <v>1849</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1850</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1736</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1851</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1852</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1853</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1854</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1855</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9" priority="13" stopIfTrue="1">
      <formula>$F$42="超过30%"</formula>
    </cfRule>
  </conditionalFormatting>
  <conditionalFormatting sqref="E43">
    <cfRule type="expression" dxfId="48" priority="11" stopIfTrue="1">
      <formula>$F$43="超过20%"</formula>
    </cfRule>
  </conditionalFormatting>
  <conditionalFormatting sqref="E44">
    <cfRule type="expression" dxfId="47" priority="10" stopIfTrue="1">
      <formula>$F$44="超过30%"</formula>
    </cfRule>
  </conditionalFormatting>
  <conditionalFormatting sqref="F7:F36 H7:H36 J7:J36">
    <cfRule type="cellIs" dxfId="46" priority="1" operator="notEqual">
      <formula>100</formula>
    </cfRule>
  </conditionalFormatting>
  <conditionalFormatting sqref="F38">
    <cfRule type="expression" dxfId="45" priority="4">
      <formula>$D$38="简单平均"</formula>
    </cfRule>
  </conditionalFormatting>
  <conditionalFormatting sqref="F42:F44 H42:H44 J42:J44">
    <cfRule type="containsText" dxfId="44" priority="14" stopIfTrue="1" operator="containsText" text="超过">
      <formula>NOT(ISERROR(SEARCH("超过",F42)))</formula>
    </cfRule>
  </conditionalFormatting>
  <conditionalFormatting sqref="G42">
    <cfRule type="expression" dxfId="43" priority="9" stopIfTrue="1">
      <formula>$H$52+$H$42="超过30%"</formula>
    </cfRule>
  </conditionalFormatting>
  <conditionalFormatting sqref="G43">
    <cfRule type="expression" dxfId="42" priority="8" stopIfTrue="1">
      <formula>$H$43="超过20%"</formula>
    </cfRule>
  </conditionalFormatting>
  <conditionalFormatting sqref="G44">
    <cfRule type="expression" dxfId="41" priority="12" stopIfTrue="1">
      <formula>$H$54+$H$44="超过30%"</formula>
    </cfRule>
  </conditionalFormatting>
  <conditionalFormatting sqref="H38">
    <cfRule type="expression" dxfId="40" priority="3">
      <formula>$D$38="简单平均"</formula>
    </cfRule>
  </conditionalFormatting>
  <conditionalFormatting sqref="I42">
    <cfRule type="expression" dxfId="39" priority="7" stopIfTrue="1">
      <formula>$J$52+$J$42="超过30%"</formula>
    </cfRule>
  </conditionalFormatting>
  <conditionalFormatting sqref="I43">
    <cfRule type="expression" dxfId="38" priority="6" stopIfTrue="1">
      <formula>$J$53+$J$43="超过20%"</formula>
    </cfRule>
  </conditionalFormatting>
  <conditionalFormatting sqref="I44">
    <cfRule type="expression" dxfId="37" priority="5" stopIfTrue="1">
      <formula>$J$44="超过30%"</formula>
    </cfRule>
  </conditionalFormatting>
  <conditionalFormatting sqref="J38">
    <cfRule type="expression" dxfId="36"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904</v>
      </c>
    </row>
    <row r="2" spans="1:5" ht="78" customHeight="1">
      <c r="A2" s="3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8">
      <c r="A3" s="3199" t="str">
        <f>IF(项目基本情况!B9="房地产市场价值","估价结果一览表（市场价值不需“结果表-1”）","估价结果一览表")</f>
        <v>估价结果一览表</v>
      </c>
      <c r="B3" s="3199"/>
      <c r="C3" s="3199"/>
      <c r="D3" s="3199"/>
      <c r="E3" s="3199"/>
    </row>
    <row r="4" spans="1:5" ht="19.5" thickBot="1">
      <c r="A4" s="1391"/>
      <c r="B4" s="3197" t="s">
        <v>913</v>
      </c>
      <c r="C4" s="3197"/>
      <c r="D4" s="3197"/>
      <c r="E4" s="1391"/>
    </row>
    <row r="5" spans="1:5" ht="16.5" thickTop="1">
      <c r="B5" s="3195" t="s">
        <v>905</v>
      </c>
      <c r="C5" s="1392" t="s">
        <v>906</v>
      </c>
      <c r="D5" s="797">
        <f ca="1">'结果表-地下仓储'!H101</f>
        <v>108</v>
      </c>
    </row>
    <row r="6" spans="1:5" ht="15.75">
      <c r="B6" s="3195"/>
      <c r="C6" s="1392" t="s">
        <v>907</v>
      </c>
      <c r="D6" s="797" t="str">
        <f ca="1">NUMBERSTRING(INT(D5*10000),2)&amp;"元整"</f>
        <v>壹佰零捌万元整</v>
      </c>
    </row>
    <row r="7" spans="1:5" ht="15.75">
      <c r="B7" s="3200"/>
      <c r="C7" s="1393" t="s">
        <v>908</v>
      </c>
      <c r="D7" s="798">
        <f ca="1">'结果表-地下仓储'!H102</f>
        <v>25472</v>
      </c>
    </row>
    <row r="8" spans="1:5" ht="15.75">
      <c r="B8" s="3201" t="str">
        <f>'结果表-地下仓储'!E103</f>
        <v>2.估价师知悉的法定优先受偿款</v>
      </c>
      <c r="C8" s="1394" t="s">
        <v>909</v>
      </c>
      <c r="D8" s="798">
        <f>'结果表-地下仓储'!H103</f>
        <v>0</v>
      </c>
    </row>
    <row r="9" spans="1:5" ht="15.75">
      <c r="B9" s="3203"/>
      <c r="C9" s="1392" t="s">
        <v>907</v>
      </c>
      <c r="D9" s="797" t="str">
        <f>NUMBERSTRING(INT(D8*10000),2)&amp;"元整"</f>
        <v>零元整</v>
      </c>
    </row>
    <row r="10" spans="1:5" ht="15">
      <c r="B10" s="1395" t="s">
        <v>912</v>
      </c>
      <c r="C10" s="1396" t="s">
        <v>910</v>
      </c>
      <c r="D10" s="799">
        <f>'结果表-地下仓储'!H104</f>
        <v>0</v>
      </c>
    </row>
    <row r="11" spans="1:5" ht="15">
      <c r="B11" s="1395" t="s">
        <v>914</v>
      </c>
      <c r="C11" s="1396" t="s">
        <v>915</v>
      </c>
      <c r="D11" s="799">
        <f>'结果表-地下仓储'!H105</f>
        <v>0</v>
      </c>
    </row>
    <row r="12" spans="1:5" ht="15">
      <c r="B12" s="1395" t="s">
        <v>916</v>
      </c>
      <c r="C12" s="1396" t="s">
        <v>915</v>
      </c>
      <c r="D12" s="799">
        <f>'结果表-地下仓储'!H106</f>
        <v>0</v>
      </c>
    </row>
    <row r="13" spans="1:5" ht="15.75">
      <c r="B13" s="3194" t="str">
        <f>'结果表-地下仓储'!E107</f>
        <v>3.房地产抵押价值</v>
      </c>
      <c r="C13" s="1397" t="s">
        <v>906</v>
      </c>
      <c r="D13" s="800">
        <f ca="1">'结果表-地下仓储'!H107</f>
        <v>108</v>
      </c>
    </row>
    <row r="14" spans="1:5" ht="15.75">
      <c r="B14" s="3195"/>
      <c r="C14" s="1392" t="s">
        <v>907</v>
      </c>
      <c r="D14" s="797" t="str">
        <f ca="1">NUMBERSTRING(INT(D13*10000),2)&amp;"元整"</f>
        <v>壹佰零捌万元整</v>
      </c>
    </row>
    <row r="15" spans="1:5" ht="15">
      <c r="B15" s="3200"/>
      <c r="C15" s="1393" t="s">
        <v>917</v>
      </c>
      <c r="D15" s="806">
        <f ca="1">'结果表-地下仓储'!H108</f>
        <v>25472</v>
      </c>
    </row>
    <row r="16" spans="1:5" ht="15">
      <c r="B16" s="3201" t="str">
        <f>'结果表-地下仓储'!E109</f>
        <v>——</v>
      </c>
      <c r="C16" s="1397" t="s">
        <v>918</v>
      </c>
      <c r="D16" s="1398" t="str">
        <f>'结果表-地下仓储'!H109</f>
        <v>——</v>
      </c>
    </row>
    <row r="17" spans="1:5" ht="15.75">
      <c r="B17" s="3202"/>
      <c r="C17" s="1392" t="s">
        <v>919</v>
      </c>
      <c r="D17" s="797" t="e">
        <f>NUMBERSTRING(INT(D16*10000),2)&amp;"元整"</f>
        <v>#VALUE!</v>
      </c>
    </row>
    <row r="18" spans="1:5" ht="15">
      <c r="B18" s="3203"/>
      <c r="C18" s="1393" t="s">
        <v>908</v>
      </c>
      <c r="D18" s="806" t="str">
        <f>'结果表-地下仓储'!H110</f>
        <v>——</v>
      </c>
    </row>
    <row r="19" spans="1:5" ht="15.75">
      <c r="B19" s="3194" t="str">
        <f>'结果表-地下仓储'!E111</f>
        <v>——</v>
      </c>
      <c r="C19" s="1397" t="s">
        <v>906</v>
      </c>
      <c r="D19" s="798" t="str">
        <f>'结果表-地下仓储'!H111</f>
        <v>——</v>
      </c>
    </row>
    <row r="20" spans="1:5" ht="15.75">
      <c r="B20" s="3195"/>
      <c r="C20" s="1392" t="s">
        <v>919</v>
      </c>
      <c r="D20" s="797" t="e">
        <f>NUMBERSTRING(INT(D19*10000),2)&amp;"元整"</f>
        <v>#VALUE!</v>
      </c>
    </row>
    <row r="21" spans="1:5" ht="15.75" thickBot="1">
      <c r="B21" s="3196"/>
      <c r="C21" s="1399" t="s">
        <v>917</v>
      </c>
      <c r="D21" s="807" t="str">
        <f>'结果表-地下仓储'!H112</f>
        <v>——</v>
      </c>
    </row>
    <row r="22" spans="1:5" ht="15" thickTop="1">
      <c r="B22" s="1400" t="s">
        <v>920</v>
      </c>
    </row>
    <row r="24" spans="1:5" ht="18.75">
      <c r="A24" s="1401"/>
      <c r="B24" s="1402" t="s">
        <v>911</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Normal="70" zoomScaleSheetLayoutView="100" workbookViewId="0">
      <selection activeCell="I40" sqref="I4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1827</v>
      </c>
      <c r="B1" s="1140" t="s">
        <v>3317</v>
      </c>
      <c r="C1" s="1141" t="s">
        <v>1658</v>
      </c>
      <c r="D1" s="1142" t="s">
        <v>4787</v>
      </c>
      <c r="E1" s="3132" t="s">
        <v>4818</v>
      </c>
      <c r="F1" s="1735" t="s">
        <v>4819</v>
      </c>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f>IF(E1="项目模式",IF(C2="——",ROUND(C37*D3/10000,0),ROUND(C37*D3/10000,0)-D2),IF(E1="单套模式",IF(C2="——",ROUND(C37*D3/10000,4),ROUND(C37*D3/10000,4)-D2)))</f>
        <v>125.398</v>
      </c>
      <c r="C2" s="1737" t="s">
        <v>43</v>
      </c>
      <c r="D2" s="854" t="e">
        <f ca="1">IF(E1="项目模式",SUMIF(INDIRECT("'"&amp;F2&amp;"'"&amp;"!A:A"),"承租人权益价值",INDIRECT("'"&amp;F2&amp;"'"&amp;"!c:c")),SUMIF(INDIRECT("'"&amp;F2&amp;"'"&amp;"!A:A"),"承租人权益价值（单套）",INDIRECT("'"&amp;F2&amp;"'"&amp;"!c:c")))</f>
        <v>#REF!</v>
      </c>
      <c r="E2" s="1738" t="s">
        <v>1459</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1460</v>
      </c>
      <c r="B3" s="536">
        <f>IF(C2="——",C37,ROUND(B2*10000/D3,0))</f>
        <v>29575</v>
      </c>
      <c r="C3" s="344" t="s">
        <v>1764</v>
      </c>
      <c r="D3" s="343">
        <f>SUMIF('数据-汇总表'!$C19:$C33,D1,'数据-汇总表'!$E19:$E33)</f>
        <v>42.4</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1765</v>
      </c>
      <c r="B4" s="346"/>
      <c r="C4" s="3304" t="s">
        <v>1766</v>
      </c>
      <c r="D4" s="3305"/>
      <c r="E4" s="3306" t="s">
        <v>1767</v>
      </c>
      <c r="F4" s="3307"/>
      <c r="G4" s="3304" t="s">
        <v>1768</v>
      </c>
      <c r="H4" s="3305"/>
      <c r="I4" s="3304" t="s">
        <v>1769</v>
      </c>
      <c r="J4" s="3305"/>
      <c r="K4" s="537" t="s">
        <v>1770</v>
      </c>
      <c r="L4" s="2487"/>
      <c r="M4" s="2488"/>
      <c r="N4" s="2488"/>
      <c r="O4" s="2488"/>
      <c r="P4" s="3308" t="s">
        <v>1771</v>
      </c>
      <c r="Q4" s="3309"/>
      <c r="R4" s="3290" t="s">
        <v>1767</v>
      </c>
      <c r="S4" s="3291"/>
      <c r="T4" s="3290" t="s">
        <v>1768</v>
      </c>
      <c r="U4" s="3291"/>
      <c r="V4" s="3316" t="s">
        <v>1769</v>
      </c>
      <c r="W4" s="3316"/>
      <c r="X4" s="1265"/>
      <c r="Y4" s="3290" t="s">
        <v>1771</v>
      </c>
      <c r="Z4" s="3291"/>
      <c r="AA4" s="3285" t="s">
        <v>1767</v>
      </c>
      <c r="AB4" s="3286" t="s">
        <v>1768</v>
      </c>
      <c r="AC4" s="3285" t="s">
        <v>1769</v>
      </c>
    </row>
    <row r="5" spans="1:29" ht="15.75" thickBot="1">
      <c r="A5" s="348"/>
      <c r="B5" s="349"/>
      <c r="C5" s="3296" t="s">
        <v>1669</v>
      </c>
      <c r="D5" s="3297"/>
      <c r="E5" s="3481" t="s">
        <v>4842</v>
      </c>
      <c r="F5" s="3295"/>
      <c r="G5" s="3425" t="s">
        <v>4843</v>
      </c>
      <c r="H5" s="3297"/>
      <c r="I5" s="3296" t="s">
        <v>1672</v>
      </c>
      <c r="J5" s="3297"/>
      <c r="K5" s="537"/>
      <c r="L5" s="2487"/>
      <c r="M5" s="2488"/>
      <c r="N5" s="2488"/>
      <c r="O5" s="2488"/>
      <c r="P5" s="3310"/>
      <c r="Q5" s="3311"/>
      <c r="R5" s="3292"/>
      <c r="S5" s="3293"/>
      <c r="T5" s="3292"/>
      <c r="U5" s="3293"/>
      <c r="V5" s="3316"/>
      <c r="W5" s="3316"/>
      <c r="X5" s="1265"/>
      <c r="Y5" s="3292"/>
      <c r="Z5" s="3293"/>
      <c r="AA5" s="3286"/>
      <c r="AB5" s="3286"/>
      <c r="AC5" s="3286"/>
    </row>
    <row r="6" spans="1:29" ht="15.75" hidden="1" thickBot="1">
      <c r="A6" s="350"/>
      <c r="B6" s="351"/>
      <c r="C6" s="3298" t="s">
        <v>1673</v>
      </c>
      <c r="D6" s="3299"/>
      <c r="E6" s="3300" t="s">
        <v>1673</v>
      </c>
      <c r="F6" s="3301"/>
      <c r="G6" s="3298" t="s">
        <v>1673</v>
      </c>
      <c r="H6" s="3299"/>
      <c r="I6" s="3298" t="s">
        <v>1673</v>
      </c>
      <c r="J6" s="3299"/>
      <c r="K6" s="537" t="s">
        <v>1674</v>
      </c>
      <c r="L6" s="2487"/>
      <c r="M6" s="2488"/>
      <c r="N6" s="2488"/>
      <c r="O6" s="2488"/>
      <c r="P6" s="3312"/>
      <c r="Q6" s="3313"/>
      <c r="R6" s="3292"/>
      <c r="S6" s="3293"/>
      <c r="T6" s="3314"/>
      <c r="U6" s="3315"/>
      <c r="V6" s="3316"/>
      <c r="W6" s="3316"/>
      <c r="X6" s="1265"/>
      <c r="Y6" s="3314"/>
      <c r="Z6" s="3315"/>
      <c r="AA6" s="3287"/>
      <c r="AB6" s="3287"/>
      <c r="AC6" s="3287"/>
    </row>
    <row r="7" spans="1:29" s="102" customFormat="1" ht="15.75" thickBot="1">
      <c r="A7" s="352" t="s">
        <v>1675</v>
      </c>
      <c r="B7" s="353"/>
      <c r="C7" s="354">
        <f>'数据-取费表'!B2</f>
        <v>46014</v>
      </c>
      <c r="D7" s="355">
        <v>100</v>
      </c>
      <c r="E7" s="356">
        <f>C7</f>
        <v>46014</v>
      </c>
      <c r="F7" s="357">
        <f>SUMIF(46:46,YEAR(E7)&amp;"-"&amp;MONTH(E7),47:47)</f>
        <v>100</v>
      </c>
      <c r="G7" s="1822">
        <f>E7</f>
        <v>46014</v>
      </c>
      <c r="H7" s="355">
        <f>SUMIF(46:46,YEAR(G7)&amp;"-"&amp;MONTH(G7),47:47)</f>
        <v>100</v>
      </c>
      <c r="I7" s="356">
        <f>G7</f>
        <v>46014</v>
      </c>
      <c r="J7" s="355">
        <f>SUMIF(46:46,YEAR(I7)&amp;"-"&amp;MONTH(I7),47:47)</f>
        <v>100</v>
      </c>
      <c r="K7" s="38"/>
      <c r="L7" s="2489"/>
      <c r="M7" s="2440"/>
      <c r="N7" s="2440"/>
      <c r="O7" s="2440"/>
      <c r="P7" s="3288" t="s">
        <v>1676</v>
      </c>
      <c r="Q7" s="3317"/>
      <c r="R7" s="664" t="s">
        <v>14</v>
      </c>
      <c r="S7" s="665">
        <f t="shared" ref="S7:S14" si="0">F7</f>
        <v>100</v>
      </c>
      <c r="T7" s="664" t="s">
        <v>14</v>
      </c>
      <c r="U7" s="665">
        <f t="shared" ref="U7:U14" si="1">H7</f>
        <v>100</v>
      </c>
      <c r="V7" s="664" t="s">
        <v>14</v>
      </c>
      <c r="W7" s="665">
        <f t="shared" ref="W7:W14" si="2">J7</f>
        <v>100</v>
      </c>
      <c r="X7" s="666"/>
      <c r="Y7" s="3288" t="s">
        <v>1676</v>
      </c>
      <c r="Z7" s="3289"/>
      <c r="AA7" s="50">
        <f>D7/F7</f>
        <v>1</v>
      </c>
      <c r="AB7" s="50">
        <f>D7/H7</f>
        <v>1</v>
      </c>
      <c r="AC7" s="50">
        <f>D7/J7</f>
        <v>1</v>
      </c>
    </row>
    <row r="8" spans="1:29" s="102" customFormat="1" ht="15.75" thickBot="1">
      <c r="A8" s="352" t="s">
        <v>1677</v>
      </c>
      <c r="B8" s="353"/>
      <c r="C8" s="358" t="s">
        <v>4795</v>
      </c>
      <c r="D8" s="355">
        <v>100</v>
      </c>
      <c r="E8" s="358" t="s">
        <v>4795</v>
      </c>
      <c r="F8" s="357">
        <f>SUMIF(49:49,E8,50:50)-SUMIF(49:49,C8,50:50)+100</f>
        <v>100</v>
      </c>
      <c r="G8" s="358" t="s">
        <v>4795</v>
      </c>
      <c r="H8" s="355">
        <f>SUMIF(49:49,G8,50:50)-SUMIF(49:49,C8,50:50)+100</f>
        <v>100</v>
      </c>
      <c r="I8" s="358" t="s">
        <v>4795</v>
      </c>
      <c r="J8" s="355">
        <f>SUMIF(49:49,I8,50:50)-SUMIF(49:49,C8,50:50)+100</f>
        <v>100</v>
      </c>
      <c r="K8" s="38"/>
      <c r="L8" s="2489"/>
      <c r="M8" s="2440"/>
      <c r="N8" s="2440"/>
      <c r="O8" s="2440"/>
      <c r="P8" s="3288" t="s">
        <v>1679</v>
      </c>
      <c r="Q8" s="3289"/>
      <c r="R8" s="664" t="s">
        <v>14</v>
      </c>
      <c r="S8" s="665">
        <f t="shared" si="0"/>
        <v>100</v>
      </c>
      <c r="T8" s="664" t="s">
        <v>14</v>
      </c>
      <c r="U8" s="665">
        <f t="shared" si="1"/>
        <v>100</v>
      </c>
      <c r="V8" s="664" t="s">
        <v>14</v>
      </c>
      <c r="W8" s="665">
        <f t="shared" si="2"/>
        <v>100</v>
      </c>
      <c r="X8" s="666"/>
      <c r="Y8" s="3288" t="s">
        <v>1679</v>
      </c>
      <c r="Z8" s="3289"/>
      <c r="AA8" s="50">
        <f t="shared" ref="AA8:AA34" si="3">D8/F8</f>
        <v>1</v>
      </c>
      <c r="AB8" s="50">
        <f t="shared" ref="AB8:AB34" si="4">D8/H8</f>
        <v>1</v>
      </c>
      <c r="AC8" s="50">
        <f t="shared" ref="AC8:AC34" si="5">D8/J8</f>
        <v>1</v>
      </c>
    </row>
    <row r="9" spans="1:29" s="102" customFormat="1">
      <c r="A9" s="359" t="s">
        <v>1680</v>
      </c>
      <c r="B9" s="60" t="s">
        <v>1681</v>
      </c>
      <c r="C9" s="3177" t="s">
        <v>4836</v>
      </c>
      <c r="D9" s="59">
        <v>100</v>
      </c>
      <c r="E9" s="362" t="s">
        <v>4787</v>
      </c>
      <c r="F9" s="60">
        <f>SUMIF(51:51,E9,52:52)-SUMIF(51:51,C9,52:52)+100</f>
        <v>100</v>
      </c>
      <c r="G9" s="362" t="s">
        <v>4787</v>
      </c>
      <c r="H9" s="59">
        <f>SUMIF(51:51,G9,52:52)-SUMIF(51:51,C9,52:52)+100</f>
        <v>100</v>
      </c>
      <c r="I9" s="362" t="s">
        <v>4787</v>
      </c>
      <c r="J9" s="59">
        <f>SUMIF(51:51,I9,52:52)-SUMIF(51:51,C9,52:52)+100</f>
        <v>100</v>
      </c>
      <c r="K9" s="38"/>
      <c r="L9" s="2489"/>
      <c r="M9" s="2440"/>
      <c r="N9" s="2440"/>
      <c r="O9" s="2541"/>
      <c r="P9" s="3302" t="s">
        <v>1682</v>
      </c>
      <c r="Q9" s="530" t="str">
        <f t="shared" ref="Q9:Q14" si="6">B9</f>
        <v>用途</v>
      </c>
      <c r="R9" s="664" t="s">
        <v>14</v>
      </c>
      <c r="S9" s="665">
        <f t="shared" si="0"/>
        <v>100</v>
      </c>
      <c r="T9" s="664" t="s">
        <v>14</v>
      </c>
      <c r="U9" s="665">
        <f t="shared" si="1"/>
        <v>100</v>
      </c>
      <c r="V9" s="664" t="s">
        <v>14</v>
      </c>
      <c r="W9" s="665">
        <f t="shared" si="2"/>
        <v>100</v>
      </c>
      <c r="X9" s="666"/>
      <c r="Y9" s="3303" t="s">
        <v>1683</v>
      </c>
      <c r="Z9" s="50" t="str">
        <f t="shared" ref="Z9:Z14" si="7">Q9</f>
        <v>用途</v>
      </c>
      <c r="AA9" s="50">
        <f t="shared" si="3"/>
        <v>1</v>
      </c>
      <c r="AB9" s="50">
        <f t="shared" si="4"/>
        <v>1</v>
      </c>
      <c r="AC9" s="50">
        <f t="shared" si="5"/>
        <v>1</v>
      </c>
    </row>
    <row r="10" spans="1:29" s="366" customFormat="1" ht="27.75" thickBot="1">
      <c r="A10" s="363"/>
      <c r="B10" s="364" t="s">
        <v>1684</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02"/>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hidden="1">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02"/>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hidden="1">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02"/>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75" hidden="1"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02"/>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
      <c r="A14" s="379" t="s">
        <v>1686</v>
      </c>
      <c r="B14" s="58" t="s">
        <v>1829</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v>3</v>
      </c>
      <c r="L14" s="2493"/>
      <c r="M14" s="2488"/>
      <c r="N14" s="2488"/>
      <c r="O14" s="2543"/>
      <c r="P14" s="3318" t="s">
        <v>1687</v>
      </c>
      <c r="Q14" s="1263" t="str">
        <f t="shared" si="6"/>
        <v>交通便捷度</v>
      </c>
      <c r="R14" s="667" t="s">
        <v>14</v>
      </c>
      <c r="S14" s="668">
        <f t="shared" si="0"/>
        <v>100</v>
      </c>
      <c r="T14" s="667" t="s">
        <v>14</v>
      </c>
      <c r="U14" s="668">
        <f t="shared" si="1"/>
        <v>100</v>
      </c>
      <c r="V14" s="667" t="s">
        <v>14</v>
      </c>
      <c r="W14" s="668">
        <f t="shared" si="2"/>
        <v>100</v>
      </c>
      <c r="X14" s="1265"/>
      <c r="Y14" s="3318" t="s">
        <v>1687</v>
      </c>
      <c r="Z14" s="1264" t="str">
        <f t="shared" si="7"/>
        <v>交通便捷度</v>
      </c>
      <c r="AA14" s="1264">
        <f t="shared" si="3"/>
        <v>1</v>
      </c>
      <c r="AB14" s="1264">
        <f t="shared" si="4"/>
        <v>1</v>
      </c>
      <c r="AC14" s="1264">
        <f t="shared" si="5"/>
        <v>1</v>
      </c>
    </row>
    <row r="15" spans="1:29" ht="15">
      <c r="A15" s="367"/>
      <c r="B15" s="385"/>
      <c r="C15" s="386" t="s">
        <v>4801</v>
      </c>
      <c r="D15" s="387"/>
      <c r="E15" s="386" t="s">
        <v>4801</v>
      </c>
      <c r="F15" s="388"/>
      <c r="G15" s="386" t="s">
        <v>4801</v>
      </c>
      <c r="H15" s="389"/>
      <c r="I15" s="386" t="s">
        <v>4801</v>
      </c>
      <c r="J15" s="387"/>
      <c r="K15" s="541"/>
      <c r="L15" s="2493"/>
      <c r="M15" s="2488"/>
      <c r="N15" s="2488"/>
      <c r="O15" s="2543"/>
      <c r="P15" s="3319"/>
      <c r="Q15" s="1263"/>
      <c r="R15" s="667"/>
      <c r="S15" s="668"/>
      <c r="T15" s="667"/>
      <c r="U15" s="668"/>
      <c r="V15" s="667"/>
      <c r="W15" s="668"/>
      <c r="X15" s="1265"/>
      <c r="Y15" s="3319"/>
      <c r="Z15" s="1264"/>
      <c r="AA15" s="1264">
        <v>1</v>
      </c>
      <c r="AB15" s="1264">
        <v>1</v>
      </c>
      <c r="AC15" s="1264">
        <v>1</v>
      </c>
    </row>
    <row r="16" spans="1:29" ht="15">
      <c r="A16" s="367"/>
      <c r="B16" s="390" t="s">
        <v>1808</v>
      </c>
      <c r="C16" s="1754">
        <f>IF(B1="工业",估价对象房地状况!G5,估价对象房地状况!C7)</f>
        <v>0</v>
      </c>
      <c r="D16" s="394">
        <v>100</v>
      </c>
      <c r="E16" s="396"/>
      <c r="F16" s="397">
        <f>SUMIF(63:63,E17,64:64)-SUMIF(63:63,C17,64:64)+100</f>
        <v>100</v>
      </c>
      <c r="G16" s="396"/>
      <c r="H16" s="394">
        <f>SUMIF(63:63,G17,64:64)-SUMIF(63:63,C17,64:64)+100</f>
        <v>100</v>
      </c>
      <c r="I16" s="396"/>
      <c r="J16" s="394">
        <f>SUMIF(63:63,I17,64:64)-SUMIF(63:63,C17,64:64)+100</f>
        <v>100</v>
      </c>
      <c r="K16" s="540">
        <v>3</v>
      </c>
      <c r="L16" s="2493"/>
      <c r="M16" s="2488"/>
      <c r="N16" s="2488"/>
      <c r="O16" s="2543"/>
      <c r="P16" s="3319"/>
      <c r="Q16" s="1263" t="str">
        <f>B16</f>
        <v>公共配套设施</v>
      </c>
      <c r="R16" s="667" t="s">
        <v>14</v>
      </c>
      <c r="S16" s="668">
        <f>F16</f>
        <v>100</v>
      </c>
      <c r="T16" s="667" t="s">
        <v>14</v>
      </c>
      <c r="U16" s="668">
        <f>H16</f>
        <v>100</v>
      </c>
      <c r="V16" s="667" t="s">
        <v>14</v>
      </c>
      <c r="W16" s="668">
        <f>J16</f>
        <v>100</v>
      </c>
      <c r="X16" s="1265"/>
      <c r="Y16" s="3319"/>
      <c r="Z16" s="1264" t="str">
        <f>Q16</f>
        <v>公共配套设施</v>
      </c>
      <c r="AA16" s="1264">
        <f t="shared" si="3"/>
        <v>1</v>
      </c>
      <c r="AB16" s="1264">
        <f t="shared" si="4"/>
        <v>1</v>
      </c>
      <c r="AC16" s="1264">
        <f t="shared" si="5"/>
        <v>1</v>
      </c>
    </row>
    <row r="17" spans="1:29" ht="15">
      <c r="A17" s="367"/>
      <c r="B17" s="395"/>
      <c r="C17" s="1755" t="s">
        <v>4797</v>
      </c>
      <c r="D17" s="387"/>
      <c r="E17" s="386" t="s">
        <v>4797</v>
      </c>
      <c r="F17" s="388"/>
      <c r="G17" s="386" t="s">
        <v>4797</v>
      </c>
      <c r="H17" s="387"/>
      <c r="I17" s="386" t="s">
        <v>4797</v>
      </c>
      <c r="J17" s="387"/>
      <c r="K17" s="541"/>
      <c r="L17" s="2493"/>
      <c r="M17" s="2488"/>
      <c r="N17" s="2488"/>
      <c r="O17" s="2543"/>
      <c r="P17" s="3319"/>
      <c r="Q17" s="1263"/>
      <c r="R17" s="667"/>
      <c r="S17" s="668"/>
      <c r="T17" s="667"/>
      <c r="U17" s="668"/>
      <c r="V17" s="667"/>
      <c r="W17" s="668"/>
      <c r="X17" s="1265"/>
      <c r="Y17" s="3319"/>
      <c r="Z17" s="1264"/>
      <c r="AA17" s="1264">
        <v>1</v>
      </c>
      <c r="AB17" s="1264">
        <v>1</v>
      </c>
      <c r="AC17" s="1264">
        <v>1</v>
      </c>
    </row>
    <row r="18" spans="1:29" ht="15">
      <c r="A18" s="367"/>
      <c r="B18" s="586" t="s">
        <v>1809</v>
      </c>
      <c r="C18" s="1754">
        <f>IF(B1="工业",估价对象房地状况!G6,估价对象房地状况!C8)</f>
        <v>0</v>
      </c>
      <c r="D18" s="394">
        <v>100</v>
      </c>
      <c r="E18" s="391"/>
      <c r="F18" s="397">
        <f>SUMIF(65:65,E19,66:66)-SUMIF(65:65,C19,66:66)+100</f>
        <v>100</v>
      </c>
      <c r="G18" s="391"/>
      <c r="H18" s="394">
        <f>SUMIF(65:65,G19,66:66)-SUMIF(65:65,C19,66:66)+100</f>
        <v>100</v>
      </c>
      <c r="I18" s="391"/>
      <c r="J18" s="394">
        <f>SUMIF(65:65,I19,66:66)-SUMIF(65:65,C19,66:66)+100</f>
        <v>100</v>
      </c>
      <c r="K18" s="540">
        <v>2</v>
      </c>
      <c r="L18" s="2493"/>
      <c r="M18" s="2488"/>
      <c r="N18" s="2488"/>
      <c r="O18" s="2543"/>
      <c r="P18" s="3319"/>
      <c r="Q18" s="1263" t="str">
        <f>B18</f>
        <v>基础设施水平</v>
      </c>
      <c r="R18" s="667" t="s">
        <v>14</v>
      </c>
      <c r="S18" s="668">
        <f>F18</f>
        <v>100</v>
      </c>
      <c r="T18" s="667" t="s">
        <v>14</v>
      </c>
      <c r="U18" s="668">
        <f>H18</f>
        <v>100</v>
      </c>
      <c r="V18" s="667" t="s">
        <v>14</v>
      </c>
      <c r="W18" s="668">
        <f>J18</f>
        <v>100</v>
      </c>
      <c r="X18" s="1265"/>
      <c r="Y18" s="3319"/>
      <c r="Z18" s="1264" t="str">
        <f>Q18</f>
        <v>基础设施水平</v>
      </c>
      <c r="AA18" s="1264">
        <f t="shared" ref="AA18" si="8">D18/F18</f>
        <v>1</v>
      </c>
      <c r="AB18" s="1264">
        <f t="shared" ref="AB18" si="9">D18/H18</f>
        <v>1</v>
      </c>
      <c r="AC18" s="1264">
        <f t="shared" ref="AC18" si="10">D18/J18</f>
        <v>1</v>
      </c>
    </row>
    <row r="19" spans="1:29" ht="15">
      <c r="A19" s="367"/>
      <c r="B19" s="586"/>
      <c r="C19" s="1755" t="s">
        <v>4798</v>
      </c>
      <c r="D19" s="389"/>
      <c r="E19" s="1755" t="s">
        <v>4798</v>
      </c>
      <c r="F19" s="392"/>
      <c r="G19" s="1755" t="s">
        <v>4798</v>
      </c>
      <c r="H19" s="387"/>
      <c r="I19" s="1755" t="s">
        <v>4798</v>
      </c>
      <c r="J19" s="387"/>
      <c r="K19" s="1064"/>
      <c r="L19" s="2493"/>
      <c r="M19" s="2488"/>
      <c r="N19" s="2488"/>
      <c r="O19" s="2543"/>
      <c r="P19" s="3319"/>
      <c r="Q19" s="1263"/>
      <c r="R19" s="667"/>
      <c r="S19" s="668"/>
      <c r="T19" s="667"/>
      <c r="U19" s="668"/>
      <c r="V19" s="667"/>
      <c r="W19" s="668"/>
      <c r="X19" s="1265"/>
      <c r="Y19" s="3319"/>
      <c r="Z19" s="1264"/>
      <c r="AA19" s="1264">
        <v>1</v>
      </c>
      <c r="AB19" s="1264">
        <v>1</v>
      </c>
      <c r="AC19" s="1264">
        <v>1</v>
      </c>
    </row>
    <row r="20" spans="1:29" ht="15">
      <c r="A20" s="367"/>
      <c r="B20" s="390" t="s">
        <v>1830</v>
      </c>
      <c r="C20" s="1754">
        <f>IF(B1="工业",估价对象房地状况!G7,估价对象房地状况!C9)</f>
        <v>0</v>
      </c>
      <c r="D20" s="394">
        <v>100</v>
      </c>
      <c r="E20" s="396"/>
      <c r="F20" s="397">
        <f>SUMIF(67:67,E21,68:68)-SUMIF(67:67,C21,68:68)+100</f>
        <v>100</v>
      </c>
      <c r="G20" s="396"/>
      <c r="H20" s="389">
        <f>SUMIF(67:67,G21,68:68)-SUMIF(67:67,C21,68:68)+100</f>
        <v>100</v>
      </c>
      <c r="I20" s="396"/>
      <c r="J20" s="389">
        <f>SUMIF(67:67,I21,68:68)-SUMIF(67:67,C21,68:68)+100</f>
        <v>100</v>
      </c>
      <c r="K20" s="540">
        <v>3</v>
      </c>
      <c r="L20" s="2493"/>
      <c r="M20" s="2488"/>
      <c r="N20" s="2488"/>
      <c r="O20" s="2543"/>
      <c r="P20" s="3319"/>
      <c r="Q20" s="1263" t="str">
        <f>B20</f>
        <v>自然及人文环境</v>
      </c>
      <c r="R20" s="667" t="s">
        <v>14</v>
      </c>
      <c r="S20" s="668">
        <f>F20</f>
        <v>100</v>
      </c>
      <c r="T20" s="667" t="s">
        <v>14</v>
      </c>
      <c r="U20" s="668">
        <f>H20</f>
        <v>100</v>
      </c>
      <c r="V20" s="667" t="s">
        <v>14</v>
      </c>
      <c r="W20" s="668">
        <f>J20</f>
        <v>100</v>
      </c>
      <c r="X20" s="1265"/>
      <c r="Y20" s="3319"/>
      <c r="Z20" s="1264" t="str">
        <f>Q20</f>
        <v>自然及人文环境</v>
      </c>
      <c r="AA20" s="1264">
        <f t="shared" si="3"/>
        <v>1</v>
      </c>
      <c r="AB20" s="1264">
        <f t="shared" si="4"/>
        <v>1</v>
      </c>
      <c r="AC20" s="1264">
        <f t="shared" si="5"/>
        <v>1</v>
      </c>
    </row>
    <row r="21" spans="1:29" ht="15.75" thickBot="1">
      <c r="A21" s="367"/>
      <c r="B21" s="395"/>
      <c r="C21" s="386" t="s">
        <v>4797</v>
      </c>
      <c r="D21" s="387"/>
      <c r="E21" s="386" t="s">
        <v>4797</v>
      </c>
      <c r="F21" s="388"/>
      <c r="G21" s="386" t="s">
        <v>4797</v>
      </c>
      <c r="H21" s="387"/>
      <c r="I21" s="386" t="s">
        <v>4797</v>
      </c>
      <c r="J21" s="387"/>
      <c r="K21" s="541"/>
      <c r="L21" s="2493"/>
      <c r="M21" s="2488"/>
      <c r="N21" s="2488"/>
      <c r="O21" s="2543"/>
      <c r="P21" s="3319"/>
      <c r="Q21" s="1263"/>
      <c r="R21" s="667"/>
      <c r="S21" s="668"/>
      <c r="T21" s="667"/>
      <c r="U21" s="668"/>
      <c r="V21" s="667"/>
      <c r="W21" s="668"/>
      <c r="X21" s="1265"/>
      <c r="Y21" s="3319"/>
      <c r="Z21" s="1264"/>
      <c r="AA21" s="1264">
        <v>1</v>
      </c>
      <c r="AB21" s="1264">
        <v>1</v>
      </c>
      <c r="AC21" s="1264">
        <v>1</v>
      </c>
    </row>
    <row r="22" spans="1:29" ht="15" hidden="1">
      <c r="A22" s="367"/>
      <c r="B22" s="390" t="s">
        <v>1831</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19"/>
      <c r="Q22" s="1263" t="str">
        <f>B22</f>
        <v>楼层</v>
      </c>
      <c r="R22" s="667" t="s">
        <v>14</v>
      </c>
      <c r="S22" s="668">
        <f>F22</f>
        <v>100</v>
      </c>
      <c r="T22" s="667" t="s">
        <v>14</v>
      </c>
      <c r="U22" s="668">
        <f>H22</f>
        <v>100</v>
      </c>
      <c r="V22" s="667" t="s">
        <v>14</v>
      </c>
      <c r="W22" s="668">
        <f>J22</f>
        <v>100</v>
      </c>
      <c r="X22" s="1265"/>
      <c r="Y22" s="3319"/>
      <c r="Z22" s="1264" t="str">
        <f>Q22</f>
        <v>楼层</v>
      </c>
      <c r="AA22" s="1264">
        <f t="shared" si="3"/>
        <v>1</v>
      </c>
      <c r="AB22" s="1264">
        <f t="shared" si="4"/>
        <v>1</v>
      </c>
      <c r="AC22" s="1264">
        <f t="shared" si="5"/>
        <v>1</v>
      </c>
    </row>
    <row r="23" spans="1:29" ht="15" hidden="1">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19"/>
      <c r="Q23" s="1263">
        <f>B23</f>
        <v>111</v>
      </c>
      <c r="R23" s="667" t="s">
        <v>14</v>
      </c>
      <c r="S23" s="668">
        <f>F23</f>
        <v>100</v>
      </c>
      <c r="T23" s="667" t="s">
        <v>14</v>
      </c>
      <c r="U23" s="668">
        <f>H23</f>
        <v>100</v>
      </c>
      <c r="V23" s="667" t="s">
        <v>14</v>
      </c>
      <c r="W23" s="668">
        <f>J23</f>
        <v>100</v>
      </c>
      <c r="X23" s="1265"/>
      <c r="Y23" s="3319"/>
      <c r="Z23" s="1264">
        <f>Q23</f>
        <v>111</v>
      </c>
      <c r="AA23" s="1264">
        <f t="shared" si="3"/>
        <v>1</v>
      </c>
      <c r="AB23" s="1264">
        <f t="shared" si="4"/>
        <v>1</v>
      </c>
      <c r="AC23" s="1264">
        <f t="shared" si="5"/>
        <v>1</v>
      </c>
    </row>
    <row r="24" spans="1:29" ht="15" hidden="1">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19"/>
      <c r="Q24" s="1263">
        <f t="shared" ref="Q24:Q34" si="11">B24</f>
        <v>111</v>
      </c>
      <c r="R24" s="667" t="s">
        <v>14</v>
      </c>
      <c r="S24" s="668">
        <f>F24</f>
        <v>100</v>
      </c>
      <c r="T24" s="667" t="s">
        <v>14</v>
      </c>
      <c r="U24" s="668">
        <f>H24</f>
        <v>100</v>
      </c>
      <c r="V24" s="667" t="s">
        <v>14</v>
      </c>
      <c r="W24" s="668">
        <f>J24</f>
        <v>100</v>
      </c>
      <c r="X24" s="1265"/>
      <c r="Y24" s="3319"/>
      <c r="Z24" s="1264">
        <f>Q24</f>
        <v>111</v>
      </c>
      <c r="AA24" s="1264">
        <f t="shared" si="3"/>
        <v>1</v>
      </c>
      <c r="AB24" s="1264">
        <f t="shared" si="4"/>
        <v>1</v>
      </c>
      <c r="AC24" s="1264">
        <f t="shared" si="5"/>
        <v>1</v>
      </c>
    </row>
    <row r="25" spans="1:29" s="102" customFormat="1" ht="15.75" hidden="1"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19"/>
      <c r="Q25" s="530">
        <f t="shared" si="11"/>
        <v>111</v>
      </c>
      <c r="R25" s="664" t="s">
        <v>14</v>
      </c>
      <c r="S25" s="665">
        <f>F25</f>
        <v>100</v>
      </c>
      <c r="T25" s="664" t="s">
        <v>14</v>
      </c>
      <c r="U25" s="665">
        <f>H25</f>
        <v>100</v>
      </c>
      <c r="V25" s="664" t="s">
        <v>14</v>
      </c>
      <c r="W25" s="665">
        <f>J25</f>
        <v>100</v>
      </c>
      <c r="X25" s="666"/>
      <c r="Y25" s="3319"/>
      <c r="Z25" s="50">
        <f>Q25</f>
        <v>111</v>
      </c>
      <c r="AA25" s="1264">
        <f>D25/F25</f>
        <v>1</v>
      </c>
      <c r="AB25" s="1264">
        <f>D25/H25</f>
        <v>1</v>
      </c>
      <c r="AC25" s="1264">
        <f>D25/J25</f>
        <v>1</v>
      </c>
    </row>
    <row r="26" spans="1:29" ht="28.5">
      <c r="A26" s="404" t="s">
        <v>1690</v>
      </c>
      <c r="B26" s="60" t="s">
        <v>1834</v>
      </c>
      <c r="C26" s="3181" t="s">
        <v>4840</v>
      </c>
      <c r="D26" s="405">
        <v>100</v>
      </c>
      <c r="E26" s="3181" t="s">
        <v>4840</v>
      </c>
      <c r="F26" s="587">
        <f>SUMIF(77:77,E26,78:78)-SUMIF(77:77,C26,78:78)+100</f>
        <v>100</v>
      </c>
      <c r="G26" s="3181" t="s">
        <v>4840</v>
      </c>
      <c r="H26" s="405">
        <f>SUMIF(77:77,G26,78:78)-SUMIF(77:77,C26,78:78)+100</f>
        <v>100</v>
      </c>
      <c r="I26" s="3181" t="s">
        <v>4840</v>
      </c>
      <c r="J26" s="405">
        <f>SUMIF(77:77,I26,78:78)-SUMIF(77:77,C26,78:78)+100</f>
        <v>100</v>
      </c>
      <c r="K26" s="538">
        <v>5</v>
      </c>
      <c r="L26" s="2493"/>
      <c r="M26" s="2488"/>
      <c r="N26" s="2488"/>
      <c r="O26" s="2543"/>
      <c r="P26" s="3320" t="s">
        <v>1692</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21" t="s">
        <v>1692</v>
      </c>
      <c r="Z26" s="1264" t="str">
        <f t="shared" ref="Z26:Z34" si="15">Q26</f>
        <v>公共部分装修</v>
      </c>
      <c r="AA26" s="1264">
        <f t="shared" si="3"/>
        <v>1</v>
      </c>
      <c r="AB26" s="1264">
        <f t="shared" si="4"/>
        <v>1</v>
      </c>
      <c r="AC26" s="1264">
        <f t="shared" si="5"/>
        <v>1</v>
      </c>
    </row>
    <row r="27" spans="1:29" s="408" customFormat="1" ht="15">
      <c r="A27" s="406"/>
      <c r="B27" s="364" t="s">
        <v>1835</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8">
        <v>2</v>
      </c>
      <c r="L27" s="2492"/>
      <c r="M27" s="2494"/>
      <c r="N27" s="2494"/>
      <c r="O27" s="2544"/>
      <c r="P27" s="3321"/>
      <c r="Q27" s="531" t="str">
        <f t="shared" si="11"/>
        <v>成新率</v>
      </c>
      <c r="R27" s="669" t="s">
        <v>14</v>
      </c>
      <c r="S27" s="670">
        <f t="shared" si="12"/>
        <v>100</v>
      </c>
      <c r="T27" s="669" t="s">
        <v>14</v>
      </c>
      <c r="U27" s="670">
        <f t="shared" si="13"/>
        <v>100</v>
      </c>
      <c r="V27" s="669" t="s">
        <v>14</v>
      </c>
      <c r="W27" s="670">
        <f t="shared" si="14"/>
        <v>100</v>
      </c>
      <c r="X27" s="671"/>
      <c r="Y27" s="3321"/>
      <c r="Z27" s="672" t="str">
        <f t="shared" si="15"/>
        <v>成新率</v>
      </c>
      <c r="AA27" s="1264">
        <f t="shared" si="3"/>
        <v>1</v>
      </c>
      <c r="AB27" s="1264">
        <f t="shared" si="4"/>
        <v>1</v>
      </c>
      <c r="AC27" s="1264">
        <f t="shared" si="5"/>
        <v>1</v>
      </c>
    </row>
    <row r="28" spans="1:29" ht="15">
      <c r="A28" s="409"/>
      <c r="B28" s="364" t="s">
        <v>1836</v>
      </c>
      <c r="C28" s="3182" t="s">
        <v>4841</v>
      </c>
      <c r="D28" s="374">
        <v>100</v>
      </c>
      <c r="E28" s="3182" t="s">
        <v>4841</v>
      </c>
      <c r="F28" s="400">
        <f>SUMIF(82:82,E28,83:83)-SUMIF(82:82,C28,83:83)+100</f>
        <v>100</v>
      </c>
      <c r="G28" s="3182" t="s">
        <v>4841</v>
      </c>
      <c r="H28" s="374">
        <f>SUMIF(82:82,G28,83:83)-SUMIF(82:82,C28,83:83)+100</f>
        <v>100</v>
      </c>
      <c r="I28" s="3182" t="s">
        <v>4841</v>
      </c>
      <c r="J28" s="374">
        <f>SUMIF(82:82,I28,83:83)-SUMIF(82:82,C28,83:83)+100</f>
        <v>100</v>
      </c>
      <c r="K28" s="538">
        <v>2</v>
      </c>
      <c r="L28" s="2493"/>
      <c r="M28" s="2488"/>
      <c r="N28" s="2488"/>
      <c r="O28" s="2543"/>
      <c r="P28" s="3321"/>
      <c r="Q28" s="1263" t="str">
        <f t="shared" si="11"/>
        <v>物业等级</v>
      </c>
      <c r="R28" s="667" t="s">
        <v>14</v>
      </c>
      <c r="S28" s="668">
        <f t="shared" si="12"/>
        <v>100</v>
      </c>
      <c r="T28" s="667" t="s">
        <v>14</v>
      </c>
      <c r="U28" s="668">
        <f t="shared" si="13"/>
        <v>100</v>
      </c>
      <c r="V28" s="667" t="s">
        <v>14</v>
      </c>
      <c r="W28" s="668">
        <f t="shared" si="14"/>
        <v>100</v>
      </c>
      <c r="X28" s="1265"/>
      <c r="Y28" s="3321"/>
      <c r="Z28" s="1264" t="str">
        <f t="shared" si="15"/>
        <v>物业等级</v>
      </c>
      <c r="AA28" s="1264">
        <f t="shared" si="3"/>
        <v>1</v>
      </c>
      <c r="AB28" s="1264">
        <f t="shared" si="4"/>
        <v>1</v>
      </c>
      <c r="AC28" s="1264">
        <f t="shared" si="5"/>
        <v>1</v>
      </c>
    </row>
    <row r="29" spans="1:29" ht="15" hidden="1">
      <c r="A29" s="409"/>
      <c r="B29" s="364" t="s">
        <v>1856</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21"/>
      <c r="Q29" s="1263" t="str">
        <f t="shared" si="11"/>
        <v>有无电梯</v>
      </c>
      <c r="R29" s="667" t="s">
        <v>14</v>
      </c>
      <c r="S29" s="668">
        <f t="shared" si="12"/>
        <v>100</v>
      </c>
      <c r="T29" s="667" t="s">
        <v>14</v>
      </c>
      <c r="U29" s="668">
        <f t="shared" si="13"/>
        <v>100</v>
      </c>
      <c r="V29" s="667" t="s">
        <v>14</v>
      </c>
      <c r="W29" s="668">
        <f t="shared" si="14"/>
        <v>100</v>
      </c>
      <c r="X29" s="1265"/>
      <c r="Y29" s="3321"/>
      <c r="Z29" s="1264" t="str">
        <f t="shared" si="15"/>
        <v>有无电梯</v>
      </c>
      <c r="AA29" s="1264">
        <f t="shared" si="3"/>
        <v>1</v>
      </c>
      <c r="AB29" s="1264">
        <f t="shared" si="4"/>
        <v>1</v>
      </c>
      <c r="AC29" s="1264">
        <f t="shared" si="5"/>
        <v>1</v>
      </c>
    </row>
    <row r="30" spans="1:29" ht="15">
      <c r="A30" s="409"/>
      <c r="B30" s="364" t="s">
        <v>1857</v>
      </c>
      <c r="C30" s="407">
        <f>'数据-汇总表'!G20</f>
        <v>42.4</v>
      </c>
      <c r="D30" s="374">
        <v>100</v>
      </c>
      <c r="E30" s="407">
        <v>21</v>
      </c>
      <c r="F30" s="400">
        <f>LOOKUP(E30,87:87,88:88)-LOOKUP(C30,87:87,88:88)+100</f>
        <v>101</v>
      </c>
      <c r="G30" s="407">
        <f>ROUND(414/16,2)</f>
        <v>25.88</v>
      </c>
      <c r="H30" s="374">
        <f>LOOKUP(G30,87:87,88:88)-LOOKUP(C30,87:87,88:88)+100</f>
        <v>101</v>
      </c>
      <c r="I30" s="407">
        <f>ROUND(143/7,2)</f>
        <v>20.43</v>
      </c>
      <c r="J30" s="374">
        <f>LOOKUP(I30,87:87,88:88)-LOOKUP(C30,87:87,88:88)+100</f>
        <v>101</v>
      </c>
      <c r="K30" s="539"/>
      <c r="L30" s="2493"/>
      <c r="M30" s="2488"/>
      <c r="N30" s="2488"/>
      <c r="O30" s="2543"/>
      <c r="P30" s="3321"/>
      <c r="Q30" s="1263" t="str">
        <f t="shared" si="11"/>
        <v>建筑面积</v>
      </c>
      <c r="R30" s="667" t="s">
        <v>14</v>
      </c>
      <c r="S30" s="668">
        <f t="shared" si="12"/>
        <v>101</v>
      </c>
      <c r="T30" s="667" t="s">
        <v>14</v>
      </c>
      <c r="U30" s="668">
        <f t="shared" si="13"/>
        <v>101</v>
      </c>
      <c r="V30" s="667" t="s">
        <v>14</v>
      </c>
      <c r="W30" s="668">
        <f t="shared" si="14"/>
        <v>101</v>
      </c>
      <c r="X30" s="1265"/>
      <c r="Y30" s="3321"/>
      <c r="Z30" s="1264" t="str">
        <f t="shared" si="15"/>
        <v>建筑面积</v>
      </c>
      <c r="AA30" s="1264">
        <f t="shared" si="3"/>
        <v>0.99009900990099009</v>
      </c>
      <c r="AB30" s="1264">
        <f t="shared" si="4"/>
        <v>0.99009900990099009</v>
      </c>
      <c r="AC30" s="1264">
        <f t="shared" si="5"/>
        <v>0.99009900990099009</v>
      </c>
    </row>
    <row r="31" spans="1:29" s="102" customFormat="1" ht="15" hidden="1">
      <c r="A31" s="410"/>
      <c r="B31" s="364" t="s">
        <v>1858</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21"/>
      <c r="Q31" s="530" t="str">
        <f t="shared" si="11"/>
        <v>是否封闭</v>
      </c>
      <c r="R31" s="664" t="s">
        <v>14</v>
      </c>
      <c r="S31" s="665">
        <f t="shared" si="12"/>
        <v>100</v>
      </c>
      <c r="T31" s="664" t="s">
        <v>14</v>
      </c>
      <c r="U31" s="665">
        <f t="shared" si="13"/>
        <v>100</v>
      </c>
      <c r="V31" s="664" t="s">
        <v>14</v>
      </c>
      <c r="W31" s="665">
        <f t="shared" si="14"/>
        <v>100</v>
      </c>
      <c r="X31" s="666"/>
      <c r="Y31" s="3321"/>
      <c r="Z31" s="50" t="str">
        <f t="shared" si="15"/>
        <v>是否封闭</v>
      </c>
      <c r="AA31" s="50">
        <f t="shared" si="3"/>
        <v>1</v>
      </c>
      <c r="AB31" s="50">
        <f t="shared" si="4"/>
        <v>1</v>
      </c>
      <c r="AC31" s="50">
        <f t="shared" si="5"/>
        <v>1</v>
      </c>
    </row>
    <row r="32" spans="1:29" ht="15.75" thickBot="1">
      <c r="A32" s="409"/>
      <c r="B32" s="447" t="s">
        <v>4837</v>
      </c>
      <c r="C32" s="3180" t="s">
        <v>4839</v>
      </c>
      <c r="D32" s="374">
        <v>100</v>
      </c>
      <c r="E32" s="3180" t="s">
        <v>4839</v>
      </c>
      <c r="F32" s="400">
        <f>SUMIF(91:91,E32,92:92)-SUMIF(91:91,C32,92:92)+100</f>
        <v>100</v>
      </c>
      <c r="G32" s="3180" t="s">
        <v>4839</v>
      </c>
      <c r="H32" s="374">
        <f>SUMIF(91:91,G32,92:92)-SUMIF(91:91,C32,92:92)+100</f>
        <v>100</v>
      </c>
      <c r="I32" s="3183" t="s">
        <v>4845</v>
      </c>
      <c r="J32" s="374">
        <f>SUMIF(91:91,I32,92:92)-SUMIF(91:91,C32,92:92)+100</f>
        <v>95</v>
      </c>
      <c r="K32" s="539"/>
      <c r="L32" s="2493"/>
      <c r="M32" s="2488"/>
      <c r="N32" s="2488"/>
      <c r="O32" s="2543"/>
      <c r="P32" s="3321" t="s">
        <v>1692</v>
      </c>
      <c r="Q32" s="1263" t="str">
        <f t="shared" si="11"/>
        <v>建筑形式</v>
      </c>
      <c r="R32" s="667" t="s">
        <v>14</v>
      </c>
      <c r="S32" s="668">
        <f t="shared" si="12"/>
        <v>100</v>
      </c>
      <c r="T32" s="667" t="s">
        <v>14</v>
      </c>
      <c r="U32" s="668">
        <f t="shared" si="13"/>
        <v>100</v>
      </c>
      <c r="V32" s="667" t="s">
        <v>14</v>
      </c>
      <c r="W32" s="668">
        <f t="shared" si="14"/>
        <v>95</v>
      </c>
      <c r="X32" s="1265"/>
      <c r="Y32" s="3321" t="s">
        <v>1692</v>
      </c>
      <c r="Z32" s="1264" t="str">
        <f t="shared" si="15"/>
        <v>建筑形式</v>
      </c>
      <c r="AA32" s="1264">
        <f t="shared" si="3"/>
        <v>1</v>
      </c>
      <c r="AB32" s="1264">
        <f t="shared" si="4"/>
        <v>1</v>
      </c>
      <c r="AC32" s="1264">
        <f t="shared" si="5"/>
        <v>1.0526315789473684</v>
      </c>
    </row>
    <row r="33" spans="1:30" ht="15" hidden="1">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21"/>
      <c r="Q33" s="1263">
        <f t="shared" si="11"/>
        <v>111</v>
      </c>
      <c r="R33" s="667" t="s">
        <v>14</v>
      </c>
      <c r="S33" s="668">
        <f t="shared" si="12"/>
        <v>100</v>
      </c>
      <c r="T33" s="667" t="s">
        <v>14</v>
      </c>
      <c r="U33" s="668">
        <f t="shared" si="13"/>
        <v>100</v>
      </c>
      <c r="V33" s="667" t="s">
        <v>14</v>
      </c>
      <c r="W33" s="668">
        <f t="shared" si="14"/>
        <v>100</v>
      </c>
      <c r="X33" s="1265"/>
      <c r="Y33" s="3321"/>
      <c r="Z33" s="1264">
        <f t="shared" si="15"/>
        <v>111</v>
      </c>
      <c r="AA33" s="1264">
        <f t="shared" si="3"/>
        <v>1</v>
      </c>
      <c r="AB33" s="1264">
        <f t="shared" si="4"/>
        <v>1</v>
      </c>
      <c r="AC33" s="1264">
        <f t="shared" si="5"/>
        <v>1</v>
      </c>
    </row>
    <row r="34" spans="1:30" ht="15.75" hidden="1"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21"/>
      <c r="Q34" s="1263">
        <f t="shared" si="11"/>
        <v>111</v>
      </c>
      <c r="R34" s="667" t="s">
        <v>14</v>
      </c>
      <c r="S34" s="668">
        <f t="shared" si="12"/>
        <v>100</v>
      </c>
      <c r="T34" s="667" t="s">
        <v>14</v>
      </c>
      <c r="U34" s="668">
        <f t="shared" si="13"/>
        <v>100</v>
      </c>
      <c r="V34" s="667" t="s">
        <v>14</v>
      </c>
      <c r="W34" s="668">
        <f t="shared" si="14"/>
        <v>100</v>
      </c>
      <c r="X34" s="1265"/>
      <c r="Y34" s="3321"/>
      <c r="Z34" s="1264">
        <f t="shared" si="15"/>
        <v>111</v>
      </c>
      <c r="AA34" s="1264">
        <f t="shared" si="3"/>
        <v>1</v>
      </c>
      <c r="AB34" s="1264">
        <f t="shared" si="4"/>
        <v>1</v>
      </c>
      <c r="AC34" s="1264">
        <f t="shared" si="5"/>
        <v>1</v>
      </c>
    </row>
    <row r="35" spans="1:30" ht="15">
      <c r="A35" s="416" t="s">
        <v>1704</v>
      </c>
      <c r="B35" s="417"/>
      <c r="C35" s="1081" t="s">
        <v>0</v>
      </c>
      <c r="D35" s="418"/>
      <c r="E35" s="419">
        <v>33003</v>
      </c>
      <c r="F35" s="420"/>
      <c r="G35" s="421">
        <v>24664</v>
      </c>
      <c r="H35" s="422"/>
      <c r="I35" s="419">
        <v>24399</v>
      </c>
      <c r="J35" s="422"/>
      <c r="K35" s="674"/>
      <c r="L35" s="2495"/>
      <c r="M35" s="2488"/>
      <c r="N35" s="2488"/>
      <c r="O35" s="2488"/>
      <c r="P35" s="3302" t="str">
        <f>A35</f>
        <v>成交单价（元/平方米）</v>
      </c>
      <c r="Q35" s="3302"/>
      <c r="R35" s="3316">
        <f>E35</f>
        <v>33003</v>
      </c>
      <c r="S35" s="3316"/>
      <c r="T35" s="3316">
        <f>G35</f>
        <v>24664</v>
      </c>
      <c r="U35" s="3316"/>
      <c r="V35" s="3316">
        <f>I35</f>
        <v>24399</v>
      </c>
      <c r="W35" s="3316"/>
      <c r="X35" s="385"/>
      <c r="Y35" s="673"/>
      <c r="Z35" s="385"/>
      <c r="AA35" s="385"/>
      <c r="AB35" s="385"/>
      <c r="AC35" s="385"/>
    </row>
    <row r="36" spans="1:30" ht="15.75" thickBot="1">
      <c r="A36" s="423" t="s">
        <v>1789</v>
      </c>
      <c r="B36" s="424"/>
      <c r="C36" s="1082">
        <f>R37</f>
        <v>29575</v>
      </c>
      <c r="D36" s="2141" t="s">
        <v>4846</v>
      </c>
      <c r="E36" s="1083">
        <f>R36</f>
        <v>32676</v>
      </c>
      <c r="F36" s="2142">
        <v>0.6</v>
      </c>
      <c r="G36" s="1082">
        <f>T36</f>
        <v>24420</v>
      </c>
      <c r="H36" s="2142">
        <v>0.2</v>
      </c>
      <c r="I36" s="1083">
        <f>V36</f>
        <v>25429</v>
      </c>
      <c r="J36" s="2142">
        <v>0.2</v>
      </c>
      <c r="K36" s="2144">
        <f>F36+H36+J36</f>
        <v>1</v>
      </c>
      <c r="L36" s="2495"/>
      <c r="M36" s="2488"/>
      <c r="N36" s="2488"/>
      <c r="O36" s="2488"/>
      <c r="P36" s="3302" t="str">
        <f>A36</f>
        <v>比较价值（元/平方米）</v>
      </c>
      <c r="Q36" s="3302"/>
      <c r="R36" s="3316">
        <f>IF(F1="售价",ROUND(PRODUCT(R35,AA7:AA34),0),ROUND(PRODUCT(R35,AA7:AA34),1))</f>
        <v>32676</v>
      </c>
      <c r="S36" s="3316"/>
      <c r="T36" s="3316">
        <f>IF(F1="售价",ROUND(PRODUCT(T35,AB7:AB34),0),ROUND(PRODUCT(T35,AB7:AB34),1))</f>
        <v>24420</v>
      </c>
      <c r="U36" s="3316"/>
      <c r="V36" s="3316">
        <f>IF(F1="售价",ROUND(PRODUCT(V35,AC7:AC34),0),ROUND(PRODUCT(V35,AC7:AC34),1))</f>
        <v>25429</v>
      </c>
      <c r="W36" s="3316"/>
      <c r="X36" s="385"/>
      <c r="Y36" s="385"/>
      <c r="Z36" s="385"/>
      <c r="AA36" s="385"/>
      <c r="AB36" s="385"/>
      <c r="AC36" s="385"/>
    </row>
    <row r="37" spans="1:30" ht="15.75" thickBot="1">
      <c r="A37" s="427" t="s">
        <v>1790</v>
      </c>
      <c r="B37" s="428"/>
      <c r="C37" s="351">
        <f>R37</f>
        <v>29575</v>
      </c>
      <c r="D37" s="351"/>
      <c r="E37" s="351"/>
      <c r="F37" s="351"/>
      <c r="G37" s="351"/>
      <c r="H37" s="351"/>
      <c r="I37" s="351"/>
      <c r="J37" s="351"/>
      <c r="K37" s="675"/>
      <c r="L37" s="2495"/>
      <c r="M37" s="2488"/>
      <c r="N37" s="2488"/>
      <c r="O37" s="2488"/>
      <c r="P37" s="3323" t="str">
        <f>A37</f>
        <v>估价对象XX用房的比较价值（楼面单价，元/平方米）</v>
      </c>
      <c r="Q37" s="3324"/>
      <c r="R37" s="3480">
        <f>IF(F1="售价",ROUND(IF(D36="简单平均",AVERAGE(R36:W36),R36*F36+T36*H36+V36*J36),0),ROUND(IF(D36="简单平均",AVERAGE(R36:V36),R36*F36+T36*H36+V36*J36),1))</f>
        <v>29575</v>
      </c>
      <c r="S37" s="3480"/>
      <c r="T37" s="3480"/>
      <c r="U37" s="3480"/>
      <c r="V37" s="3480"/>
      <c r="W37" s="348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1791</v>
      </c>
      <c r="D40" s="433"/>
      <c r="E40" s="434">
        <f>IF(E35&lt;E36,E36/E35-1,E35/E36-1)</f>
        <v>1.0007344840249788E-2</v>
      </c>
      <c r="F40" s="435" t="str">
        <f>IF(OR(E40&gt;=0.3,E40&lt;=-0.3),"超过30%","")</f>
        <v/>
      </c>
      <c r="G40" s="434">
        <f>IF(G35&lt;G36,G36/G35-1,G35/G36-1)</f>
        <v>9.9918099918099301E-3</v>
      </c>
      <c r="H40" s="435" t="str">
        <f>IF(OR(G40&gt;=0.3,G40&lt;=-0.3),"超过30%","")</f>
        <v/>
      </c>
      <c r="I40" s="434">
        <f>IF(I35&lt;I36,I36/I35-1,I35/I36-1)</f>
        <v>4.2214844870691381E-2</v>
      </c>
      <c r="J40" s="435" t="str">
        <f>IF(OR(I40&gt;=0.3,I40&lt;=-0.3),"超过30%","")</f>
        <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1792</v>
      </c>
      <c r="D41" s="436"/>
      <c r="E41" s="434">
        <f>IF(E36&lt;G36,G36/E36-1,E36/G36-1)</f>
        <v>0.33808353808353808</v>
      </c>
      <c r="F41" s="435" t="str">
        <f>IF(OR(E41&gt;=0.2,E41&lt;=-0.2),"超过20%","")</f>
        <v>超过20%</v>
      </c>
      <c r="G41" s="434">
        <f>IF(G36&lt;I36,I36/G36-1,G36/I36-1)</f>
        <v>4.1318591318591391E-2</v>
      </c>
      <c r="H41" s="435" t="str">
        <f>IF(OR(G41&gt;=0.2,G41&lt;=-0.2),"超过20%","")</f>
        <v/>
      </c>
      <c r="I41" s="434">
        <f>IF(I36&lt;E36,E36/I36-1,I36/E36-1)</f>
        <v>0.28498957882732312</v>
      </c>
      <c r="J41" s="435" t="str">
        <f>IF(OR(I41&gt;=0.2,I41&lt;=-0.2),"超过20%","")</f>
        <v>超过20%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1793</v>
      </c>
      <c r="D42" s="436"/>
      <c r="E42" s="434">
        <f>IF(E35&lt;G35,G35/E35-1,E35/G35-1)</f>
        <v>0.33810411936425555</v>
      </c>
      <c r="F42" s="435" t="str">
        <f>IF(OR(E42&gt;=0.3,E42&lt;=-0.3),"超过30%","")</f>
        <v>超过30%</v>
      </c>
      <c r="G42" s="434">
        <f>IF(G35&lt;I35,I35/G35-1,G35/I35-1)</f>
        <v>1.0861100864789641E-2</v>
      </c>
      <c r="H42" s="435" t="str">
        <f>IF(OR(G42&gt;=0.3,G42&lt;=-0.3),"超过30%","")</f>
        <v/>
      </c>
      <c r="I42" s="434">
        <f>IF(I35&lt;E35,E35/I35-1,I35/E35-1)</f>
        <v>0.35263740317226122</v>
      </c>
      <c r="J42" s="435" t="str">
        <f>IF(OR(I42&gt;=0.3,I42&lt;=-0.3),"超过30%","")</f>
        <v>超过30%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1794</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1675</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1712</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1677</v>
      </c>
      <c r="B49" s="444"/>
      <c r="C49" s="456" t="s">
        <v>1772</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1715</v>
      </c>
      <c r="B51" s="460" t="s">
        <v>1681</v>
      </c>
      <c r="C51" s="461" t="str">
        <f>C9</f>
        <v>地下仓储</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1684</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1686</v>
      </c>
      <c r="B61" s="460" t="s">
        <v>1722</v>
      </c>
      <c r="C61" s="504" t="s">
        <v>1717</v>
      </c>
      <c r="D61" s="504" t="s">
        <v>1718</v>
      </c>
      <c r="E61" s="504" t="s">
        <v>1719</v>
      </c>
      <c r="F61" s="504" t="s">
        <v>1720</v>
      </c>
      <c r="G61" s="504" t="s">
        <v>1721</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97</v>
      </c>
      <c r="E62" s="475">
        <f>D62-$K14</f>
        <v>94</v>
      </c>
      <c r="F62" s="475">
        <f>E62-$K14</f>
        <v>91</v>
      </c>
      <c r="G62" s="475">
        <f>F62-$K14</f>
        <v>88</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1859</v>
      </c>
      <c r="C63" s="509" t="s">
        <v>1717</v>
      </c>
      <c r="D63" s="509" t="s">
        <v>1718</v>
      </c>
      <c r="E63" s="509" t="s">
        <v>1719</v>
      </c>
      <c r="F63" s="509" t="s">
        <v>1720</v>
      </c>
      <c r="G63" s="509" t="s">
        <v>1721</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97</v>
      </c>
      <c r="E64" s="475">
        <f>D64-$K16</f>
        <v>94</v>
      </c>
      <c r="F64" s="475">
        <f>E64-$K16</f>
        <v>91</v>
      </c>
      <c r="G64" s="475">
        <f>F64-$K16</f>
        <v>88</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1809</v>
      </c>
      <c r="C65" s="581" t="s">
        <v>1795</v>
      </c>
      <c r="D65" s="581" t="s">
        <v>1796</v>
      </c>
      <c r="E65" s="581" t="s">
        <v>1797</v>
      </c>
      <c r="F65" s="581" t="s">
        <v>1798</v>
      </c>
      <c r="G65" s="581" t="s">
        <v>1799</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98</v>
      </c>
      <c r="E66" s="475">
        <f>D66-$K18</f>
        <v>96</v>
      </c>
      <c r="F66" s="475">
        <f>E66-$K18</f>
        <v>94</v>
      </c>
      <c r="G66" s="475">
        <f>F66-$K18</f>
        <v>92</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1729</v>
      </c>
      <c r="C67" s="509" t="s">
        <v>1717</v>
      </c>
      <c r="D67" s="509" t="s">
        <v>1718</v>
      </c>
      <c r="E67" s="509" t="s">
        <v>1719</v>
      </c>
      <c r="F67" s="509" t="s">
        <v>1720</v>
      </c>
      <c r="G67" s="509" t="s">
        <v>1721</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97</v>
      </c>
      <c r="E68" s="475">
        <f>D68-$K20</f>
        <v>94</v>
      </c>
      <c r="F68" s="475">
        <f>E68-$K20</f>
        <v>91</v>
      </c>
      <c r="G68" s="475">
        <f>F68-$K20</f>
        <v>88</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1848</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1690</v>
      </c>
      <c r="B77" s="460" t="s">
        <v>1736</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95</v>
      </c>
      <c r="E78" s="475">
        <f t="shared" si="17"/>
        <v>90</v>
      </c>
      <c r="F78" s="475">
        <f t="shared" si="17"/>
        <v>85</v>
      </c>
      <c r="G78" s="475">
        <f t="shared" si="17"/>
        <v>80</v>
      </c>
      <c r="H78" s="475">
        <f t="shared" si="17"/>
        <v>75</v>
      </c>
      <c r="I78" s="475">
        <f t="shared" si="17"/>
        <v>70</v>
      </c>
      <c r="J78" s="475">
        <f t="shared" si="17"/>
        <v>65</v>
      </c>
      <c r="K78" s="475">
        <f t="shared" si="17"/>
        <v>60</v>
      </c>
      <c r="L78" s="475">
        <f t="shared" si="17"/>
        <v>55</v>
      </c>
      <c r="M78" s="476">
        <f t="shared" si="17"/>
        <v>50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1851</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102</v>
      </c>
      <c r="E81" s="475">
        <f t="shared" si="18"/>
        <v>104</v>
      </c>
      <c r="F81" s="475">
        <f t="shared" si="18"/>
        <v>106</v>
      </c>
      <c r="G81" s="475">
        <f t="shared" si="18"/>
        <v>108</v>
      </c>
      <c r="H81" s="475">
        <f t="shared" si="18"/>
        <v>110</v>
      </c>
      <c r="I81" s="475">
        <f t="shared" si="18"/>
        <v>112</v>
      </c>
      <c r="J81" s="475">
        <f t="shared" si="18"/>
        <v>114</v>
      </c>
      <c r="K81" s="475">
        <f t="shared" si="18"/>
        <v>116</v>
      </c>
      <c r="L81" s="475">
        <f t="shared" si="18"/>
        <v>118</v>
      </c>
      <c r="M81" s="475">
        <f t="shared" si="18"/>
        <v>120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1852</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98</v>
      </c>
      <c r="E83" s="475">
        <f t="shared" si="19"/>
        <v>96</v>
      </c>
      <c r="F83" s="475">
        <f t="shared" si="19"/>
        <v>94</v>
      </c>
      <c r="G83" s="475">
        <f t="shared" si="19"/>
        <v>92</v>
      </c>
      <c r="H83" s="475">
        <f t="shared" si="19"/>
        <v>90</v>
      </c>
      <c r="I83" s="475">
        <f t="shared" si="19"/>
        <v>88</v>
      </c>
      <c r="J83" s="475">
        <f t="shared" si="19"/>
        <v>86</v>
      </c>
      <c r="K83" s="475">
        <f t="shared" si="19"/>
        <v>84</v>
      </c>
      <c r="L83" s="475">
        <f t="shared" si="19"/>
        <v>82</v>
      </c>
      <c r="M83" s="476">
        <f t="shared" si="19"/>
        <v>80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1860</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1861</v>
      </c>
      <c r="C86" s="509" t="str">
        <f t="shared" ref="C86:L86" si="21">C87&amp;"(含)"&amp;"-"&amp;D87</f>
        <v>0(含)-30</v>
      </c>
      <c r="D86" s="509" t="str">
        <f t="shared" si="21"/>
        <v>30(含)-60</v>
      </c>
      <c r="E86" s="509" t="str">
        <f t="shared" si="21"/>
        <v>60(含)-100</v>
      </c>
      <c r="F86" s="509" t="str">
        <f t="shared" si="21"/>
        <v>100(含)-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v>0</v>
      </c>
      <c r="D87" s="6">
        <v>30</v>
      </c>
      <c r="E87" s="6">
        <v>60</v>
      </c>
      <c r="F87" s="6">
        <v>100</v>
      </c>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v>100</v>
      </c>
      <c r="D88" s="467">
        <v>99</v>
      </c>
      <c r="E88" s="467">
        <v>98</v>
      </c>
      <c r="F88" s="467">
        <v>97</v>
      </c>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1862</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t="str">
        <f>B32</f>
        <v>建筑形式</v>
      </c>
      <c r="C91" s="480" t="s">
        <v>4838</v>
      </c>
      <c r="D91" s="480" t="s">
        <v>4844</v>
      </c>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v>100</v>
      </c>
      <c r="D92" s="467">
        <v>95</v>
      </c>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5" priority="13" stopIfTrue="1">
      <formula>$F$40="超过30%"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F7:F34 H7:H34 J7:J34">
    <cfRule type="cellIs" dxfId="32" priority="1" operator="notEqual">
      <formula>100</formula>
    </cfRule>
  </conditionalFormatting>
  <conditionalFormatting sqref="F36">
    <cfRule type="expression" dxfId="31" priority="4">
      <formula>$D$36="简单平均"</formula>
    </cfRule>
  </conditionalFormatting>
  <conditionalFormatting sqref="F40:F42 H40:H42 J40:J42">
    <cfRule type="containsText" dxfId="30" priority="14" stopIfTrue="1" operator="containsText" text="超过">
      <formula>NOT(ISERROR(SEARCH("超过",F40)))</formula>
    </cfRule>
  </conditionalFormatting>
  <conditionalFormatting sqref="G40">
    <cfRule type="expression" dxfId="29" priority="9" stopIfTrue="1">
      <formula>$H$52+$H$40="超过30%"</formula>
    </cfRule>
  </conditionalFormatting>
  <conditionalFormatting sqref="G41">
    <cfRule type="expression" dxfId="28" priority="8" stopIfTrue="1">
      <formula>$H$53+$H$41="超过20%"</formula>
    </cfRule>
  </conditionalFormatting>
  <conditionalFormatting sqref="G42">
    <cfRule type="expression" dxfId="27" priority="12" stopIfTrue="1">
      <formula>$H$54+$H$42="超过30%"</formula>
    </cfRule>
  </conditionalFormatting>
  <conditionalFormatting sqref="H36">
    <cfRule type="expression" dxfId="26" priority="3">
      <formula>$D$36="简单平均"</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J36">
    <cfRule type="expression" dxfId="22"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1913</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1460</v>
      </c>
      <c r="B3" s="536" t="e">
        <f>ROUND(IF(D3="",B2*10000/'数据-汇总表'!E3,B2*10000/D3),0)</f>
        <v>#DIV/0!</v>
      </c>
      <c r="C3" s="195" t="s">
        <v>1865</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1765</v>
      </c>
      <c r="B4" s="346"/>
      <c r="C4" s="3304" t="s">
        <v>1766</v>
      </c>
      <c r="D4" s="3305"/>
      <c r="E4" s="3306" t="s">
        <v>1767</v>
      </c>
      <c r="F4" s="3307"/>
      <c r="G4" s="3304" t="s">
        <v>1768</v>
      </c>
      <c r="H4" s="3305"/>
      <c r="I4" s="3304" t="s">
        <v>1769</v>
      </c>
      <c r="J4" s="3305"/>
      <c r="K4" s="537" t="s">
        <v>1770</v>
      </c>
      <c r="L4" s="2487"/>
      <c r="M4" s="2488"/>
      <c r="N4" s="2488"/>
      <c r="O4" s="2488"/>
      <c r="P4" s="3308" t="s">
        <v>1771</v>
      </c>
      <c r="Q4" s="3309"/>
      <c r="R4" s="3290" t="s">
        <v>1767</v>
      </c>
      <c r="S4" s="3291"/>
      <c r="T4" s="3290" t="s">
        <v>1768</v>
      </c>
      <c r="U4" s="3291"/>
      <c r="V4" s="3316" t="s">
        <v>1769</v>
      </c>
      <c r="W4" s="3316"/>
      <c r="X4" s="1265"/>
      <c r="Y4" s="3290" t="s">
        <v>1771</v>
      </c>
      <c r="Z4" s="3291"/>
      <c r="AA4" s="3285" t="s">
        <v>1767</v>
      </c>
      <c r="AB4" s="3286" t="s">
        <v>1768</v>
      </c>
      <c r="AC4" s="3285" t="s">
        <v>1769</v>
      </c>
    </row>
    <row r="5" spans="1:29" ht="15">
      <c r="A5" s="348"/>
      <c r="B5" s="349"/>
      <c r="C5" s="3296" t="s">
        <v>1669</v>
      </c>
      <c r="D5" s="3297"/>
      <c r="E5" s="3294" t="s">
        <v>1670</v>
      </c>
      <c r="F5" s="3295"/>
      <c r="G5" s="3296" t="s">
        <v>1671</v>
      </c>
      <c r="H5" s="3297"/>
      <c r="I5" s="3296" t="s">
        <v>1672</v>
      </c>
      <c r="J5" s="3297"/>
      <c r="K5" s="537"/>
      <c r="L5" s="2487"/>
      <c r="M5" s="2488"/>
      <c r="N5" s="2488"/>
      <c r="O5" s="2488"/>
      <c r="P5" s="3310"/>
      <c r="Q5" s="3311"/>
      <c r="R5" s="3292"/>
      <c r="S5" s="3293"/>
      <c r="T5" s="3292"/>
      <c r="U5" s="3293"/>
      <c r="V5" s="3316"/>
      <c r="W5" s="3316"/>
      <c r="X5" s="1265"/>
      <c r="Y5" s="3292"/>
      <c r="Z5" s="3293"/>
      <c r="AA5" s="3286"/>
      <c r="AB5" s="3286"/>
      <c r="AC5" s="3286"/>
    </row>
    <row r="6" spans="1:29" ht="15.75" thickBot="1">
      <c r="A6" s="350"/>
      <c r="B6" s="351"/>
      <c r="C6" s="3482" t="s">
        <v>1914</v>
      </c>
      <c r="D6" s="3483"/>
      <c r="E6" s="3484" t="s">
        <v>1914</v>
      </c>
      <c r="F6" s="3485"/>
      <c r="G6" s="3482" t="s">
        <v>1914</v>
      </c>
      <c r="H6" s="3483"/>
      <c r="I6" s="3482" t="s">
        <v>1914</v>
      </c>
      <c r="J6" s="3483"/>
      <c r="K6" s="537" t="s">
        <v>1674</v>
      </c>
      <c r="L6" s="2487"/>
      <c r="M6" s="2488"/>
      <c r="N6" s="2488"/>
      <c r="O6" s="2488"/>
      <c r="P6" s="3312"/>
      <c r="Q6" s="3313"/>
      <c r="R6" s="3292"/>
      <c r="S6" s="3293"/>
      <c r="T6" s="3314"/>
      <c r="U6" s="3315"/>
      <c r="V6" s="3316"/>
      <c r="W6" s="3316"/>
      <c r="X6" s="1265"/>
      <c r="Y6" s="3314"/>
      <c r="Z6" s="3315"/>
      <c r="AA6" s="3287"/>
      <c r="AB6" s="3287"/>
      <c r="AC6" s="3287"/>
    </row>
    <row r="7" spans="1:29" s="102" customFormat="1" ht="15.75" thickBot="1">
      <c r="A7" s="352" t="s">
        <v>1675</v>
      </c>
      <c r="B7" s="353"/>
      <c r="C7" s="354">
        <f>'数据-取费表'!B2</f>
        <v>46014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288" t="s">
        <v>1676</v>
      </c>
      <c r="Q7" s="3317"/>
      <c r="R7" s="664" t="s">
        <v>14</v>
      </c>
      <c r="S7" s="665">
        <f t="shared" ref="S7:S15" si="0">F7</f>
        <v>0</v>
      </c>
      <c r="T7" s="664" t="s">
        <v>14</v>
      </c>
      <c r="U7" s="665">
        <f t="shared" ref="U7:U15" si="1">H7</f>
        <v>0</v>
      </c>
      <c r="V7" s="664" t="s">
        <v>14</v>
      </c>
      <c r="W7" s="665">
        <f t="shared" ref="W7:W15" si="2">J7</f>
        <v>0</v>
      </c>
      <c r="X7" s="666"/>
      <c r="Y7" s="3288" t="s">
        <v>1676</v>
      </c>
      <c r="Z7" s="3289"/>
      <c r="AA7" s="50" t="e">
        <f>D7/F7</f>
        <v>#DIV/0!</v>
      </c>
      <c r="AB7" s="50" t="e">
        <f>D7/H7</f>
        <v>#DIV/0!</v>
      </c>
      <c r="AC7" s="50" t="e">
        <f>D7/J7</f>
        <v>#DIV/0!</v>
      </c>
    </row>
    <row r="8" spans="1:29" s="102" customFormat="1" ht="15.75" thickBot="1">
      <c r="A8" s="352" t="s">
        <v>1677</v>
      </c>
      <c r="B8" s="353"/>
      <c r="C8" s="358" t="s">
        <v>1678</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288" t="s">
        <v>1679</v>
      </c>
      <c r="Q8" s="3289"/>
      <c r="R8" s="664" t="s">
        <v>14</v>
      </c>
      <c r="S8" s="665">
        <f t="shared" si="0"/>
        <v>0</v>
      </c>
      <c r="T8" s="664" t="s">
        <v>14</v>
      </c>
      <c r="U8" s="665">
        <f t="shared" si="1"/>
        <v>0</v>
      </c>
      <c r="V8" s="664" t="s">
        <v>14</v>
      </c>
      <c r="W8" s="665">
        <f t="shared" si="2"/>
        <v>0</v>
      </c>
      <c r="X8" s="666"/>
      <c r="Y8" s="3288" t="s">
        <v>1679</v>
      </c>
      <c r="Z8" s="3289"/>
      <c r="AA8" s="50" t="e">
        <f t="shared" ref="AA8:AA40" si="3">D8/F8</f>
        <v>#DIV/0!</v>
      </c>
      <c r="AB8" s="50" t="e">
        <f t="shared" ref="AB8:AB40" si="4">D8/H8</f>
        <v>#DIV/0!</v>
      </c>
      <c r="AC8" s="50" t="e">
        <f t="shared" ref="AC8:AC40" si="5">D8/J8</f>
        <v>#DIV/0!</v>
      </c>
    </row>
    <row r="9" spans="1:29" s="102" customFormat="1">
      <c r="A9" s="359" t="s">
        <v>1680</v>
      </c>
      <c r="B9" s="60" t="s">
        <v>1681</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02" t="s">
        <v>1682</v>
      </c>
      <c r="Q9" s="530" t="str">
        <f t="shared" ref="Q9:Q15" si="6">B9</f>
        <v>用途</v>
      </c>
      <c r="R9" s="664" t="s">
        <v>14</v>
      </c>
      <c r="S9" s="665">
        <f t="shared" si="0"/>
        <v>100</v>
      </c>
      <c r="T9" s="664" t="s">
        <v>14</v>
      </c>
      <c r="U9" s="665">
        <f t="shared" si="1"/>
        <v>100</v>
      </c>
      <c r="V9" s="664" t="s">
        <v>14</v>
      </c>
      <c r="W9" s="665">
        <f t="shared" si="2"/>
        <v>100</v>
      </c>
      <c r="X9" s="666"/>
      <c r="Y9" s="3303" t="s">
        <v>1683</v>
      </c>
      <c r="Z9" s="50" t="str">
        <f t="shared" ref="Z9:Z15" si="7">Q9</f>
        <v>用途</v>
      </c>
      <c r="AA9" s="50">
        <f t="shared" si="3"/>
        <v>1</v>
      </c>
      <c r="AB9" s="50">
        <f t="shared" si="4"/>
        <v>1</v>
      </c>
      <c r="AC9" s="50">
        <f t="shared" si="5"/>
        <v>1</v>
      </c>
    </row>
    <row r="10" spans="1:29" s="366" customFormat="1" ht="27">
      <c r="A10" s="363"/>
      <c r="B10" s="364" t="s">
        <v>1684</v>
      </c>
      <c r="C10" s="371"/>
      <c r="D10" s="119">
        <v>100</v>
      </c>
      <c r="E10" s="371"/>
      <c r="F10" s="119">
        <f>ROUND(100/'数据-取费表'!G16,0)</f>
        <v>101</v>
      </c>
      <c r="G10" s="371"/>
      <c r="H10" s="119">
        <f>ROUND(100/'数据-取费表'!G16,0)</f>
        <v>101</v>
      </c>
      <c r="I10" s="371"/>
      <c r="J10" s="119">
        <f>ROUND(100/'数据-取费表'!G16,0)</f>
        <v>101</v>
      </c>
      <c r="K10" s="592"/>
      <c r="L10" s="2490"/>
      <c r="M10" s="2491"/>
      <c r="N10" s="2491"/>
      <c r="O10" s="2542"/>
      <c r="P10" s="3302"/>
      <c r="Q10" s="530" t="str">
        <f t="shared" si="6"/>
        <v>土地使用年限（年）</v>
      </c>
      <c r="R10" s="664" t="s">
        <v>14</v>
      </c>
      <c r="S10" s="665">
        <f t="shared" si="0"/>
        <v>101</v>
      </c>
      <c r="T10" s="664" t="s">
        <v>14</v>
      </c>
      <c r="U10" s="665">
        <f t="shared" si="1"/>
        <v>101</v>
      </c>
      <c r="V10" s="664" t="s">
        <v>14</v>
      </c>
      <c r="W10" s="665">
        <f t="shared" si="2"/>
        <v>101</v>
      </c>
      <c r="X10" s="666"/>
      <c r="Y10" s="3303"/>
      <c r="Z10" s="50" t="str">
        <f t="shared" si="7"/>
        <v>土地使用年限（年）</v>
      </c>
      <c r="AA10" s="50">
        <f t="shared" si="3"/>
        <v>0.99009900990099009</v>
      </c>
      <c r="AB10" s="50">
        <f t="shared" si="4"/>
        <v>0.99009900990099009</v>
      </c>
      <c r="AC10" s="50">
        <f t="shared" si="5"/>
        <v>0.99009900990099009</v>
      </c>
    </row>
    <row r="11" spans="1:29" ht="15">
      <c r="A11" s="367"/>
      <c r="B11" s="364" t="s">
        <v>1685</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02"/>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02"/>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02"/>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02"/>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15">
      <c r="A15" s="379" t="s">
        <v>1686</v>
      </c>
      <c r="B15" s="554" t="s">
        <v>1915</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18" t="s">
        <v>1687</v>
      </c>
      <c r="Q15" s="1263" t="str">
        <f t="shared" si="6"/>
        <v>产业集聚程度</v>
      </c>
      <c r="R15" s="667" t="s">
        <v>14</v>
      </c>
      <c r="S15" s="668">
        <f t="shared" si="0"/>
        <v>100</v>
      </c>
      <c r="T15" s="667" t="s">
        <v>14</v>
      </c>
      <c r="U15" s="668">
        <f t="shared" si="1"/>
        <v>100</v>
      </c>
      <c r="V15" s="667" t="s">
        <v>14</v>
      </c>
      <c r="W15" s="668">
        <f t="shared" si="2"/>
        <v>100</v>
      </c>
      <c r="X15" s="1265"/>
      <c r="Y15" s="3318" t="s">
        <v>1687</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19"/>
      <c r="Q16" s="1263"/>
      <c r="R16" s="667"/>
      <c r="S16" s="668"/>
      <c r="T16" s="667"/>
      <c r="U16" s="668"/>
      <c r="V16" s="667"/>
      <c r="W16" s="668"/>
      <c r="X16" s="1265"/>
      <c r="Y16" s="3319"/>
      <c r="Z16" s="1264"/>
      <c r="AA16" s="1264">
        <v>1</v>
      </c>
      <c r="AB16" s="1264">
        <v>1</v>
      </c>
      <c r="AC16" s="1264">
        <v>1</v>
      </c>
    </row>
    <row r="17" spans="1:29" ht="15">
      <c r="A17" s="367"/>
      <c r="B17" s="556" t="s">
        <v>1829</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19"/>
      <c r="Q17" s="1263" t="str">
        <f>B17</f>
        <v>交通便捷度</v>
      </c>
      <c r="R17" s="667" t="s">
        <v>14</v>
      </c>
      <c r="S17" s="668">
        <f>F17</f>
        <v>100</v>
      </c>
      <c r="T17" s="667" t="s">
        <v>14</v>
      </c>
      <c r="U17" s="668">
        <f>H17</f>
        <v>100</v>
      </c>
      <c r="V17" s="667" t="s">
        <v>14</v>
      </c>
      <c r="W17" s="668">
        <f>J17</f>
        <v>100</v>
      </c>
      <c r="X17" s="1265"/>
      <c r="Y17" s="331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19"/>
      <c r="Q18" s="1263"/>
      <c r="R18" s="667"/>
      <c r="S18" s="668"/>
      <c r="T18" s="667"/>
      <c r="U18" s="668"/>
      <c r="V18" s="667"/>
      <c r="W18" s="668"/>
      <c r="X18" s="1265"/>
      <c r="Y18" s="3319"/>
      <c r="Z18" s="1264"/>
      <c r="AA18" s="1264">
        <v>1</v>
      </c>
      <c r="AB18" s="1264">
        <v>1</v>
      </c>
      <c r="AC18" s="1264">
        <v>1</v>
      </c>
    </row>
    <row r="19" spans="1:29" ht="15">
      <c r="A19" s="367"/>
      <c r="B19" s="556" t="s">
        <v>1866</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19"/>
      <c r="Q19" s="1263" t="str">
        <f t="shared" ref="Q19:Q33" si="8">B19</f>
        <v>区域土地利用方向</v>
      </c>
      <c r="R19" s="667" t="s">
        <v>14</v>
      </c>
      <c r="S19" s="668">
        <f>F19</f>
        <v>100</v>
      </c>
      <c r="T19" s="667" t="s">
        <v>14</v>
      </c>
      <c r="U19" s="668">
        <f>H19</f>
        <v>100</v>
      </c>
      <c r="V19" s="667" t="s">
        <v>14</v>
      </c>
      <c r="W19" s="668">
        <f>J19</f>
        <v>100</v>
      </c>
      <c r="X19" s="1265"/>
      <c r="Y19" s="331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19"/>
      <c r="Q20" s="1263"/>
      <c r="R20" s="667"/>
      <c r="S20" s="668"/>
      <c r="T20" s="667"/>
      <c r="U20" s="668"/>
      <c r="V20" s="667"/>
      <c r="W20" s="668"/>
      <c r="X20" s="1265"/>
      <c r="Y20" s="3319"/>
      <c r="Z20" s="1264"/>
      <c r="AA20" s="1264"/>
      <c r="AB20" s="1264"/>
      <c r="AC20" s="1264"/>
    </row>
    <row r="21" spans="1:29" ht="15">
      <c r="A21" s="348"/>
      <c r="B21" s="556" t="s">
        <v>1916</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19"/>
      <c r="Q21" s="1263" t="str">
        <f t="shared" si="8"/>
        <v>环境状况</v>
      </c>
      <c r="R21" s="667" t="s">
        <v>14</v>
      </c>
      <c r="S21" s="668">
        <f>F21</f>
        <v>100</v>
      </c>
      <c r="T21" s="667" t="s">
        <v>14</v>
      </c>
      <c r="U21" s="668">
        <f>H21</f>
        <v>100</v>
      </c>
      <c r="V21" s="667" t="s">
        <v>14</v>
      </c>
      <c r="W21" s="668">
        <f>J21</f>
        <v>100</v>
      </c>
      <c r="X21" s="1265"/>
      <c r="Y21" s="331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19"/>
      <c r="Q22" s="1263"/>
      <c r="R22" s="667"/>
      <c r="S22" s="668"/>
      <c r="T22" s="667"/>
      <c r="U22" s="668"/>
      <c r="V22" s="667"/>
      <c r="W22" s="668"/>
      <c r="X22" s="1265"/>
      <c r="Y22" s="3319"/>
      <c r="Z22" s="1264"/>
      <c r="AA22" s="1264">
        <v>1</v>
      </c>
      <c r="AB22" s="1264">
        <v>1</v>
      </c>
      <c r="AC22" s="1264">
        <v>1</v>
      </c>
    </row>
    <row r="23" spans="1:29" s="102" customFormat="1" ht="15">
      <c r="A23" s="443"/>
      <c r="B23" s="557" t="s">
        <v>1774</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19"/>
      <c r="Q23" s="530" t="str">
        <f t="shared" si="8"/>
        <v>公共配套设施</v>
      </c>
      <c r="R23" s="664" t="s">
        <v>14</v>
      </c>
      <c r="S23" s="665">
        <f>F23</f>
        <v>100</v>
      </c>
      <c r="T23" s="664" t="s">
        <v>14</v>
      </c>
      <c r="U23" s="665">
        <f>H23</f>
        <v>100</v>
      </c>
      <c r="V23" s="664" t="s">
        <v>14</v>
      </c>
      <c r="W23" s="665">
        <f>J23</f>
        <v>100</v>
      </c>
      <c r="X23" s="666"/>
      <c r="Y23" s="331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19"/>
      <c r="Q24" s="530"/>
      <c r="R24" s="664"/>
      <c r="S24" s="665"/>
      <c r="T24" s="664"/>
      <c r="U24" s="665"/>
      <c r="V24" s="664"/>
      <c r="W24" s="665"/>
      <c r="X24" s="666"/>
      <c r="Y24" s="3319"/>
      <c r="Z24" s="50"/>
      <c r="AA24" s="50">
        <v>1</v>
      </c>
      <c r="AB24" s="50">
        <v>1</v>
      </c>
      <c r="AC24" s="50">
        <v>1</v>
      </c>
    </row>
    <row r="25" spans="1:29" s="102" customFormat="1" ht="15">
      <c r="A25" s="443"/>
      <c r="B25" s="557" t="s">
        <v>1775</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19"/>
      <c r="Q25" s="530" t="str">
        <f t="shared" ref="Q25" si="9">B25</f>
        <v>基础设施水平</v>
      </c>
      <c r="R25" s="664" t="s">
        <v>14</v>
      </c>
      <c r="S25" s="665">
        <f>F25</f>
        <v>100</v>
      </c>
      <c r="T25" s="664" t="s">
        <v>14</v>
      </c>
      <c r="U25" s="665">
        <f>H25</f>
        <v>100</v>
      </c>
      <c r="V25" s="664" t="s">
        <v>14</v>
      </c>
      <c r="W25" s="665">
        <f>J25</f>
        <v>100</v>
      </c>
      <c r="X25" s="666"/>
      <c r="Y25" s="331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19"/>
      <c r="Q26" s="530"/>
      <c r="R26" s="664"/>
      <c r="S26" s="665"/>
      <c r="T26" s="664"/>
      <c r="U26" s="665"/>
      <c r="V26" s="664"/>
      <c r="W26" s="665"/>
      <c r="X26" s="666"/>
      <c r="Y26" s="3319"/>
      <c r="Z26" s="50"/>
      <c r="AA26" s="50">
        <v>1</v>
      </c>
      <c r="AB26" s="50">
        <v>1</v>
      </c>
      <c r="AC26" s="50">
        <v>1</v>
      </c>
    </row>
    <row r="27" spans="1:29" ht="15">
      <c r="A27" s="367"/>
      <c r="B27" s="401" t="s">
        <v>1776</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1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19"/>
      <c r="Z27" s="1264" t="str">
        <f t="shared" ref="Z27:Z40" si="13">Q27</f>
        <v>临街状况</v>
      </c>
      <c r="AA27" s="1264">
        <f t="shared" si="3"/>
        <v>1</v>
      </c>
      <c r="AB27" s="1264">
        <f t="shared" si="4"/>
        <v>1</v>
      </c>
      <c r="AC27" s="1264">
        <f t="shared" si="5"/>
        <v>1</v>
      </c>
    </row>
    <row r="28" spans="1:29" ht="27">
      <c r="A28" s="367"/>
      <c r="B28" s="557" t="s">
        <v>1811</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19"/>
      <c r="Q28" s="1263" t="str">
        <f t="shared" si="8"/>
        <v>毗邻道路的类型与等级</v>
      </c>
      <c r="R28" s="667" t="s">
        <v>14</v>
      </c>
      <c r="S28" s="668">
        <f t="shared" si="10"/>
        <v>100</v>
      </c>
      <c r="T28" s="667" t="s">
        <v>14</v>
      </c>
      <c r="U28" s="668">
        <f t="shared" si="11"/>
        <v>100</v>
      </c>
      <c r="V28" s="667" t="s">
        <v>14</v>
      </c>
      <c r="W28" s="668">
        <f t="shared" si="12"/>
        <v>100</v>
      </c>
      <c r="X28" s="1265"/>
      <c r="Y28" s="331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19"/>
      <c r="Q29" s="1263"/>
      <c r="R29" s="667"/>
      <c r="S29" s="668"/>
      <c r="T29" s="667"/>
      <c r="U29" s="668"/>
      <c r="V29" s="667"/>
      <c r="W29" s="668"/>
      <c r="X29" s="1265"/>
      <c r="Y29" s="3319"/>
      <c r="Z29" s="1264"/>
      <c r="AA29" s="1264">
        <v>1</v>
      </c>
      <c r="AB29" s="1264">
        <v>1</v>
      </c>
      <c r="AC29" s="1264">
        <v>1</v>
      </c>
    </row>
    <row r="30" spans="1:29" ht="15">
      <c r="A30" s="367"/>
      <c r="B30" s="119" t="s">
        <v>1868</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19"/>
      <c r="Q30" s="1263" t="str">
        <f t="shared" si="8"/>
        <v>土地级别</v>
      </c>
      <c r="R30" s="667" t="s">
        <v>14</v>
      </c>
      <c r="S30" s="668">
        <f t="shared" si="10"/>
        <v>100</v>
      </c>
      <c r="T30" s="667" t="s">
        <v>14</v>
      </c>
      <c r="U30" s="668">
        <f t="shared" si="11"/>
        <v>100</v>
      </c>
      <c r="V30" s="667" t="s">
        <v>14</v>
      </c>
      <c r="W30" s="668">
        <f t="shared" si="12"/>
        <v>100</v>
      </c>
      <c r="X30" s="1265"/>
      <c r="Y30" s="331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19"/>
      <c r="Q31" s="1263">
        <f t="shared" si="8"/>
        <v>111</v>
      </c>
      <c r="R31" s="667" t="s">
        <v>14</v>
      </c>
      <c r="S31" s="668">
        <f t="shared" si="10"/>
        <v>100</v>
      </c>
      <c r="T31" s="667" t="s">
        <v>14</v>
      </c>
      <c r="U31" s="668">
        <f t="shared" si="11"/>
        <v>100</v>
      </c>
      <c r="V31" s="667" t="s">
        <v>14</v>
      </c>
      <c r="W31" s="668">
        <f t="shared" si="12"/>
        <v>100</v>
      </c>
      <c r="X31" s="1265"/>
      <c r="Y31" s="331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20" t="s">
        <v>1692</v>
      </c>
      <c r="Q32" s="1263">
        <f t="shared" si="8"/>
        <v>111</v>
      </c>
      <c r="R32" s="667" t="s">
        <v>14</v>
      </c>
      <c r="S32" s="668">
        <f t="shared" si="10"/>
        <v>100</v>
      </c>
      <c r="T32" s="667" t="s">
        <v>14</v>
      </c>
      <c r="U32" s="668">
        <f t="shared" si="11"/>
        <v>100</v>
      </c>
      <c r="V32" s="667" t="s">
        <v>14</v>
      </c>
      <c r="W32" s="668">
        <f t="shared" si="12"/>
        <v>100</v>
      </c>
      <c r="X32" s="1265"/>
      <c r="Y32" s="3321" t="s">
        <v>1692</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21"/>
      <c r="Q33" s="1263">
        <f t="shared" si="8"/>
        <v>111</v>
      </c>
      <c r="R33" s="669" t="s">
        <v>14</v>
      </c>
      <c r="S33" s="670">
        <f t="shared" si="10"/>
        <v>100</v>
      </c>
      <c r="T33" s="669" t="s">
        <v>14</v>
      </c>
      <c r="U33" s="670">
        <f t="shared" si="11"/>
        <v>100</v>
      </c>
      <c r="V33" s="669" t="s">
        <v>14</v>
      </c>
      <c r="W33" s="670">
        <f t="shared" si="12"/>
        <v>100</v>
      </c>
      <c r="X33" s="671"/>
      <c r="Y33" s="3321"/>
      <c r="Z33" s="672">
        <f t="shared" si="13"/>
        <v>111</v>
      </c>
      <c r="AA33" s="1264">
        <f t="shared" si="3"/>
        <v>1</v>
      </c>
      <c r="AB33" s="1264">
        <f t="shared" si="4"/>
        <v>1</v>
      </c>
      <c r="AC33" s="1264">
        <f t="shared" si="5"/>
        <v>1</v>
      </c>
    </row>
    <row r="34" spans="1:31" ht="15">
      <c r="A34" s="379" t="s">
        <v>1690</v>
      </c>
      <c r="B34" s="395" t="s">
        <v>1869</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21"/>
      <c r="Q34" s="1263" t="str">
        <f>B34</f>
        <v>宗地面积</v>
      </c>
      <c r="R34" s="667" t="s">
        <v>14</v>
      </c>
      <c r="S34" s="668" t="e">
        <f t="shared" si="10"/>
        <v>#N/A</v>
      </c>
      <c r="T34" s="667" t="s">
        <v>14</v>
      </c>
      <c r="U34" s="668" t="e">
        <f t="shared" si="11"/>
        <v>#N/A</v>
      </c>
      <c r="V34" s="667" t="s">
        <v>14</v>
      </c>
      <c r="W34" s="668" t="e">
        <f t="shared" si="12"/>
        <v>#N/A</v>
      </c>
      <c r="X34" s="1265"/>
      <c r="Y34" s="3321"/>
      <c r="Z34" s="1264" t="str">
        <f t="shared" si="13"/>
        <v>宗地面积</v>
      </c>
      <c r="AA34" s="1264" t="e">
        <f t="shared" si="3"/>
        <v>#N/A</v>
      </c>
      <c r="AB34" s="1264" t="e">
        <f t="shared" si="4"/>
        <v>#N/A</v>
      </c>
      <c r="AC34" s="1264" t="e">
        <f t="shared" si="5"/>
        <v>#N/A</v>
      </c>
    </row>
    <row r="35" spans="1:31" ht="15">
      <c r="A35" s="409"/>
      <c r="B35" s="364" t="s">
        <v>1870</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21"/>
      <c r="Q35" s="1263" t="str">
        <f t="shared" ref="Q35:Q40" si="14">B35</f>
        <v>宗地形状</v>
      </c>
      <c r="R35" s="667" t="s">
        <v>14</v>
      </c>
      <c r="S35" s="668">
        <f t="shared" si="10"/>
        <v>100</v>
      </c>
      <c r="T35" s="667" t="s">
        <v>14</v>
      </c>
      <c r="U35" s="668">
        <f t="shared" si="11"/>
        <v>100</v>
      </c>
      <c r="V35" s="667" t="s">
        <v>14</v>
      </c>
      <c r="W35" s="668">
        <f t="shared" si="12"/>
        <v>100</v>
      </c>
      <c r="X35" s="1265"/>
      <c r="Y35" s="3321"/>
      <c r="Z35" s="1264" t="str">
        <f t="shared" si="13"/>
        <v>宗地形状</v>
      </c>
      <c r="AA35" s="1264">
        <f t="shared" si="3"/>
        <v>1</v>
      </c>
      <c r="AB35" s="1264">
        <f t="shared" si="4"/>
        <v>1</v>
      </c>
      <c r="AC35" s="1264">
        <f t="shared" si="5"/>
        <v>1</v>
      </c>
    </row>
    <row r="36" spans="1:31" s="102" customFormat="1" ht="15">
      <c r="A36" s="410"/>
      <c r="B36" s="364" t="s">
        <v>1872</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21"/>
      <c r="Q36" s="1263" t="str">
        <f t="shared" si="14"/>
        <v>宗地开发程度</v>
      </c>
      <c r="R36" s="664" t="s">
        <v>14</v>
      </c>
      <c r="S36" s="665">
        <f t="shared" si="10"/>
        <v>100</v>
      </c>
      <c r="T36" s="664" t="s">
        <v>14</v>
      </c>
      <c r="U36" s="665">
        <f t="shared" si="11"/>
        <v>100</v>
      </c>
      <c r="V36" s="664" t="s">
        <v>14</v>
      </c>
      <c r="W36" s="665">
        <f t="shared" si="12"/>
        <v>100</v>
      </c>
      <c r="X36" s="666"/>
      <c r="Y36" s="3321"/>
      <c r="Z36" s="50" t="str">
        <f t="shared" si="13"/>
        <v>宗地开发程度</v>
      </c>
      <c r="AA36" s="50">
        <f t="shared" si="3"/>
        <v>1</v>
      </c>
      <c r="AB36" s="50">
        <f t="shared" si="4"/>
        <v>1</v>
      </c>
      <c r="AC36" s="50">
        <f t="shared" si="5"/>
        <v>1</v>
      </c>
    </row>
    <row r="37" spans="1:31" ht="15">
      <c r="A37" s="409"/>
      <c r="B37" s="364" t="s">
        <v>1873</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21" t="s">
        <v>1692</v>
      </c>
      <c r="Q37" s="1263" t="str">
        <f t="shared" si="14"/>
        <v>工程地质条件</v>
      </c>
      <c r="R37" s="667" t="s">
        <v>14</v>
      </c>
      <c r="S37" s="668">
        <f t="shared" si="10"/>
        <v>100</v>
      </c>
      <c r="T37" s="667" t="s">
        <v>14</v>
      </c>
      <c r="U37" s="668">
        <f t="shared" si="11"/>
        <v>100</v>
      </c>
      <c r="V37" s="667" t="s">
        <v>14</v>
      </c>
      <c r="W37" s="668">
        <f t="shared" si="12"/>
        <v>100</v>
      </c>
      <c r="X37" s="1265"/>
      <c r="Y37" s="3321" t="s">
        <v>1692</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21"/>
      <c r="Q38" s="1263">
        <f t="shared" si="14"/>
        <v>111</v>
      </c>
      <c r="R38" s="667" t="s">
        <v>14</v>
      </c>
      <c r="S38" s="668">
        <f t="shared" si="10"/>
        <v>100</v>
      </c>
      <c r="T38" s="667" t="s">
        <v>14</v>
      </c>
      <c r="U38" s="668">
        <f t="shared" si="11"/>
        <v>100</v>
      </c>
      <c r="V38" s="667" t="s">
        <v>14</v>
      </c>
      <c r="W38" s="668">
        <f t="shared" si="12"/>
        <v>100</v>
      </c>
      <c r="X38" s="1265"/>
      <c r="Y38" s="332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21"/>
      <c r="Q39" s="1263">
        <f t="shared" si="14"/>
        <v>111</v>
      </c>
      <c r="R39" s="667" t="s">
        <v>14</v>
      </c>
      <c r="S39" s="668">
        <f t="shared" si="10"/>
        <v>100</v>
      </c>
      <c r="T39" s="667" t="s">
        <v>14</v>
      </c>
      <c r="U39" s="668">
        <f t="shared" si="11"/>
        <v>100</v>
      </c>
      <c r="V39" s="667" t="s">
        <v>14</v>
      </c>
      <c r="W39" s="668">
        <f t="shared" si="12"/>
        <v>100</v>
      </c>
      <c r="X39" s="1265"/>
      <c r="Y39" s="332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21"/>
      <c r="Q40" s="1263">
        <f t="shared" si="14"/>
        <v>111</v>
      </c>
      <c r="R40" s="669" t="s">
        <v>14</v>
      </c>
      <c r="S40" s="670">
        <f t="shared" si="10"/>
        <v>100</v>
      </c>
      <c r="T40" s="669" t="s">
        <v>14</v>
      </c>
      <c r="U40" s="670">
        <f t="shared" si="11"/>
        <v>100</v>
      </c>
      <c r="V40" s="669" t="s">
        <v>14</v>
      </c>
      <c r="W40" s="670">
        <f t="shared" si="12"/>
        <v>100</v>
      </c>
      <c r="X40" s="671"/>
      <c r="Y40" s="3321"/>
      <c r="Z40" s="672">
        <f t="shared" si="13"/>
        <v>111</v>
      </c>
      <c r="AA40" s="1264">
        <f t="shared" si="3"/>
        <v>1</v>
      </c>
      <c r="AB40" s="1264">
        <f t="shared" si="4"/>
        <v>1</v>
      </c>
      <c r="AC40" s="1264">
        <f t="shared" si="5"/>
        <v>1</v>
      </c>
    </row>
    <row r="41" spans="1:31" ht="15">
      <c r="A41" s="416" t="s">
        <v>1840</v>
      </c>
      <c r="B41" s="1830" t="s">
        <v>1917</v>
      </c>
      <c r="C41" s="602" t="s">
        <v>0</v>
      </c>
      <c r="D41" s="418"/>
      <c r="E41" s="419"/>
      <c r="F41" s="420"/>
      <c r="G41" s="421"/>
      <c r="H41" s="422"/>
      <c r="I41" s="419"/>
      <c r="J41" s="422"/>
      <c r="K41" s="674"/>
      <c r="L41" s="2495"/>
      <c r="M41" s="2488"/>
      <c r="N41" s="2488"/>
      <c r="O41" s="2488"/>
      <c r="P41" s="3302" t="str">
        <f>A41</f>
        <v>成交单价</v>
      </c>
      <c r="Q41" s="3302"/>
      <c r="R41" s="3316">
        <f>E41</f>
        <v>0</v>
      </c>
      <c r="S41" s="3316"/>
      <c r="T41" s="3316">
        <f>G41</f>
        <v>0</v>
      </c>
      <c r="U41" s="3316"/>
      <c r="V41" s="3316">
        <f>I41</f>
        <v>0</v>
      </c>
      <c r="W41" s="3316"/>
      <c r="X41" s="385"/>
      <c r="Y41" s="673"/>
      <c r="Z41" s="385"/>
      <c r="AA41" s="385"/>
      <c r="AB41" s="385"/>
      <c r="AC41" s="385"/>
    </row>
    <row r="42" spans="1:31" ht="15.75" thickBot="1">
      <c r="A42" s="423" t="s">
        <v>1789</v>
      </c>
      <c r="B42" s="603"/>
      <c r="C42" s="426" t="e">
        <f>R43</f>
        <v>#DIV/0!</v>
      </c>
      <c r="D42" s="2141" t="s">
        <v>2132</v>
      </c>
      <c r="E42" s="426" t="e">
        <f>R42</f>
        <v>#DIV/0!</v>
      </c>
      <c r="F42" s="2142"/>
      <c r="G42" s="425" t="e">
        <f>T42</f>
        <v>#DIV/0!</v>
      </c>
      <c r="H42" s="2142"/>
      <c r="I42" s="426" t="e">
        <f>V42</f>
        <v>#DIV/0!</v>
      </c>
      <c r="J42" s="2142"/>
      <c r="K42" s="2144">
        <f>F42+H42+J42</f>
        <v>0</v>
      </c>
      <c r="L42" s="2495"/>
      <c r="M42" s="2488"/>
      <c r="N42" s="2488"/>
      <c r="O42" s="2488"/>
      <c r="P42" s="3302" t="str">
        <f>A42</f>
        <v>比较价值（元/平方米）</v>
      </c>
      <c r="Q42" s="3302"/>
      <c r="R42" s="3322" t="e">
        <f>ROUND(PRODUCT(R41,AA7:AA40),0)</f>
        <v>#DIV/0!</v>
      </c>
      <c r="S42" s="3322"/>
      <c r="T42" s="3322" t="e">
        <f>ROUND(PRODUCT(T41,AB7:AB40),0)</f>
        <v>#DIV/0!</v>
      </c>
      <c r="U42" s="3322"/>
      <c r="V42" s="3322" t="e">
        <f>ROUND(PRODUCT(V41,AC7:AC40),0)</f>
        <v>#DIV/0!</v>
      </c>
      <c r="W42" s="3322"/>
      <c r="X42" s="385"/>
      <c r="Y42" s="385"/>
      <c r="Z42" s="385"/>
      <c r="AA42" s="385"/>
      <c r="AB42" s="385"/>
      <c r="AC42" s="385"/>
    </row>
    <row r="43" spans="1:31" ht="15.75" thickBot="1">
      <c r="A43" s="427" t="s">
        <v>1790</v>
      </c>
      <c r="B43" s="428"/>
      <c r="C43" s="429" t="e">
        <f>R43</f>
        <v>#DIV/0!</v>
      </c>
      <c r="D43" s="429"/>
      <c r="E43" s="429"/>
      <c r="F43" s="429"/>
      <c r="G43" s="429"/>
      <c r="H43" s="429"/>
      <c r="I43" s="429"/>
      <c r="J43" s="429"/>
      <c r="K43" s="675"/>
      <c r="L43" s="2495"/>
      <c r="M43" s="2488"/>
      <c r="N43" s="2488"/>
      <c r="O43" s="2488"/>
      <c r="P43" s="3323" t="str">
        <f>A43</f>
        <v>估价对象XX用房的比较价值（楼面单价，元/平方米）</v>
      </c>
      <c r="Q43" s="3324"/>
      <c r="R43" s="3325" t="e">
        <f>ROUND(IF(D42="简单平均",AVERAGE(R42:W42),R42*F42+T42*H42+V42*J42),0)</f>
        <v>#DIV/0!</v>
      </c>
      <c r="S43" s="3325"/>
      <c r="T43" s="3325"/>
      <c r="U43" s="3325"/>
      <c r="V43" s="3325"/>
      <c r="W43" s="332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1876</v>
      </c>
      <c r="B50" s="605" t="s">
        <v>1877</v>
      </c>
      <c r="C50" s="1831" t="s">
        <v>1878</v>
      </c>
      <c r="D50" s="1832" t="s">
        <v>1879</v>
      </c>
      <c r="E50" s="606" t="s">
        <v>1880</v>
      </c>
      <c r="F50" s="607" t="s">
        <v>1881</v>
      </c>
      <c r="G50" s="3304" t="s">
        <v>1882</v>
      </c>
      <c r="H50" s="3326"/>
      <c r="I50" s="1264" t="s">
        <v>1918</v>
      </c>
      <c r="J50" s="1264">
        <f>项目基本情况!F35</f>
        <v>0</v>
      </c>
      <c r="K50" s="1834" t="s">
        <v>1884</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1885</v>
      </c>
      <c r="B51" s="609" t="e">
        <f>C43</f>
        <v>#DIV/0!</v>
      </c>
      <c r="C51" s="610">
        <v>1</v>
      </c>
      <c r="D51" s="890">
        <v>1</v>
      </c>
      <c r="E51" s="610">
        <f>'数据-汇总表'!E8+'数据-汇总表'!E9</f>
        <v>272.99</v>
      </c>
      <c r="F51" s="611" t="e">
        <f t="shared" ref="F51:F60" si="15">ROUND(B51*E51/10000,0)</f>
        <v>#DIV/0!</v>
      </c>
      <c r="G51" s="3327"/>
      <c r="H51" s="330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1886</v>
      </c>
      <c r="B52" s="210" t="e">
        <f>ROUND($C$43*C52*D52,0)</f>
        <v>#DIV/0!</v>
      </c>
      <c r="C52" s="163">
        <f t="shared" ref="C52:C60" si="16">IF($C$50="北京市系数",I52,J52)</f>
        <v>0</v>
      </c>
      <c r="D52" s="891">
        <v>0.25</v>
      </c>
      <c r="E52" s="614"/>
      <c r="F52" s="611" t="e">
        <f t="shared" si="15"/>
        <v>#DIV/0!</v>
      </c>
      <c r="G52" s="2751" t="s">
        <v>1887</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1888</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1889</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1890</v>
      </c>
      <c r="B56" s="210" t="e">
        <f t="shared" si="17"/>
        <v>#DIV/0!</v>
      </c>
      <c r="C56" s="163">
        <f t="shared" si="16"/>
        <v>0</v>
      </c>
      <c r="D56" s="891">
        <v>0.25</v>
      </c>
      <c r="E56" s="209">
        <f>'数据-汇总表'!E11</f>
        <v>0</v>
      </c>
      <c r="F56" s="611" t="e">
        <f t="shared" si="15"/>
        <v>#DIV/0!</v>
      </c>
      <c r="G56" s="1835" t="s">
        <v>1891</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1892</v>
      </c>
      <c r="B57" s="210" t="e">
        <f t="shared" si="17"/>
        <v>#DIV/0!</v>
      </c>
      <c r="C57" s="163">
        <f t="shared" si="16"/>
        <v>0</v>
      </c>
      <c r="D57" s="891">
        <v>0.25</v>
      </c>
      <c r="E57" s="209">
        <f>'数据-汇总表'!E12</f>
        <v>42.4</v>
      </c>
      <c r="F57" s="611" t="e">
        <f t="shared" si="15"/>
        <v>#DIV/0!</v>
      </c>
      <c r="G57" s="839" t="s">
        <v>1893</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1894</v>
      </c>
      <c r="B58" s="210" t="e">
        <f t="shared" si="17"/>
        <v>#DIV/0!</v>
      </c>
      <c r="C58" s="163">
        <f t="shared" si="16"/>
        <v>0.15</v>
      </c>
      <c r="D58" s="891">
        <v>0.25</v>
      </c>
      <c r="E58" s="209">
        <f>'数据-汇总表'!E13</f>
        <v>0</v>
      </c>
      <c r="F58" s="611" t="e">
        <f t="shared" si="15"/>
        <v>#DIV/0!</v>
      </c>
      <c r="G58" s="839" t="s">
        <v>1895</v>
      </c>
      <c r="H58" s="834" t="str">
        <f>IF(G58="商业",项目基本情况!B37,IF(G58="办公",项目基本情况!C37,IF(G58="住宅",项目基本情况!D37,项目基本情况!E37)))</f>
        <v>六级</v>
      </c>
      <c r="I58" s="727">
        <f>SUMIF(修正!A59:A70,H58,修正!G59:G70)</f>
        <v>0.15</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1896</v>
      </c>
      <c r="B59" s="210" t="e">
        <f t="shared" si="17"/>
        <v>#DIV/0!</v>
      </c>
      <c r="C59" s="163">
        <f t="shared" si="16"/>
        <v>0</v>
      </c>
      <c r="D59" s="891">
        <v>0.25</v>
      </c>
      <c r="E59" s="209">
        <f>'数据-汇总表'!E14</f>
        <v>0</v>
      </c>
      <c r="F59" s="611" t="e">
        <f t="shared" si="15"/>
        <v>#DIV/0!</v>
      </c>
      <c r="G59" s="1835" t="s">
        <v>1887</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1897</v>
      </c>
      <c r="B60" s="210" t="e">
        <f t="shared" si="17"/>
        <v>#DIV/0!</v>
      </c>
      <c r="C60" s="163">
        <f t="shared" si="16"/>
        <v>0</v>
      </c>
      <c r="D60" s="891">
        <v>0.25</v>
      </c>
      <c r="E60" s="209">
        <f>'数据-汇总表'!E15</f>
        <v>0</v>
      </c>
      <c r="F60" s="611" t="e">
        <f t="shared" si="15"/>
        <v>#DIV/0!</v>
      </c>
      <c r="G60" s="1836" t="s">
        <v>1891</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1898</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75" thickBot="1">
      <c r="A64" s="658" t="s">
        <v>1794</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1899</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1919</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1712</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1677</v>
      </c>
      <c r="B68" s="444"/>
      <c r="C68" s="456" t="s">
        <v>1772</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1715</v>
      </c>
      <c r="B70" s="460" t="s">
        <v>1681</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1684</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1685</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1686</v>
      </c>
      <c r="B83" s="460" t="s">
        <v>1825</v>
      </c>
      <c r="C83" s="504" t="s">
        <v>1717</v>
      </c>
      <c r="D83" s="504" t="s">
        <v>1718</v>
      </c>
      <c r="E83" s="504" t="s">
        <v>1719</v>
      </c>
      <c r="F83" s="504" t="s">
        <v>1720</v>
      </c>
      <c r="G83" s="504" t="s">
        <v>1721</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1722</v>
      </c>
      <c r="C85" s="509" t="s">
        <v>1717</v>
      </c>
      <c r="D85" s="509" t="s">
        <v>1718</v>
      </c>
      <c r="E85" s="509" t="s">
        <v>1719</v>
      </c>
      <c r="F85" s="509" t="s">
        <v>1720</v>
      </c>
      <c r="G85" s="509" t="s">
        <v>1721</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1902</v>
      </c>
      <c r="C87" s="504" t="s">
        <v>1717</v>
      </c>
      <c r="D87" s="504" t="s">
        <v>1718</v>
      </c>
      <c r="E87" s="504" t="s">
        <v>1719</v>
      </c>
      <c r="F87" s="504" t="s">
        <v>1720</v>
      </c>
      <c r="G87" s="504" t="s">
        <v>1721</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1903</v>
      </c>
      <c r="C89" s="504" t="s">
        <v>1717</v>
      </c>
      <c r="D89" s="504" t="s">
        <v>1718</v>
      </c>
      <c r="E89" s="504" t="s">
        <v>1719</v>
      </c>
      <c r="F89" s="504" t="s">
        <v>1720</v>
      </c>
      <c r="G89" s="504" t="s">
        <v>1721</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1774</v>
      </c>
      <c r="C91" s="504" t="s">
        <v>1717</v>
      </c>
      <c r="D91" s="504" t="s">
        <v>1718</v>
      </c>
      <c r="E91" s="504" t="s">
        <v>1719</v>
      </c>
      <c r="F91" s="504" t="s">
        <v>1720</v>
      </c>
      <c r="G91" s="504" t="s">
        <v>1721</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1920</v>
      </c>
      <c r="C93" s="581" t="s">
        <v>1795</v>
      </c>
      <c r="D93" s="581" t="s">
        <v>1796</v>
      </c>
      <c r="E93" s="581" t="s">
        <v>1797</v>
      </c>
      <c r="F93" s="581" t="s">
        <v>1798</v>
      </c>
      <c r="G93" s="581" t="s">
        <v>1799</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1904</v>
      </c>
      <c r="D95" s="470" t="s">
        <v>1905</v>
      </c>
      <c r="E95" s="470" t="s">
        <v>1906</v>
      </c>
      <c r="F95" s="470" t="s">
        <v>1907</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1811</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1868</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1690</v>
      </c>
      <c r="B107" s="460" t="s">
        <v>1908</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1909</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1911</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1912</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1" priority="13" stopIfTrue="1">
      <formula>$F$46="超过30%"</formula>
    </cfRule>
  </conditionalFormatting>
  <conditionalFormatting sqref="E47">
    <cfRule type="expression" dxfId="20" priority="53" stopIfTrue="1">
      <formula>#REF!+$F$47="超过20%"</formula>
    </cfRule>
  </conditionalFormatting>
  <conditionalFormatting sqref="E48">
    <cfRule type="expression" dxfId="19" priority="10" stopIfTrue="1">
      <formula>$F$48="超过30%"</formula>
    </cfRule>
  </conditionalFormatting>
  <conditionalFormatting sqref="F7:F40 H7:H40 J7:J40">
    <cfRule type="cellIs" dxfId="18" priority="1" operator="notEqual">
      <formula>100</formula>
    </cfRule>
  </conditionalFormatting>
  <conditionalFormatting sqref="F42">
    <cfRule type="expression" dxfId="17" priority="4">
      <formula>$D$42="简单平均"</formula>
    </cfRule>
  </conditionalFormatting>
  <conditionalFormatting sqref="F46:F48 H46:H48 J46:J48">
    <cfRule type="containsText" dxfId="16" priority="14" stopIfTrue="1" operator="containsText" text="超过">
      <formula>NOT(ISERROR(SEARCH("超过",F46)))</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G48">
    <cfRule type="expression" dxfId="13" priority="12" stopIfTrue="1">
      <formula>$H$48="超过30%"</formula>
    </cfRule>
  </conditionalFormatting>
  <conditionalFormatting sqref="H42">
    <cfRule type="expression" dxfId="12" priority="3">
      <formula>$D$42="简单平均"</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J42">
    <cfRule type="expression" dxfId="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2076</v>
      </c>
      <c r="B1" s="4"/>
      <c r="C1" s="4"/>
      <c r="D1" s="4"/>
      <c r="E1" s="4"/>
      <c r="F1" s="2545"/>
      <c r="G1" s="2545"/>
      <c r="H1" s="2545"/>
      <c r="I1" s="2545"/>
      <c r="J1" s="2545"/>
      <c r="K1" s="2545"/>
      <c r="L1" s="2545"/>
      <c r="M1" s="2545"/>
      <c r="N1" s="2545"/>
      <c r="O1" s="2545"/>
      <c r="P1" s="2545"/>
    </row>
    <row r="2" spans="1:16" ht="15.75">
      <c r="A2" s="1984" t="s">
        <v>2068</v>
      </c>
      <c r="B2" s="2388" t="e">
        <f ca="1">SUMIF(B6:B13,"&lt;&gt;#ref!",B6:B13)</f>
        <v>#DIV/0!</v>
      </c>
      <c r="C2" s="1984" t="s">
        <v>2069</v>
      </c>
      <c r="D2" s="1984" t="s">
        <v>2070</v>
      </c>
      <c r="E2" s="2398">
        <f ca="1">SUMIF(E6:E13,"&lt;&gt;#ref!",E6:E13)</f>
        <v>0</v>
      </c>
      <c r="F2" s="2545"/>
      <c r="G2" s="2545"/>
      <c r="H2" s="2545"/>
      <c r="I2" s="2545"/>
      <c r="J2" s="2545"/>
      <c r="K2" s="2545"/>
      <c r="L2" s="2545"/>
      <c r="M2" s="2545"/>
      <c r="N2" s="2545"/>
      <c r="O2" s="2545"/>
      <c r="P2" s="2545"/>
    </row>
    <row r="3" spans="1:16" ht="15.75">
      <c r="A3" s="1984" t="s">
        <v>2071</v>
      </c>
      <c r="B3" s="2388" t="e">
        <f ca="1">ROUND(B2*10000/E2,0)</f>
        <v>#DIV/0!</v>
      </c>
      <c r="C3" s="1984" t="s">
        <v>2077</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2072</v>
      </c>
      <c r="B5" s="2396" t="s">
        <v>2073</v>
      </c>
      <c r="C5" s="1985"/>
      <c r="D5" s="2545"/>
      <c r="E5" s="2397" t="s">
        <v>2074</v>
      </c>
      <c r="F5" s="2545"/>
      <c r="G5" s="2545"/>
      <c r="H5" s="2545"/>
      <c r="I5" s="2545"/>
      <c r="J5" s="2545"/>
      <c r="K5" s="2545"/>
      <c r="L5" s="2545"/>
      <c r="M5" s="2545"/>
      <c r="N5" s="2545"/>
      <c r="O5" s="2545"/>
      <c r="P5" s="2545"/>
    </row>
    <row r="6" spans="1:16" ht="15.75">
      <c r="A6" s="2395" t="s">
        <v>2075</v>
      </c>
      <c r="B6" s="2388" t="e">
        <f ca="1">SUMIF(INDIRECT("'"&amp;A6&amp;"'"&amp;"!A:A"),"总价",INDIRECT("'"&amp;A6&amp;"'"&amp;"!B:B"))</f>
        <v>#DIV/0!</v>
      </c>
      <c r="C6" s="1984" t="s">
        <v>2069</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2069</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2069</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2069</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2069</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2069</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2069</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2069</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1921</v>
      </c>
      <c r="B1" s="189"/>
      <c r="C1" s="193" t="s">
        <v>1922</v>
      </c>
      <c r="D1" s="333">
        <f>SUM(D33:D34,D37:D42)</f>
        <v>0</v>
      </c>
      <c r="E1" s="1842"/>
      <c r="F1" s="1842"/>
      <c r="G1" s="1842"/>
      <c r="H1" s="1842"/>
      <c r="I1" s="1842"/>
      <c r="J1" s="1842"/>
      <c r="K1" s="1056"/>
      <c r="L1" s="1843" t="s">
        <v>1923</v>
      </c>
      <c r="M1" s="810">
        <f>SUMPRODUCT((区片价!B5:B9=I2)*(区片价!C3:G3=E2)*(区片价!C5:G9))</f>
        <v>0</v>
      </c>
      <c r="N1" s="813">
        <f>SUMPRODUCT((因素修正幅度!B5:B9=I2)*(因素修正幅度!C3:G3=E2)*(因素修正幅度!C5:G9))</f>
        <v>0</v>
      </c>
      <c r="O1" s="1844"/>
      <c r="P1" s="1844"/>
      <c r="Q1" s="1056"/>
      <c r="R1" s="1129" t="s">
        <v>1924</v>
      </c>
      <c r="S1" s="1129" t="s">
        <v>1925</v>
      </c>
      <c r="T1" s="1129" t="s">
        <v>1926</v>
      </c>
      <c r="U1" s="1129" t="s">
        <v>1927</v>
      </c>
      <c r="V1" s="1129" t="s">
        <v>1928</v>
      </c>
      <c r="W1" s="1133"/>
      <c r="X1" s="1133"/>
      <c r="Y1" s="1133"/>
      <c r="Z1" s="1133"/>
      <c r="AA1" s="1133"/>
      <c r="AB1" s="1133"/>
      <c r="AC1" s="1134"/>
      <c r="AD1" s="1135"/>
      <c r="AE1" s="1135"/>
      <c r="AF1" s="1135"/>
      <c r="AG1" s="1135"/>
      <c r="AH1" s="1135"/>
      <c r="AI1" s="1135"/>
      <c r="AJ1" s="1136"/>
    </row>
    <row r="2" spans="1:36" ht="15.75">
      <c r="A2" s="193" t="s">
        <v>1929</v>
      </c>
      <c r="B2" s="196" t="e">
        <f>C30</f>
        <v>#DIV/0!</v>
      </c>
      <c r="C2" s="1846" t="s">
        <v>1930</v>
      </c>
      <c r="D2" s="162" t="s">
        <v>1931</v>
      </c>
      <c r="E2" s="3121"/>
      <c r="F2" s="162" t="s">
        <v>1932</v>
      </c>
      <c r="G2" s="163">
        <f>IF(E2="商业",项目基本情况!B37,IF(E2="办公",项目基本情况!C37,IF(E2="住宅",项目基本情况!D37,IF(E2="工业",项目基本情况!E37,项目基本情况!F37))))</f>
        <v>0</v>
      </c>
      <c r="H2" s="162" t="s">
        <v>1933</v>
      </c>
      <c r="I2" s="163">
        <f>IF(E2="商业",项目基本情况!B38,IF(E2="办公",项目基本情况!C38,IF(E2="住宅",项目基本情况!D38,IF(E2="工业",项目基本情况!E38,项目基本情况!F38))))</f>
        <v>0</v>
      </c>
      <c r="J2" s="1842"/>
      <c r="K2" s="1056"/>
      <c r="L2" s="1847" t="s">
        <v>1934</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1935</v>
      </c>
      <c r="B3" s="196" t="e">
        <f>ROUND(B2*10000/D1,0)</f>
        <v>#DIV/0!</v>
      </c>
      <c r="C3" s="1846" t="s">
        <v>1936</v>
      </c>
      <c r="D3" s="162" t="s">
        <v>1937</v>
      </c>
      <c r="E3" s="3119"/>
      <c r="F3" s="1848"/>
      <c r="G3" s="708">
        <f>IF(F3="宗地容积率",'数据-汇总表'!I4,IF(F3="估价对象容积率",'数据-汇总表'!I6,'数据-汇总表'!I7))</f>
        <v>1.05</v>
      </c>
      <c r="H3" s="162" t="s">
        <v>1938</v>
      </c>
      <c r="I3" s="729"/>
      <c r="J3" s="1842" t="s">
        <v>1939</v>
      </c>
      <c r="K3" s="1056"/>
      <c r="L3" s="1847" t="s">
        <v>1940</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93"/>
      <c r="B4" s="3494"/>
      <c r="C4" s="3494"/>
      <c r="D4" s="3495"/>
      <c r="E4" s="3495"/>
      <c r="F4" s="3495"/>
      <c r="G4" s="3495"/>
      <c r="H4" s="3495"/>
      <c r="I4" s="3495"/>
      <c r="J4" s="3496"/>
      <c r="K4" s="1056"/>
      <c r="L4" s="1847" t="s">
        <v>1941</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1942</v>
      </c>
      <c r="C5" s="709" t="e">
        <f>ROUND(IF(E2="商业",C6*C7*C17+C20,(IF(E2="住宅",C6*C13*C17+C20,IF(E2="办公",C6*C12*C17+C20,C6+C20)))),0)</f>
        <v>#DIV/0!</v>
      </c>
      <c r="D5" s="1252" t="e">
        <f>ROUND(C6*C17+C20,0)</f>
        <v>#DIV/0!</v>
      </c>
      <c r="E5" s="1252"/>
      <c r="F5" s="1851"/>
      <c r="G5" s="1852"/>
      <c r="H5" s="1852"/>
      <c r="I5" s="1852"/>
      <c r="J5" s="1853"/>
      <c r="K5" s="1854"/>
      <c r="L5" s="1847" t="s">
        <v>1943</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1944</v>
      </c>
      <c r="B6" s="1860" t="s">
        <v>1945</v>
      </c>
      <c r="C6" s="710">
        <f>SUMIF(L1:L12,G2,M1:M12)</f>
        <v>0</v>
      </c>
      <c r="D6" s="1861"/>
      <c r="E6" s="1862"/>
      <c r="F6" s="1862"/>
      <c r="G6" s="1863"/>
      <c r="H6" s="1863"/>
      <c r="I6" s="1863"/>
      <c r="J6" s="1864"/>
      <c r="K6" s="1292"/>
      <c r="L6" s="1847" t="s">
        <v>1946</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3222</v>
      </c>
      <c r="B7" s="1865" t="s">
        <v>1947</v>
      </c>
      <c r="C7" s="711" t="e">
        <f>IF(C8="不临65条商业街",1,ROUND(1+(1.6*E8+1.2*E9+0.8*E10+0.4*E11)*C9,4))</f>
        <v>#DIV/0!</v>
      </c>
      <c r="D7" s="1866" t="s">
        <v>1948</v>
      </c>
      <c r="E7" s="730"/>
      <c r="F7" s="1867"/>
      <c r="G7" s="1868"/>
      <c r="H7" s="1868"/>
      <c r="I7" s="1868"/>
      <c r="J7" s="1869"/>
      <c r="K7" s="1292"/>
      <c r="L7" s="1847" t="s">
        <v>1949</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1950</v>
      </c>
      <c r="X7" s="1131">
        <f>G2</f>
        <v>0</v>
      </c>
      <c r="Y7" s="1131" t="s">
        <v>1951</v>
      </c>
      <c r="Z7" s="1132">
        <f>G3</f>
        <v>1.05</v>
      </c>
      <c r="AA7" s="1133"/>
      <c r="AB7" s="1133"/>
      <c r="AC7" s="1134"/>
      <c r="AD7" s="1135"/>
      <c r="AE7" s="1135"/>
      <c r="AF7" s="1135"/>
      <c r="AG7" s="1135"/>
      <c r="AH7" s="1135"/>
      <c r="AI7" s="1135"/>
      <c r="AJ7" s="1136"/>
    </row>
    <row r="8" spans="1:36" ht="15">
      <c r="A8" s="3010"/>
      <c r="B8" s="162" t="s">
        <v>1952</v>
      </c>
      <c r="C8" s="1870"/>
      <c r="D8" s="712" t="s">
        <v>112</v>
      </c>
      <c r="E8" s="713" t="e">
        <f>ROUND(C11/E7,4)</f>
        <v>#DIV/0!</v>
      </c>
      <c r="F8" s="1871" t="s">
        <v>1953</v>
      </c>
      <c r="G8" s="1872"/>
      <c r="H8" s="1872"/>
      <c r="I8" s="1872"/>
      <c r="J8" s="1873"/>
      <c r="K8" s="1056"/>
      <c r="L8" s="1847" t="s">
        <v>1954</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90" t="s">
        <v>1955</v>
      </c>
      <c r="X8" s="3491"/>
      <c r="Y8" s="1137" t="s">
        <v>1956</v>
      </c>
      <c r="Z8" s="1137" t="s">
        <v>1957</v>
      </c>
      <c r="AA8" s="1137" t="s">
        <v>1958</v>
      </c>
      <c r="AB8" s="1137" t="s">
        <v>1959</v>
      </c>
      <c r="AC8" s="1137" t="s">
        <v>1960</v>
      </c>
      <c r="AD8" s="1137" t="s">
        <v>1961</v>
      </c>
      <c r="AE8" s="1137" t="s">
        <v>1962</v>
      </c>
      <c r="AF8" s="1137" t="s">
        <v>1963</v>
      </c>
      <c r="AG8" s="1137" t="s">
        <v>1964</v>
      </c>
      <c r="AH8" s="1137" t="s">
        <v>1965</v>
      </c>
      <c r="AI8" s="1137" t="s">
        <v>1966</v>
      </c>
      <c r="AJ8" s="1137" t="s">
        <v>1967</v>
      </c>
    </row>
    <row r="9" spans="1:36" ht="15">
      <c r="A9" s="3010"/>
      <c r="B9" s="162" t="s">
        <v>1968</v>
      </c>
      <c r="C9" s="714">
        <f>SUMIF(修正!C73:C140,C8,修正!E73:E140)</f>
        <v>0</v>
      </c>
      <c r="D9" s="163" t="s">
        <v>113</v>
      </c>
      <c r="E9" s="163" t="e">
        <f>ROUND(C11/E7,4)</f>
        <v>#DIV/0!</v>
      </c>
      <c r="F9" s="1871" t="s">
        <v>1969</v>
      </c>
      <c r="G9" s="1872"/>
      <c r="H9" s="1872"/>
      <c r="I9" s="1872"/>
      <c r="J9" s="1873"/>
      <c r="K9" s="1056"/>
      <c r="L9" s="1847" t="s">
        <v>1970</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92"/>
      <c r="X9" s="3065" t="s">
        <v>3251</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1971</v>
      </c>
      <c r="C10" s="163">
        <f>SUMIF(修正!C73:C140,C8,修正!F73:F140)</f>
        <v>0</v>
      </c>
      <c r="D10" s="163" t="s">
        <v>114</v>
      </c>
      <c r="E10" s="163" t="e">
        <f>ROUND(C11/E7,4)</f>
        <v>#DIV/0!</v>
      </c>
      <c r="F10" s="1871" t="s">
        <v>1972</v>
      </c>
      <c r="G10" s="1872"/>
      <c r="H10" s="1872"/>
      <c r="I10" s="1872"/>
      <c r="J10" s="1873"/>
      <c r="K10" s="1056"/>
      <c r="L10" s="1847" t="s">
        <v>1973</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9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1974</v>
      </c>
      <c r="C11" s="715">
        <f>C10/4</f>
        <v>0</v>
      </c>
      <c r="D11" s="715" t="s">
        <v>115</v>
      </c>
      <c r="E11" s="715" t="e">
        <f>ROUND(C11/E7,4)</f>
        <v>#DIV/0!</v>
      </c>
      <c r="F11" s="1875" t="s">
        <v>1975</v>
      </c>
      <c r="G11" s="1876"/>
      <c r="H11" s="1876"/>
      <c r="I11" s="1876"/>
      <c r="J11" s="1877"/>
      <c r="K11" s="1056"/>
      <c r="L11" s="1847" t="s">
        <v>1976</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3223</v>
      </c>
      <c r="B12" s="3014" t="s">
        <v>3224</v>
      </c>
      <c r="C12" s="3015"/>
      <c r="D12" s="3016" t="s">
        <v>3225</v>
      </c>
      <c r="E12" s="3017" t="s">
        <v>3226</v>
      </c>
      <c r="F12" s="3018"/>
      <c r="G12" s="3019"/>
      <c r="H12" s="3019"/>
      <c r="I12" s="3019"/>
      <c r="J12" s="3020"/>
      <c r="K12" s="1056"/>
      <c r="L12" s="1796" t="s">
        <v>1979</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3227</v>
      </c>
      <c r="B13" s="1878" t="s">
        <v>1977</v>
      </c>
      <c r="C13" s="711">
        <f>ROUND(C16*D16*E16*F16*G16*H16*I16*J16,4)</f>
        <v>0</v>
      </c>
      <c r="D13" s="1879" t="s">
        <v>1978</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1980</v>
      </c>
      <c r="C14" s="1884" t="s">
        <v>1981</v>
      </c>
      <c r="D14" s="1261" t="s">
        <v>1982</v>
      </c>
      <c r="E14" s="27" t="s">
        <v>1983</v>
      </c>
      <c r="F14" s="3021" t="s">
        <v>3228</v>
      </c>
      <c r="G14" s="3021" t="s">
        <v>3228</v>
      </c>
      <c r="H14" s="3021" t="s">
        <v>3228</v>
      </c>
      <c r="I14" s="3021" t="s">
        <v>3228</v>
      </c>
      <c r="J14" s="3021" t="s">
        <v>3228</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3229</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1984</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3230</v>
      </c>
      <c r="B17" s="3028" t="s">
        <v>3231</v>
      </c>
      <c r="C17" s="3037">
        <f>ROUND(IF(OR(E2="工业",E2="公共服务"),1,IF(AND(E18=0,E19=0),1,IF(AND(E18=J24,E19=G19),0.8,IF(E19=0,1+E17*(-0.2),1+E17*G17*(-0.2))))),4)</f>
        <v>1</v>
      </c>
      <c r="D17" s="3029" t="s">
        <v>3232</v>
      </c>
      <c r="E17" s="3037" t="e">
        <f>ROUND(G18/I18,2)</f>
        <v>#DIV/0!</v>
      </c>
      <c r="F17" s="3029" t="s">
        <v>3235</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3233</v>
      </c>
      <c r="E18" s="2357"/>
      <c r="F18" s="3031" t="s">
        <v>3236</v>
      </c>
      <c r="G18" s="3035">
        <f>ROUND(1-(1/(POWER(1+G24,E18))),4)</f>
        <v>0</v>
      </c>
      <c r="H18" s="3031" t="s">
        <v>3238</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3234</v>
      </c>
      <c r="E19" s="3044"/>
      <c r="F19" s="3045" t="s">
        <v>3237</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97" t="s">
        <v>3239</v>
      </c>
      <c r="B20" s="159" t="s">
        <v>1989</v>
      </c>
      <c r="C20" s="3032" t="e">
        <f>ROUND(IF(F21="与级别开发程度一致",0,(G21-E21)/C21),0)</f>
        <v>#DIV/0!</v>
      </c>
      <c r="D20" s="3047" t="s">
        <v>1993</v>
      </c>
      <c r="E20" s="3048"/>
      <c r="F20" s="3503" t="s">
        <v>1990</v>
      </c>
      <c r="G20" s="350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98"/>
      <c r="B21" s="2002" t="s">
        <v>1992</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1995</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1996</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1997</v>
      </c>
      <c r="E23" s="717">
        <v>44197</v>
      </c>
      <c r="F23" s="1896" t="s">
        <v>1998</v>
      </c>
      <c r="G23" s="718">
        <f>'数据-取费表'!B2</f>
        <v>46014</v>
      </c>
      <c r="H23" s="3049"/>
      <c r="I23" s="3050" t="str">
        <f>IF(H23="季度增幅（自定义）",SUMIF(N25:N28,E2,O25:O28),"")</f>
        <v/>
      </c>
      <c r="J23" s="3141"/>
      <c r="K23" s="1061"/>
      <c r="L23" s="1897" t="s">
        <v>1999</v>
      </c>
      <c r="M23" s="1241">
        <f>ROUND(SUMIF(地价!B2:G2,E2,地价!B16:G16),0)</f>
        <v>0</v>
      </c>
      <c r="N23" s="1898" t="s">
        <v>2000</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2001</v>
      </c>
      <c r="C24" s="720" t="e">
        <f>ROUND(POWER(1+G24,J24-I24)*(POWER(1+G24,I24)-1)/(POWER(1+G24,J24)-1),4)</f>
        <v>#DIV/0!</v>
      </c>
      <c r="D24" s="1902" t="s">
        <v>2002</v>
      </c>
      <c r="E24" s="1248">
        <f>存贷款利率!E28/100</f>
        <v>4.3499999999999997E-2</v>
      </c>
      <c r="F24" s="1902" t="s">
        <v>1994</v>
      </c>
      <c r="G24" s="724">
        <f>SUMIF(M30:Q30,E2,M33:Q33)</f>
        <v>0</v>
      </c>
      <c r="H24" s="1902" t="s">
        <v>2003</v>
      </c>
      <c r="I24" s="725" t="e">
        <f>SUMIF('数据-取费表'!C6:C15,E2,'数据-取费表'!F6:F15)/COUNTIF('数据-取费表'!C6:C15,E2)</f>
        <v>#DIV/0!</v>
      </c>
      <c r="J24" s="726">
        <f>IF(E2="住宅",70,IF(E2="商业",40,50))</f>
        <v>50</v>
      </c>
      <c r="K24" s="1061"/>
      <c r="L24" s="1903" t="s">
        <v>2004</v>
      </c>
      <c r="M24" s="1242">
        <f>ROUND(SUMPRODUCT((地价!A4:A16=YEAR(G23)&amp;"-"&amp;ROUNDUP(MONTH(G23)/3,0))*(地价!B2:G2=E2)*(地价!B4:G16)),0)</f>
        <v>0</v>
      </c>
      <c r="N24" s="1904" t="s">
        <v>2005</v>
      </c>
      <c r="O24" s="1905" t="s">
        <v>2006</v>
      </c>
      <c r="P24" s="1906" t="s">
        <v>2007</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3318</v>
      </c>
      <c r="C25" s="461">
        <f>IF(B25="容积率修正",IF(G3&lt;10,D26,J26),C27)</f>
        <v>0</v>
      </c>
      <c r="D25" s="1909"/>
      <c r="E25" s="1909"/>
      <c r="F25" s="1909"/>
      <c r="G25" s="1909"/>
      <c r="H25" s="1909"/>
      <c r="I25" s="1909"/>
      <c r="J25" s="1910"/>
      <c r="K25" s="1061"/>
      <c r="L25" s="2553"/>
      <c r="M25" s="2553"/>
      <c r="N25" s="1911" t="s">
        <v>2008</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2009</v>
      </c>
      <c r="B26" s="1912" t="s">
        <v>2010</v>
      </c>
      <c r="C26" s="1912" t="s">
        <v>3240</v>
      </c>
      <c r="D26" s="1263">
        <f>IF(E26=G26,F26,IF(G3&lt;10,ROUND(F26+(H26-F26)*(G3-E26)/(G26-E26),4),"——"))</f>
        <v>0</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1.1000000000000001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3241</v>
      </c>
      <c r="J26" s="374" t="str">
        <f>IF(G3&gt;=10,D115,"——")</f>
        <v>——</v>
      </c>
      <c r="K26" s="1061"/>
      <c r="L26" s="2553"/>
      <c r="M26" s="2553"/>
      <c r="N26" s="1911" t="s">
        <v>2011</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2012</v>
      </c>
      <c r="B27" s="1913" t="s">
        <v>2013</v>
      </c>
      <c r="C27" s="791">
        <f>ROUND(IF(I3&lt;6,SUMPRODUCT((B106:B110=I3)*(C105:N105=G2)*(C106:N110)),SUMIF(C105:N105,G2,C112:N112)),4)</f>
        <v>0</v>
      </c>
      <c r="D27" s="1842"/>
      <c r="E27" s="1842"/>
      <c r="F27" s="1914"/>
      <c r="G27" s="1915"/>
      <c r="H27" s="1916"/>
      <c r="I27" s="1917"/>
      <c r="J27" s="1918"/>
      <c r="K27" s="1056"/>
      <c r="L27" s="1844"/>
      <c r="M27" s="1844"/>
      <c r="N27" s="1911" t="s">
        <v>2014</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2015</v>
      </c>
      <c r="C28" s="716">
        <f>SUMIF(A47:A101,E2,B47:B101)</f>
        <v>0</v>
      </c>
      <c r="D28" s="1894"/>
      <c r="E28" s="1919"/>
      <c r="F28" s="1919"/>
      <c r="G28" s="1919"/>
      <c r="H28" s="1919"/>
      <c r="I28" s="1919"/>
      <c r="J28" s="1920"/>
      <c r="K28" s="1061"/>
      <c r="L28" s="2553"/>
      <c r="M28" s="2553"/>
      <c r="N28" s="1921" t="s">
        <v>2016</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2017</v>
      </c>
      <c r="C29" s="721"/>
      <c r="D29" s="1868"/>
      <c r="E29" s="1868"/>
      <c r="F29" s="1923"/>
      <c r="G29" s="1868"/>
      <c r="H29" s="1868"/>
      <c r="I29" s="1868"/>
      <c r="J29" s="1869"/>
      <c r="K29" s="1056"/>
      <c r="L29" s="1844"/>
      <c r="M29" s="1844"/>
      <c r="N29" s="2550" t="s">
        <v>2018</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2019</v>
      </c>
      <c r="C30" s="2145" t="e">
        <f>IF(B25="容积率修正",E33+SUM(E37:E42),SUM(V2:V16)+SUM(E37:E42))</f>
        <v>#DIV/0!</v>
      </c>
      <c r="D30" s="1925"/>
      <c r="E30" s="1842"/>
      <c r="F30" s="1926"/>
      <c r="G30" s="1842"/>
      <c r="H30" s="1842"/>
      <c r="I30" s="1842"/>
      <c r="J30" s="1927"/>
      <c r="K30" s="1056"/>
      <c r="L30" s="3056" t="s">
        <v>1931</v>
      </c>
      <c r="M30" s="3057" t="s">
        <v>1985</v>
      </c>
      <c r="N30" s="3057" t="s">
        <v>1986</v>
      </c>
      <c r="O30" s="3057" t="s">
        <v>1987</v>
      </c>
      <c r="P30" s="3057" t="s">
        <v>1988</v>
      </c>
      <c r="Q30" s="3060" t="s">
        <v>3245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2020</v>
      </c>
      <c r="C31" s="722" t="e">
        <f>E34+SUM(I37:I42)</f>
        <v>#DIV/0!</v>
      </c>
      <c r="D31" s="1929"/>
      <c r="E31" s="1930"/>
      <c r="F31" s="1931"/>
      <c r="G31" s="1930"/>
      <c r="H31" s="1930"/>
      <c r="I31" s="1930"/>
      <c r="J31" s="1932"/>
      <c r="K31" s="1056"/>
      <c r="L31" s="3058" t="s">
        <v>1991</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2021</v>
      </c>
      <c r="C32" s="1935" t="s">
        <v>2022</v>
      </c>
      <c r="D32" s="1935" t="s">
        <v>2023</v>
      </c>
      <c r="E32" s="1936" t="s">
        <v>2024</v>
      </c>
      <c r="F32" s="1937"/>
      <c r="G32" s="1881"/>
      <c r="H32" s="1881"/>
      <c r="I32" s="1881"/>
      <c r="J32" s="1882"/>
      <c r="K32" s="1056"/>
      <c r="L32" s="3059" t="s">
        <v>1994</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2025</v>
      </c>
      <c r="C33" s="167" t="e">
        <f>ROUND(C5*C22*C23*C24*C25*C28,0)</f>
        <v>#DIV/0!</v>
      </c>
      <c r="D33" s="1940"/>
      <c r="E33" s="727" t="e">
        <f>ROUND(C33*D33/10000,0)</f>
        <v>#DIV/0!</v>
      </c>
      <c r="F33" s="3051" t="s">
        <v>3243</v>
      </c>
      <c r="G33" s="1941"/>
      <c r="H33" s="1941"/>
      <c r="I33" s="1941"/>
      <c r="J33" s="1942"/>
      <c r="K33" s="1056"/>
      <c r="L33" s="3054" t="s">
        <v>3246</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2026</v>
      </c>
      <c r="C34" s="179" t="e">
        <f>ROUND(IF(E2="工业",C33*M42,IF(B25="楼层修正",SUM(V2:V16)*M41*10000/D34,C33*M41)),0)</f>
        <v>#DIV/0!</v>
      </c>
      <c r="D34" s="1945"/>
      <c r="E34" s="727" t="e">
        <f>ROUND(IF(B25="楼层修正",SUM(V2:V16)*M40,C34*D34/10000),0)</f>
        <v>#DIV/0!</v>
      </c>
      <c r="F34" s="1946" t="s">
        <v>2027</v>
      </c>
      <c r="G34" s="1947"/>
      <c r="H34" s="1947"/>
      <c r="I34" s="1947"/>
      <c r="J34" s="1948"/>
      <c r="K34" s="1056"/>
      <c r="L34" s="3054" t="s">
        <v>3247</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2028</v>
      </c>
      <c r="C35" s="3052" t="s">
        <v>3244</v>
      </c>
      <c r="D35" s="1881"/>
      <c r="E35" s="1951"/>
      <c r="F35" s="1951"/>
      <c r="G35" s="1879" t="s">
        <v>2029</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2022</v>
      </c>
      <c r="D36" s="433" t="s">
        <v>2023</v>
      </c>
      <c r="E36" s="433" t="s">
        <v>2024</v>
      </c>
      <c r="F36" s="333" t="s">
        <v>2030</v>
      </c>
      <c r="G36" s="1954" t="s">
        <v>2022</v>
      </c>
      <c r="H36" s="1954" t="s">
        <v>2023</v>
      </c>
      <c r="I36" s="1954" t="s">
        <v>2024</v>
      </c>
      <c r="J36" s="235"/>
      <c r="K36" s="1964" t="s">
        <v>3248</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01"/>
      <c r="B37" s="1955" t="s">
        <v>2031</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3249</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2"/>
      <c r="B38" s="1884" t="s">
        <v>2032</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2"/>
      <c r="B39" s="1884" t="s">
        <v>3242</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2033</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2034</v>
      </c>
      <c r="M40" s="1958"/>
      <c r="Z40" s="1057"/>
      <c r="AA40" s="1057"/>
      <c r="AB40" s="1057"/>
      <c r="AC40" s="1057"/>
      <c r="AD40" s="1057"/>
      <c r="AE40" s="1057"/>
      <c r="AF40" s="1057"/>
      <c r="AG40" s="1057"/>
      <c r="AH40" s="1057"/>
      <c r="AI40" s="1057"/>
      <c r="AJ40" s="1057"/>
    </row>
    <row r="41" spans="1:37" s="1056" customFormat="1">
      <c r="A41" s="1956"/>
      <c r="B41" s="1884" t="s">
        <v>2035</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3250</v>
      </c>
      <c r="M41" s="1959">
        <v>0.25</v>
      </c>
      <c r="Z41" s="1057"/>
      <c r="AA41" s="1057"/>
      <c r="AB41" s="1057"/>
      <c r="AC41" s="1057"/>
      <c r="AD41" s="1057"/>
      <c r="AE41" s="1057"/>
      <c r="AF41" s="1057"/>
      <c r="AG41" s="1057"/>
      <c r="AH41" s="1057"/>
      <c r="AI41" s="1057"/>
      <c r="AJ41" s="1057"/>
    </row>
    <row r="42" spans="1:37" s="1056" customFormat="1" ht="13.5" thickBot="1">
      <c r="A42" s="1943"/>
      <c r="B42" s="1960" t="s">
        <v>2036</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1988</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2116</v>
      </c>
      <c r="C44" s="333" t="e">
        <f>ROUND(POWER(1+E44,H44-G44)*(POWER(1+E44,G44)-1)/(POWER(1+E44,H44)-1),4)</f>
        <v>#DIV/0!</v>
      </c>
      <c r="D44" s="163" t="s">
        <v>1994</v>
      </c>
      <c r="E44" s="1991">
        <f>G24</f>
        <v>0</v>
      </c>
      <c r="F44" s="163" t="s">
        <v>2003</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2037</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2038</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2039</v>
      </c>
      <c r="B49" s="1262" t="s">
        <v>2040</v>
      </c>
      <c r="C49" s="1262" t="s">
        <v>2041</v>
      </c>
      <c r="D49" s="1262" t="s">
        <v>2042</v>
      </c>
      <c r="E49" s="701" t="s">
        <v>2043</v>
      </c>
      <c r="F49" s="1971" t="s">
        <v>2044</v>
      </c>
      <c r="G49" s="1262" t="s">
        <v>310</v>
      </c>
      <c r="H49" s="1972" t="s">
        <v>2045</v>
      </c>
      <c r="I49" s="1262" t="s">
        <v>2046</v>
      </c>
      <c r="J49" s="530" t="s">
        <v>1717</v>
      </c>
      <c r="K49" s="530" t="s">
        <v>1718</v>
      </c>
      <c r="L49" s="530" t="s">
        <v>1719</v>
      </c>
      <c r="M49" s="530" t="s">
        <v>1720</v>
      </c>
      <c r="N49" s="530" t="s">
        <v>1721</v>
      </c>
      <c r="AA49" s="1057"/>
      <c r="AB49" s="1057"/>
      <c r="AC49" s="1057"/>
      <c r="AD49" s="1057"/>
      <c r="AE49" s="1057"/>
      <c r="AF49" s="1057"/>
      <c r="AG49" s="1057"/>
      <c r="AH49" s="1057"/>
      <c r="AI49" s="1057"/>
      <c r="AJ49" s="1057"/>
      <c r="AK49" s="1057"/>
    </row>
    <row r="50" spans="1:37" s="1056" customFormat="1" ht="24.75">
      <c r="A50" s="1970" t="s">
        <v>2047</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2048</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3252</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2049</v>
      </c>
      <c r="B53" s="1974" t="s">
        <v>2050</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2051</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2052</v>
      </c>
      <c r="B55" s="1975" t="s">
        <v>2053</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2054</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2055</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2056</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2057</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2039</v>
      </c>
      <c r="B60" s="1262"/>
      <c r="C60" s="1262" t="s">
        <v>2041</v>
      </c>
      <c r="D60" s="1262" t="s">
        <v>2042</v>
      </c>
      <c r="E60" s="701" t="s">
        <v>2043</v>
      </c>
      <c r="F60" s="1971" t="s">
        <v>2058</v>
      </c>
      <c r="G60" s="1262" t="s">
        <v>310</v>
      </c>
      <c r="H60" s="1972" t="s">
        <v>2045</v>
      </c>
      <c r="I60" s="1262" t="s">
        <v>2046</v>
      </c>
      <c r="J60" s="530" t="s">
        <v>1717</v>
      </c>
      <c r="K60" s="530" t="s">
        <v>1718</v>
      </c>
      <c r="L60" s="530" t="s">
        <v>1719</v>
      </c>
      <c r="M60" s="530" t="s">
        <v>1720</v>
      </c>
      <c r="N60" s="530" t="s">
        <v>1721</v>
      </c>
      <c r="AA60" s="1057"/>
      <c r="AB60" s="1057"/>
      <c r="AC60" s="1057"/>
      <c r="AD60" s="1057"/>
      <c r="AE60" s="1057"/>
      <c r="AF60" s="1057"/>
      <c r="AG60" s="1057"/>
      <c r="AH60" s="1057"/>
      <c r="AI60" s="1057"/>
      <c r="AJ60" s="1057"/>
      <c r="AK60" s="1057"/>
    </row>
    <row r="61" spans="1:37" s="1056" customFormat="1" ht="24">
      <c r="A61" s="1970" t="s">
        <v>2059</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2048</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3252</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2049</v>
      </c>
      <c r="B64" s="1974" t="s">
        <v>2050</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2051</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2052</v>
      </c>
      <c r="B66" s="1975" t="s">
        <v>2053</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2054</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2055</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2056</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2060</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2039</v>
      </c>
      <c r="B71" s="1262"/>
      <c r="C71" s="1262" t="s">
        <v>2041</v>
      </c>
      <c r="D71" s="1262" t="s">
        <v>2042</v>
      </c>
      <c r="E71" s="701" t="s">
        <v>2043</v>
      </c>
      <c r="F71" s="1971" t="s">
        <v>2058</v>
      </c>
      <c r="G71" s="1262" t="s">
        <v>310</v>
      </c>
      <c r="H71" s="1972" t="s">
        <v>2045</v>
      </c>
      <c r="I71" s="1262" t="s">
        <v>2046</v>
      </c>
      <c r="J71" s="530" t="s">
        <v>1717</v>
      </c>
      <c r="K71" s="530" t="s">
        <v>1718</v>
      </c>
      <c r="L71" s="530" t="s">
        <v>1719</v>
      </c>
      <c r="M71" s="530" t="s">
        <v>1720</v>
      </c>
      <c r="N71" s="530" t="s">
        <v>1721</v>
      </c>
      <c r="AA71" s="1057"/>
      <c r="AB71" s="1057"/>
      <c r="AC71" s="1057"/>
      <c r="AD71" s="1057"/>
      <c r="AE71" s="1057"/>
      <c r="AF71" s="1057"/>
      <c r="AG71" s="1057"/>
      <c r="AH71" s="1057"/>
      <c r="AI71" s="1057"/>
      <c r="AJ71" s="1057"/>
      <c r="AK71" s="1057"/>
    </row>
    <row r="72" spans="1:37" s="1056" customFormat="1" ht="24">
      <c r="A72" s="1970" t="s">
        <v>2061</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2048</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3252</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2062</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2054</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2055</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2052</v>
      </c>
      <c r="B78" s="1975" t="s">
        <v>2053</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2056</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2063</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2064</v>
      </c>
      <c r="B81" s="1968">
        <f>1+E83</f>
        <v>1</v>
      </c>
      <c r="C81" s="699"/>
      <c r="D81" s="699"/>
      <c r="E81" s="700"/>
      <c r="F81" s="1969"/>
      <c r="G81" s="3"/>
      <c r="H81" s="3"/>
      <c r="I81" s="3"/>
      <c r="J81" s="4"/>
      <c r="K81" s="4"/>
      <c r="L81" s="4"/>
      <c r="M81" s="4"/>
      <c r="N81" s="4"/>
      <c r="Z81" s="1845"/>
      <c r="AA81" s="1895"/>
      <c r="AG81" s="1058"/>
      <c r="AK81" s="1895"/>
    </row>
    <row r="82" spans="1:37" ht="24.75">
      <c r="A82" s="1970" t="s">
        <v>2039</v>
      </c>
      <c r="B82" s="1262"/>
      <c r="C82" s="1262" t="s">
        <v>2041</v>
      </c>
      <c r="D82" s="1262" t="s">
        <v>2042</v>
      </c>
      <c r="E82" s="701" t="s">
        <v>2043</v>
      </c>
      <c r="F82" s="1971" t="s">
        <v>2058</v>
      </c>
      <c r="G82" s="1262" t="s">
        <v>310</v>
      </c>
      <c r="H82" s="1972" t="s">
        <v>2045</v>
      </c>
      <c r="I82" s="1262" t="s">
        <v>2046</v>
      </c>
      <c r="J82" s="530" t="s">
        <v>1717</v>
      </c>
      <c r="K82" s="530" t="s">
        <v>1718</v>
      </c>
      <c r="L82" s="530" t="s">
        <v>1719</v>
      </c>
      <c r="M82" s="530" t="s">
        <v>1720</v>
      </c>
      <c r="N82" s="530" t="s">
        <v>1721</v>
      </c>
      <c r="Z82" s="1845"/>
      <c r="AA82" s="1895"/>
      <c r="AG82" s="1058"/>
      <c r="AK82" s="1895"/>
    </row>
    <row r="83" spans="1:37" ht="24">
      <c r="A83" s="1970" t="s">
        <v>2065</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2048</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3253</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2062</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2054</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2055</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2052</v>
      </c>
      <c r="B89" s="1975" t="s">
        <v>2066</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2067</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2597</v>
      </c>
      <c r="B91" s="3080">
        <f>1+E93</f>
        <v>1</v>
      </c>
      <c r="C91" s="3073"/>
      <c r="D91" s="3074"/>
      <c r="E91" s="1675"/>
      <c r="F91" s="1675"/>
      <c r="G91" s="3075"/>
      <c r="H91" s="3076"/>
      <c r="I91" s="3077"/>
      <c r="J91" s="3078"/>
      <c r="K91" s="3078"/>
      <c r="L91" s="3078"/>
      <c r="M91" s="3078"/>
      <c r="N91" s="3078"/>
    </row>
    <row r="92" spans="1:37" ht="24.75">
      <c r="A92" s="3081" t="s">
        <v>3254</v>
      </c>
      <c r="B92" s="2310"/>
      <c r="C92" s="2310" t="s">
        <v>3263</v>
      </c>
      <c r="D92" s="2310" t="s">
        <v>3264</v>
      </c>
      <c r="E92" s="3053" t="s">
        <v>3265</v>
      </c>
      <c r="F92" s="3083" t="s">
        <v>3266</v>
      </c>
      <c r="G92" s="2310" t="s">
        <v>3267</v>
      </c>
      <c r="H92" s="3090" t="s">
        <v>3270</v>
      </c>
      <c r="I92" s="2310" t="s">
        <v>3271</v>
      </c>
      <c r="J92" s="2150" t="s">
        <v>3272</v>
      </c>
      <c r="K92" s="2150" t="s">
        <v>3273</v>
      </c>
      <c r="L92" s="2150" t="s">
        <v>3274</v>
      </c>
      <c r="M92" s="2150" t="s">
        <v>3275</v>
      </c>
      <c r="N92" s="2150" t="s">
        <v>3276</v>
      </c>
    </row>
    <row r="93" spans="1:37" ht="24">
      <c r="A93" s="3071" t="s">
        <v>3255</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3256</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3252</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3257</v>
      </c>
      <c r="B96" s="3087" t="s">
        <v>3268</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3258</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3259</v>
      </c>
      <c r="B98" s="3088" t="s">
        <v>3269</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3260</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3261</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3262</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99" t="s">
        <v>3277</v>
      </c>
      <c r="B103" s="3499"/>
      <c r="C103" s="3499"/>
      <c r="D103" s="3499"/>
      <c r="E103" s="3499"/>
      <c r="F103" s="3499"/>
      <c r="G103" s="3499"/>
      <c r="H103" s="3499"/>
      <c r="I103" s="3499"/>
      <c r="J103" s="3499"/>
      <c r="K103" s="1667"/>
      <c r="L103" s="1667"/>
      <c r="M103" s="1667"/>
      <c r="N103" s="1667"/>
    </row>
    <row r="104" spans="1:14">
      <c r="A104" s="3500" t="s">
        <v>3278</v>
      </c>
      <c r="B104" s="3500" t="s">
        <v>3279</v>
      </c>
      <c r="C104" s="3091" t="s">
        <v>3280</v>
      </c>
      <c r="D104" s="3092"/>
      <c r="E104" s="3092"/>
      <c r="F104" s="3092"/>
      <c r="G104" s="3092"/>
      <c r="H104" s="3092"/>
      <c r="I104" s="3092"/>
      <c r="J104" s="3093"/>
      <c r="K104" s="3094"/>
      <c r="L104" s="3094"/>
      <c r="M104" s="3094"/>
      <c r="N104" s="3094"/>
    </row>
    <row r="105" spans="1:14">
      <c r="A105" s="3500"/>
      <c r="B105" s="3500"/>
      <c r="C105" s="3095" t="s">
        <v>3281</v>
      </c>
      <c r="D105" s="3095" t="s">
        <v>3282</v>
      </c>
      <c r="E105" s="3095" t="s">
        <v>3283</v>
      </c>
      <c r="F105" s="3095" t="s">
        <v>3284</v>
      </c>
      <c r="G105" s="3095" t="s">
        <v>3285</v>
      </c>
      <c r="H105" s="3095" t="s">
        <v>3286</v>
      </c>
      <c r="I105" s="3095" t="s">
        <v>3287</v>
      </c>
      <c r="J105" s="3095" t="s">
        <v>3288</v>
      </c>
      <c r="K105" s="3095" t="s">
        <v>3289</v>
      </c>
      <c r="L105" s="3095" t="s">
        <v>3290</v>
      </c>
      <c r="M105" s="3095" t="s">
        <v>3291</v>
      </c>
      <c r="N105" s="3095" t="s">
        <v>3292</v>
      </c>
    </row>
    <row r="106" spans="1:14">
      <c r="A106" s="3486" t="s">
        <v>3293</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8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8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8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8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87"/>
      <c r="B111" s="3095" t="s">
        <v>3251</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8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89" t="s">
        <v>3294</v>
      </c>
      <c r="B113" s="3489"/>
      <c r="C113" s="3489"/>
      <c r="D113" s="3489"/>
      <c r="E113" s="3489"/>
      <c r="F113" s="3489"/>
      <c r="G113" s="3489"/>
      <c r="H113" s="3489"/>
      <c r="I113" s="3489"/>
      <c r="J113" s="348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3295</v>
      </c>
      <c r="B116" s="3115">
        <f>G3</f>
        <v>1.05</v>
      </c>
      <c r="C116" s="3100" t="s">
        <v>3296</v>
      </c>
      <c r="D116" s="3101">
        <f>SUMPRODUCT((A118:A122=F116)*(B117:M117=H116)*B118:M122)</f>
        <v>0</v>
      </c>
      <c r="E116" s="162" t="s">
        <v>3297</v>
      </c>
      <c r="F116" s="3102">
        <f>E2</f>
        <v>0</v>
      </c>
      <c r="G116" s="162" t="s">
        <v>3298</v>
      </c>
      <c r="H116" s="3102">
        <f>G2</f>
        <v>0</v>
      </c>
      <c r="I116" s="162"/>
      <c r="J116" s="3103"/>
      <c r="K116" s="3103"/>
      <c r="L116" s="3103"/>
      <c r="M116" s="3103"/>
      <c r="N116" s="3098"/>
    </row>
    <row r="117" spans="1:14">
      <c r="A117" s="3104"/>
      <c r="B117" s="3105" t="s">
        <v>3299</v>
      </c>
      <c r="C117" s="3105" t="s">
        <v>3300</v>
      </c>
      <c r="D117" s="3105" t="s">
        <v>3301</v>
      </c>
      <c r="E117" s="3106" t="s">
        <v>3302</v>
      </c>
      <c r="F117" s="3106" t="s">
        <v>3303</v>
      </c>
      <c r="G117" s="3106" t="s">
        <v>3304</v>
      </c>
      <c r="H117" s="3107" t="s">
        <v>3305</v>
      </c>
      <c r="I117" s="3107" t="s">
        <v>3306</v>
      </c>
      <c r="J117" s="3108" t="s">
        <v>3307</v>
      </c>
      <c r="K117" s="3108" t="s">
        <v>3308</v>
      </c>
      <c r="L117" s="3108" t="s">
        <v>3309</v>
      </c>
      <c r="M117" s="3109" t="s">
        <v>3310</v>
      </c>
      <c r="N117" s="3098"/>
    </row>
    <row r="118" spans="1:14">
      <c r="A118" s="3058" t="s">
        <v>3311</v>
      </c>
      <c r="B118" s="3090">
        <f>ROUND(0.9968-0.011*B116,4)</f>
        <v>0.98529999999999995</v>
      </c>
      <c r="C118" s="3090">
        <f>B118</f>
        <v>0.98529999999999995</v>
      </c>
      <c r="D118" s="3090">
        <f>ROUND(0.949-0.014*B116,4)</f>
        <v>0.93430000000000002</v>
      </c>
      <c r="E118" s="3090">
        <f>D118</f>
        <v>0.93430000000000002</v>
      </c>
      <c r="F118" s="3090">
        <f>E118</f>
        <v>0.93430000000000002</v>
      </c>
      <c r="G118" s="3090">
        <f>F118</f>
        <v>0.93430000000000002</v>
      </c>
      <c r="H118" s="3090">
        <f>G118</f>
        <v>0.93430000000000002</v>
      </c>
      <c r="I118" s="3090">
        <f>ROUND(0.8486-0.018*B116,4)</f>
        <v>0.82969999999999999</v>
      </c>
      <c r="J118" s="3090">
        <f t="shared" ref="J118:M122" si="35">I118</f>
        <v>0.82969999999999999</v>
      </c>
      <c r="K118" s="3090">
        <f t="shared" si="35"/>
        <v>0.82969999999999999</v>
      </c>
      <c r="L118" s="3090">
        <f t="shared" si="35"/>
        <v>0.82969999999999999</v>
      </c>
      <c r="M118" s="3110">
        <f t="shared" si="35"/>
        <v>0.82969999999999999</v>
      </c>
      <c r="N118" s="3098"/>
    </row>
    <row r="119" spans="1:14">
      <c r="A119" s="3058" t="s">
        <v>3312</v>
      </c>
      <c r="B119" s="3090">
        <f>ROUND(0.993-0.0112*B116,4)</f>
        <v>0.98119999999999996</v>
      </c>
      <c r="C119" s="3090">
        <f>B119</f>
        <v>0.98119999999999996</v>
      </c>
      <c r="D119" s="3090">
        <f>ROUND(0.9415-0.0142*B116,4)</f>
        <v>0.92659999999999998</v>
      </c>
      <c r="E119" s="3090">
        <f t="shared" ref="E119:H120" si="36">D119</f>
        <v>0.92659999999999998</v>
      </c>
      <c r="F119" s="3090">
        <f t="shared" si="36"/>
        <v>0.92659999999999998</v>
      </c>
      <c r="G119" s="3090">
        <f t="shared" si="36"/>
        <v>0.92659999999999998</v>
      </c>
      <c r="H119" s="3090">
        <f t="shared" si="36"/>
        <v>0.92659999999999998</v>
      </c>
      <c r="I119" s="3090">
        <f>ROUND(0.838-0.0182*B116,4)</f>
        <v>0.81889999999999996</v>
      </c>
      <c r="J119" s="3090">
        <f t="shared" si="35"/>
        <v>0.81889999999999996</v>
      </c>
      <c r="K119" s="3090">
        <f t="shared" si="35"/>
        <v>0.81889999999999996</v>
      </c>
      <c r="L119" s="3090">
        <f t="shared" si="35"/>
        <v>0.81889999999999996</v>
      </c>
      <c r="M119" s="3110">
        <f t="shared" si="35"/>
        <v>0.81889999999999996</v>
      </c>
      <c r="N119" s="3098"/>
    </row>
    <row r="120" spans="1:14">
      <c r="A120" s="3058" t="s">
        <v>3313</v>
      </c>
      <c r="B120" s="3090">
        <f>ROUND(0.9448-0.0115*B116,4)</f>
        <v>0.93269999999999997</v>
      </c>
      <c r="C120" s="3090">
        <f>B120</f>
        <v>0.93269999999999997</v>
      </c>
      <c r="D120" s="3090">
        <f>ROUND(0.937-0.0145*B116,4)</f>
        <v>0.92179999999999995</v>
      </c>
      <c r="E120" s="3090">
        <f t="shared" si="36"/>
        <v>0.92179999999999995</v>
      </c>
      <c r="F120" s="3090">
        <f t="shared" si="36"/>
        <v>0.92179999999999995</v>
      </c>
      <c r="G120" s="3090">
        <f t="shared" si="36"/>
        <v>0.92179999999999995</v>
      </c>
      <c r="H120" s="3090">
        <f t="shared" si="36"/>
        <v>0.92179999999999995</v>
      </c>
      <c r="I120" s="3090">
        <f>ROUND(0.7965-0.0185*B116,4)</f>
        <v>0.77710000000000001</v>
      </c>
      <c r="J120" s="3090">
        <f t="shared" si="35"/>
        <v>0.77710000000000001</v>
      </c>
      <c r="K120" s="3090">
        <f t="shared" si="35"/>
        <v>0.77710000000000001</v>
      </c>
      <c r="L120" s="3090">
        <f t="shared" si="35"/>
        <v>0.77710000000000001</v>
      </c>
      <c r="M120" s="3110">
        <f t="shared" si="35"/>
        <v>0.77710000000000001</v>
      </c>
      <c r="N120" s="3098"/>
    </row>
    <row r="121" spans="1:14" ht="13.5" thickBot="1">
      <c r="A121" s="3111" t="s">
        <v>3314</v>
      </c>
      <c r="B121" s="3112">
        <f>ROUND(0.7836-0.012*B116,4)</f>
        <v>0.77100000000000002</v>
      </c>
      <c r="C121" s="3112">
        <f>B121</f>
        <v>0.77100000000000002</v>
      </c>
      <c r="D121" s="3112">
        <f>ROUND(0.753-0.015*B116,4)</f>
        <v>0.73729999999999996</v>
      </c>
      <c r="E121" s="3112">
        <f>D121</f>
        <v>0.73729999999999996</v>
      </c>
      <c r="F121" s="3112">
        <f>E121</f>
        <v>0.73729999999999996</v>
      </c>
      <c r="G121" s="3112">
        <f>ROUND(0.6612-0.018*B116,4)</f>
        <v>0.64229999999999998</v>
      </c>
      <c r="H121" s="3112">
        <f>G121</f>
        <v>0.64229999999999998</v>
      </c>
      <c r="I121" s="3112">
        <f>ROUND(0.5905-0.019*B116,4)</f>
        <v>0.5706</v>
      </c>
      <c r="J121" s="3112">
        <f t="shared" si="35"/>
        <v>0.5706</v>
      </c>
      <c r="K121" s="3112">
        <f t="shared" si="35"/>
        <v>0.5706</v>
      </c>
      <c r="L121" s="3112">
        <f t="shared" si="35"/>
        <v>0.5706</v>
      </c>
      <c r="M121" s="3113">
        <f t="shared" si="35"/>
        <v>0.5706</v>
      </c>
      <c r="N121" s="3098"/>
    </row>
    <row r="122" spans="1:14">
      <c r="A122" s="3114" t="s">
        <v>2597</v>
      </c>
      <c r="B122" s="3090">
        <f>ROUND(0.9404-0.0106*B116,4)</f>
        <v>0.92930000000000001</v>
      </c>
      <c r="C122" s="3090">
        <f>B122</f>
        <v>0.92930000000000001</v>
      </c>
      <c r="D122" s="3090">
        <f>ROUND(0.8955-0.0135*B116,4)</f>
        <v>0.88129999999999997</v>
      </c>
      <c r="E122" s="3090">
        <f t="shared" ref="E122:H122" si="37">D122</f>
        <v>0.88129999999999997</v>
      </c>
      <c r="F122" s="3090">
        <f t="shared" si="37"/>
        <v>0.88129999999999997</v>
      </c>
      <c r="G122" s="3090">
        <f t="shared" si="37"/>
        <v>0.88129999999999997</v>
      </c>
      <c r="H122" s="3090">
        <f t="shared" si="37"/>
        <v>0.88129999999999997</v>
      </c>
      <c r="I122" s="3090">
        <f>ROUND(0.7632-0.0166*B116,4)</f>
        <v>0.74580000000000002</v>
      </c>
      <c r="J122" s="3090">
        <f t="shared" si="35"/>
        <v>0.74580000000000002</v>
      </c>
      <c r="K122" s="3090">
        <f t="shared" si="35"/>
        <v>0.74580000000000002</v>
      </c>
      <c r="L122" s="3090">
        <f t="shared" si="35"/>
        <v>0.74580000000000002</v>
      </c>
      <c r="M122" s="3110">
        <f t="shared" si="35"/>
        <v>0.74580000000000002</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2579</v>
      </c>
      <c r="B1" s="2812" t="s">
        <v>2580</v>
      </c>
      <c r="C1" s="2812" t="s">
        <v>2581</v>
      </c>
      <c r="D1" s="2812" t="s">
        <v>2582</v>
      </c>
      <c r="E1" s="2812" t="s">
        <v>2583</v>
      </c>
      <c r="F1" s="2812" t="s">
        <v>2584</v>
      </c>
      <c r="G1" s="2812" t="s">
        <v>2585</v>
      </c>
      <c r="H1" s="2812" t="s">
        <v>2586</v>
      </c>
      <c r="I1" s="2812" t="s">
        <v>2587</v>
      </c>
      <c r="J1" s="2812" t="s">
        <v>2588</v>
      </c>
      <c r="K1" s="2812" t="s">
        <v>2589</v>
      </c>
      <c r="L1" s="2812" t="s">
        <v>2590</v>
      </c>
      <c r="M1" s="2813" t="s">
        <v>2591</v>
      </c>
    </row>
    <row r="2" spans="1:13" ht="19.5" customHeight="1">
      <c r="A2" s="2815" t="s">
        <v>2592</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2593</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2594</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2595</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2596</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2597</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2598</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2599</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2600</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2601</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2602</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2603</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2604</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2605</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2606</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2607</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2608</v>
      </c>
      <c r="B18" s="2837"/>
      <c r="C18" s="2838"/>
      <c r="D18" s="2838"/>
      <c r="E18" s="2837"/>
      <c r="F18" s="2838"/>
      <c r="G18" s="2838"/>
    </row>
    <row r="19" spans="1:13" ht="19.5" customHeight="1" thickBot="1">
      <c r="A19" s="2835" t="s">
        <v>2609</v>
      </c>
      <c r="B19" s="2840" t="s">
        <v>2610</v>
      </c>
      <c r="C19" s="2840" t="s">
        <v>2611</v>
      </c>
      <c r="D19" s="2841"/>
      <c r="E19" s="2835" t="s">
        <v>2612</v>
      </c>
      <c r="F19" s="2842"/>
      <c r="G19" s="2842"/>
    </row>
    <row r="20" spans="1:13" ht="19.5" customHeight="1">
      <c r="A20" s="3515" t="s">
        <v>2592</v>
      </c>
      <c r="B20" s="3505" t="s">
        <v>2613</v>
      </c>
      <c r="C20" s="3168" t="s">
        <v>2424</v>
      </c>
      <c r="D20" s="3168"/>
      <c r="E20" s="2845">
        <v>1</v>
      </c>
      <c r="F20" s="2846" t="s">
        <v>2425</v>
      </c>
      <c r="G20" s="2846"/>
    </row>
    <row r="21" spans="1:13" ht="19.5" customHeight="1">
      <c r="A21" s="3516"/>
      <c r="B21" s="3506"/>
      <c r="C21" s="2858" t="s">
        <v>2426</v>
      </c>
      <c r="D21" s="2858"/>
      <c r="E21" s="2849">
        <v>1</v>
      </c>
      <c r="F21" s="2846" t="s">
        <v>2427</v>
      </c>
      <c r="G21" s="2846"/>
    </row>
    <row r="22" spans="1:13" ht="19.5" customHeight="1">
      <c r="A22" s="3516"/>
      <c r="B22" s="3506"/>
      <c r="C22" s="2858" t="s">
        <v>2428</v>
      </c>
      <c r="D22" s="2858"/>
      <c r="E22" s="2849">
        <v>0.9</v>
      </c>
      <c r="F22" s="2846" t="s">
        <v>2429</v>
      </c>
      <c r="G22" s="2846"/>
    </row>
    <row r="23" spans="1:13" ht="19.5" customHeight="1">
      <c r="A23" s="3516"/>
      <c r="B23" s="3506"/>
      <c r="C23" s="2858" t="s">
        <v>2430</v>
      </c>
      <c r="D23" s="2858"/>
      <c r="E23" s="2849">
        <v>0.9</v>
      </c>
      <c r="F23" s="2846" t="s">
        <v>2431</v>
      </c>
      <c r="G23" s="2846"/>
    </row>
    <row r="24" spans="1:13" ht="19.5" customHeight="1">
      <c r="A24" s="3516"/>
      <c r="B24" s="3506"/>
      <c r="C24" s="2858" t="s">
        <v>2432</v>
      </c>
      <c r="D24" s="2858"/>
      <c r="E24" s="2849">
        <v>0.8</v>
      </c>
      <c r="F24" s="2846" t="s">
        <v>2433</v>
      </c>
      <c r="G24" s="2846"/>
    </row>
    <row r="25" spans="1:13" ht="19.5" customHeight="1">
      <c r="A25" s="3516"/>
      <c r="B25" s="3506"/>
      <c r="C25" s="2858" t="s">
        <v>2434</v>
      </c>
      <c r="D25" s="2858"/>
      <c r="E25" s="2849">
        <v>0.8</v>
      </c>
      <c r="F25" s="2846"/>
      <c r="G25" s="2846"/>
    </row>
    <row r="26" spans="1:13" ht="19.5" customHeight="1">
      <c r="A26" s="3516"/>
      <c r="B26" s="3506"/>
      <c r="C26" s="2858" t="s">
        <v>3392</v>
      </c>
      <c r="D26" s="2858"/>
      <c r="E26" s="2849">
        <v>0.43</v>
      </c>
      <c r="F26" s="2846"/>
      <c r="G26" s="2846"/>
    </row>
    <row r="27" spans="1:13" ht="19.5" customHeight="1" thickBot="1">
      <c r="A27" s="3517"/>
      <c r="B27" s="3507"/>
      <c r="C27" s="3164" t="s">
        <v>3393</v>
      </c>
      <c r="D27" s="3164"/>
      <c r="E27" s="2852">
        <f>E26*0.9</f>
        <v>0.38700000000000001</v>
      </c>
      <c r="F27" s="2846" t="s">
        <v>2435</v>
      </c>
      <c r="G27" s="2846"/>
    </row>
    <row r="28" spans="1:13" ht="19.5" customHeight="1" thickBot="1">
      <c r="A28" s="3163" t="s">
        <v>2614</v>
      </c>
      <c r="B28" s="3162" t="s">
        <v>2613</v>
      </c>
      <c r="C28" s="3165" t="s">
        <v>2615</v>
      </c>
      <c r="D28" s="3166"/>
      <c r="E28" s="3167">
        <v>1</v>
      </c>
      <c r="F28" s="2846" t="s">
        <v>2436</v>
      </c>
      <c r="G28" s="2846"/>
    </row>
    <row r="29" spans="1:13" ht="19.5" customHeight="1">
      <c r="A29" s="3508" t="s">
        <v>2616</v>
      </c>
      <c r="B29" s="3511" t="s">
        <v>2597</v>
      </c>
      <c r="C29" s="2843" t="s">
        <v>2437</v>
      </c>
      <c r="D29" s="2844"/>
      <c r="E29" s="2845">
        <v>1</v>
      </c>
      <c r="F29" s="2846" t="s">
        <v>2438</v>
      </c>
      <c r="G29" s="2846"/>
    </row>
    <row r="30" spans="1:13" ht="19.5" customHeight="1">
      <c r="A30" s="3509"/>
      <c r="B30" s="3512"/>
      <c r="C30" s="2847" t="s">
        <v>2439</v>
      </c>
      <c r="D30" s="2848"/>
      <c r="E30" s="2849">
        <v>1</v>
      </c>
      <c r="F30" s="2846" t="s">
        <v>2440</v>
      </c>
      <c r="G30" s="2846"/>
    </row>
    <row r="31" spans="1:13" ht="19.5" customHeight="1">
      <c r="A31" s="3509"/>
      <c r="B31" s="3512"/>
      <c r="C31" s="2847" t="s">
        <v>2441</v>
      </c>
      <c r="D31" s="2848"/>
      <c r="E31" s="2849">
        <v>0.8</v>
      </c>
      <c r="F31" s="2846" t="s">
        <v>2442</v>
      </c>
      <c r="G31" s="2846"/>
    </row>
    <row r="32" spans="1:13" ht="19.5" customHeight="1">
      <c r="A32" s="3509"/>
      <c r="B32" s="3512"/>
      <c r="C32" s="2847" t="s">
        <v>2443</v>
      </c>
      <c r="D32" s="2848"/>
      <c r="E32" s="2849">
        <v>0.8</v>
      </c>
      <c r="F32" s="2846" t="s">
        <v>2444</v>
      </c>
      <c r="G32" s="2846"/>
    </row>
    <row r="33" spans="1:7" ht="19.5" customHeight="1">
      <c r="A33" s="3509"/>
      <c r="B33" s="3512"/>
      <c r="C33" s="2847" t="s">
        <v>2445</v>
      </c>
      <c r="D33" s="2848"/>
      <c r="E33" s="2849">
        <v>0.8</v>
      </c>
      <c r="F33" s="2846" t="s">
        <v>2446</v>
      </c>
      <c r="G33" s="2846"/>
    </row>
    <row r="34" spans="1:7" ht="19.5" customHeight="1">
      <c r="A34" s="3509"/>
      <c r="B34" s="3512"/>
      <c r="C34" s="2847" t="s">
        <v>2447</v>
      </c>
      <c r="D34" s="2848"/>
      <c r="E34" s="2849">
        <v>0.7</v>
      </c>
      <c r="F34" s="2846" t="s">
        <v>2448</v>
      </c>
      <c r="G34" s="2846"/>
    </row>
    <row r="35" spans="1:7" ht="19.5" customHeight="1">
      <c r="A35" s="3509"/>
      <c r="B35" s="3512"/>
      <c r="C35" s="2847" t="s">
        <v>2449</v>
      </c>
      <c r="D35" s="2848"/>
      <c r="E35" s="2849">
        <v>0.8</v>
      </c>
      <c r="F35" s="2846" t="s">
        <v>2450</v>
      </c>
      <c r="G35" s="2846"/>
    </row>
    <row r="36" spans="1:7" ht="19.5" customHeight="1">
      <c r="A36" s="3509"/>
      <c r="B36" s="3512"/>
      <c r="C36" s="2847" t="s">
        <v>2451</v>
      </c>
      <c r="D36" s="2848"/>
      <c r="E36" s="2849">
        <v>0.6</v>
      </c>
      <c r="F36" s="2846" t="s">
        <v>2452</v>
      </c>
      <c r="G36" s="2846"/>
    </row>
    <row r="37" spans="1:7" ht="19.5" customHeight="1">
      <c r="A37" s="3509"/>
      <c r="B37" s="3512"/>
      <c r="C37" s="2847" t="s">
        <v>2453</v>
      </c>
      <c r="D37" s="2848"/>
      <c r="E37" s="2849">
        <v>0.2</v>
      </c>
      <c r="F37" s="2846" t="s">
        <v>2454</v>
      </c>
      <c r="G37" s="2846"/>
    </row>
    <row r="38" spans="1:7" ht="19.5" customHeight="1">
      <c r="A38" s="3509"/>
      <c r="B38" s="3512"/>
      <c r="C38" s="2847" t="s">
        <v>2455</v>
      </c>
      <c r="D38" s="2848"/>
      <c r="E38" s="2849">
        <v>0.2</v>
      </c>
      <c r="F38" s="2846" t="s">
        <v>2456</v>
      </c>
      <c r="G38" s="2846"/>
    </row>
    <row r="39" spans="1:7" ht="19.5" customHeight="1">
      <c r="A39" s="3509"/>
      <c r="B39" s="3513" t="s">
        <v>2617</v>
      </c>
      <c r="C39" s="2847" t="s">
        <v>2457</v>
      </c>
      <c r="D39" s="2848"/>
      <c r="E39" s="2849">
        <v>0.6</v>
      </c>
      <c r="F39" s="2846" t="s">
        <v>2458</v>
      </c>
      <c r="G39" s="2846"/>
    </row>
    <row r="40" spans="1:7" ht="19.5" customHeight="1">
      <c r="A40" s="3509"/>
      <c r="B40" s="3512"/>
      <c r="C40" s="2847" t="s">
        <v>2459</v>
      </c>
      <c r="D40" s="2848"/>
      <c r="E40" s="2849">
        <v>0.6</v>
      </c>
      <c r="F40" s="2846" t="s">
        <v>2460</v>
      </c>
      <c r="G40" s="2846"/>
    </row>
    <row r="41" spans="1:7" ht="19.5" customHeight="1" thickBot="1">
      <c r="A41" s="3510"/>
      <c r="B41" s="3514"/>
      <c r="C41" s="2850" t="s">
        <v>2461</v>
      </c>
      <c r="D41" s="2851"/>
      <c r="E41" s="2852">
        <v>0.6</v>
      </c>
      <c r="F41" s="2846" t="s">
        <v>2462</v>
      </c>
      <c r="G41" s="2846"/>
    </row>
    <row r="42" spans="1:7" ht="19.5" customHeight="1" thickBot="1">
      <c r="A42" s="2853" t="s">
        <v>2594</v>
      </c>
      <c r="B42" s="2854" t="s">
        <v>2594</v>
      </c>
      <c r="C42" s="2855" t="s">
        <v>2618</v>
      </c>
      <c r="D42" s="2856"/>
      <c r="E42" s="2857">
        <v>1</v>
      </c>
      <c r="F42" s="2846" t="s">
        <v>2463</v>
      </c>
      <c r="G42" s="2846"/>
    </row>
    <row r="43" spans="1:7" ht="19.5" customHeight="1">
      <c r="A43" s="3515" t="s">
        <v>2595</v>
      </c>
      <c r="B43" s="3511" t="s">
        <v>2619</v>
      </c>
      <c r="C43" s="2843" t="s">
        <v>2464</v>
      </c>
      <c r="D43" s="2844"/>
      <c r="E43" s="2845">
        <v>1</v>
      </c>
      <c r="F43" s="2846" t="s">
        <v>2465</v>
      </c>
      <c r="G43" s="2846"/>
    </row>
    <row r="44" spans="1:7" ht="19.5" customHeight="1">
      <c r="A44" s="3516"/>
      <c r="B44" s="3512"/>
      <c r="C44" s="2847" t="s">
        <v>2466</v>
      </c>
      <c r="D44" s="2848"/>
      <c r="E44" s="2849">
        <v>1</v>
      </c>
      <c r="F44" s="2846" t="s">
        <v>2467</v>
      </c>
      <c r="G44" s="2846"/>
    </row>
    <row r="45" spans="1:7" ht="19.5" customHeight="1">
      <c r="A45" s="3516"/>
      <c r="B45" s="3518"/>
      <c r="C45" s="2847" t="s">
        <v>2468</v>
      </c>
      <c r="D45" s="2848"/>
      <c r="E45" s="2849">
        <v>1.5</v>
      </c>
      <c r="F45" s="2846" t="s">
        <v>2469</v>
      </c>
      <c r="G45" s="2846"/>
    </row>
    <row r="46" spans="1:7" ht="19.5" customHeight="1">
      <c r="A46" s="3516"/>
      <c r="B46" s="2858" t="s">
        <v>2620</v>
      </c>
      <c r="C46" s="2847" t="s">
        <v>2621</v>
      </c>
      <c r="D46" s="2848"/>
      <c r="E46" s="2849">
        <v>2</v>
      </c>
      <c r="F46" s="2846" t="s">
        <v>2470</v>
      </c>
      <c r="G46" s="2846"/>
    </row>
    <row r="47" spans="1:7" ht="19.5" customHeight="1">
      <c r="A47" s="3516"/>
      <c r="B47" s="3513" t="s">
        <v>2622</v>
      </c>
      <c r="C47" s="2847" t="s">
        <v>2471</v>
      </c>
      <c r="D47" s="2848"/>
      <c r="E47" s="2849">
        <v>1</v>
      </c>
      <c r="F47" s="2846" t="s">
        <v>2472</v>
      </c>
      <c r="G47" s="2846"/>
    </row>
    <row r="48" spans="1:7" ht="19.5" customHeight="1">
      <c r="A48" s="3516"/>
      <c r="B48" s="3512"/>
      <c r="C48" s="2847" t="s">
        <v>2473</v>
      </c>
      <c r="D48" s="2848"/>
      <c r="E48" s="2849">
        <v>1</v>
      </c>
      <c r="F48" s="2846" t="s">
        <v>2474</v>
      </c>
      <c r="G48" s="2846"/>
    </row>
    <row r="49" spans="1:7" ht="19.5" customHeight="1">
      <c r="A49" s="3516"/>
      <c r="B49" s="3512"/>
      <c r="C49" s="2847" t="s">
        <v>2475</v>
      </c>
      <c r="D49" s="2848"/>
      <c r="E49" s="2849">
        <v>1</v>
      </c>
      <c r="F49" s="2846" t="s">
        <v>2476</v>
      </c>
      <c r="G49" s="2846"/>
    </row>
    <row r="50" spans="1:7" ht="19.5" customHeight="1">
      <c r="A50" s="3516"/>
      <c r="B50" s="3512"/>
      <c r="C50" s="2847" t="s">
        <v>2477</v>
      </c>
      <c r="D50" s="2848"/>
      <c r="E50" s="2849">
        <v>1</v>
      </c>
      <c r="F50" s="2846" t="s">
        <v>2478</v>
      </c>
      <c r="G50" s="2846"/>
    </row>
    <row r="51" spans="1:7" ht="19.5" customHeight="1">
      <c r="A51" s="3516"/>
      <c r="B51" s="3512"/>
      <c r="C51" s="2847" t="s">
        <v>2479</v>
      </c>
      <c r="D51" s="2848"/>
      <c r="E51" s="2849">
        <v>1</v>
      </c>
      <c r="F51" s="2846" t="s">
        <v>2480</v>
      </c>
      <c r="G51" s="2846"/>
    </row>
    <row r="52" spans="1:7" ht="19.5" customHeight="1">
      <c r="A52" s="3516"/>
      <c r="B52" s="3512"/>
      <c r="C52" s="2847" t="s">
        <v>2481</v>
      </c>
      <c r="D52" s="2848"/>
      <c r="E52" s="2849">
        <v>1</v>
      </c>
      <c r="F52" s="2846" t="s">
        <v>2482</v>
      </c>
      <c r="G52" s="2846"/>
    </row>
    <row r="53" spans="1:7" ht="19.5" customHeight="1" thickBot="1">
      <c r="A53" s="3517"/>
      <c r="B53" s="3514"/>
      <c r="C53" s="2850" t="s">
        <v>2483</v>
      </c>
      <c r="D53" s="2851"/>
      <c r="E53" s="2852">
        <v>1</v>
      </c>
      <c r="F53" s="2846" t="s">
        <v>2484</v>
      </c>
      <c r="G53" s="2846"/>
    </row>
    <row r="54" spans="1:7" ht="19.5" customHeight="1">
      <c r="A54" s="2859"/>
      <c r="B54" s="2859"/>
      <c r="C54" s="2859"/>
      <c r="D54" s="2859"/>
      <c r="E54" s="2859"/>
      <c r="F54" s="2859"/>
      <c r="G54" s="2859"/>
    </row>
    <row r="56" spans="1:7" ht="19.5" customHeight="1">
      <c r="A56" s="2860"/>
      <c r="B56" s="2832" t="s">
        <v>2623</v>
      </c>
      <c r="C56" s="2832" t="s">
        <v>2623</v>
      </c>
      <c r="D56" s="2832" t="s">
        <v>2623</v>
      </c>
      <c r="E56" s="2835" t="s">
        <v>2623</v>
      </c>
      <c r="F56" s="2835" t="s">
        <v>2624</v>
      </c>
      <c r="G56" s="2835" t="s">
        <v>2625</v>
      </c>
    </row>
    <row r="57" spans="1:7" ht="19.5" customHeight="1">
      <c r="A57" s="2861"/>
      <c r="B57" s="2835" t="s">
        <v>2592</v>
      </c>
      <c r="C57" s="2835" t="s">
        <v>2592</v>
      </c>
      <c r="D57" s="2835" t="s">
        <v>2592</v>
      </c>
      <c r="E57" s="2832" t="s">
        <v>2593</v>
      </c>
      <c r="F57" s="2832" t="s">
        <v>2595</v>
      </c>
      <c r="G57" s="2832" t="s">
        <v>2626</v>
      </c>
    </row>
    <row r="58" spans="1:7" ht="19.5" customHeight="1">
      <c r="A58" s="2862"/>
      <c r="B58" s="2832">
        <v>1</v>
      </c>
      <c r="C58" s="2832">
        <v>2</v>
      </c>
      <c r="D58" s="2832">
        <v>3</v>
      </c>
      <c r="E58" s="2863" t="s">
        <v>2627</v>
      </c>
      <c r="F58" s="2863" t="s">
        <v>2627</v>
      </c>
      <c r="G58" s="2863" t="s">
        <v>2627</v>
      </c>
    </row>
    <row r="59" spans="1:7" ht="19.5" customHeight="1">
      <c r="A59" s="2864" t="s">
        <v>2580</v>
      </c>
      <c r="B59" s="2832">
        <v>0.7</v>
      </c>
      <c r="C59" s="2832">
        <v>0.4</v>
      </c>
      <c r="D59" s="2832">
        <v>0.3</v>
      </c>
      <c r="E59" s="2863">
        <v>0.3</v>
      </c>
      <c r="F59" s="2832">
        <v>0.3</v>
      </c>
      <c r="G59" s="2832">
        <v>0.2</v>
      </c>
    </row>
    <row r="60" spans="1:7" ht="19.5" customHeight="1">
      <c r="A60" s="2864" t="s">
        <v>2581</v>
      </c>
      <c r="B60" s="2832">
        <v>0.7</v>
      </c>
      <c r="C60" s="2832">
        <v>0.4</v>
      </c>
      <c r="D60" s="2832">
        <v>0.3</v>
      </c>
      <c r="E60" s="2832">
        <v>0.3</v>
      </c>
      <c r="F60" s="2832">
        <v>0.3</v>
      </c>
      <c r="G60" s="2832">
        <v>0.2</v>
      </c>
    </row>
    <row r="61" spans="1:7" ht="19.5" customHeight="1">
      <c r="A61" s="2864" t="s">
        <v>2582</v>
      </c>
      <c r="B61" s="2832">
        <v>0.6</v>
      </c>
      <c r="C61" s="2832">
        <v>0.3</v>
      </c>
      <c r="D61" s="2832">
        <v>0.25</v>
      </c>
      <c r="E61" s="2832">
        <v>0.25</v>
      </c>
      <c r="F61" s="2832">
        <v>0.25</v>
      </c>
      <c r="G61" s="2832">
        <v>0.15</v>
      </c>
    </row>
    <row r="62" spans="1:7" ht="19.5" customHeight="1">
      <c r="A62" s="2864" t="s">
        <v>2583</v>
      </c>
      <c r="B62" s="2832">
        <v>0.6</v>
      </c>
      <c r="C62" s="2832">
        <v>0.3</v>
      </c>
      <c r="D62" s="2832">
        <v>0.25</v>
      </c>
      <c r="E62" s="2832">
        <v>0.25</v>
      </c>
      <c r="F62" s="2832">
        <v>0.25</v>
      </c>
      <c r="G62" s="2832">
        <v>0.15</v>
      </c>
    </row>
    <row r="63" spans="1:7" ht="19.5" customHeight="1">
      <c r="A63" s="2864" t="s">
        <v>2584</v>
      </c>
      <c r="B63" s="2832">
        <v>0.6</v>
      </c>
      <c r="C63" s="2832">
        <v>0.3</v>
      </c>
      <c r="D63" s="2832">
        <v>0.25</v>
      </c>
      <c r="E63" s="2832">
        <v>0.25</v>
      </c>
      <c r="F63" s="2832">
        <v>0.25</v>
      </c>
      <c r="G63" s="2832">
        <v>0.15</v>
      </c>
    </row>
    <row r="64" spans="1:7" ht="19.5" customHeight="1">
      <c r="A64" s="2864" t="s">
        <v>2585</v>
      </c>
      <c r="B64" s="2832">
        <v>0.6</v>
      </c>
      <c r="C64" s="2832">
        <v>0.3</v>
      </c>
      <c r="D64" s="2832">
        <v>0.25</v>
      </c>
      <c r="E64" s="2832">
        <v>0.25</v>
      </c>
      <c r="F64" s="2832">
        <v>0.25</v>
      </c>
      <c r="G64" s="2832">
        <v>0.15</v>
      </c>
    </row>
    <row r="65" spans="1:7" ht="19.5" customHeight="1">
      <c r="A65" s="2864" t="s">
        <v>2586</v>
      </c>
      <c r="B65" s="2832">
        <v>0.6</v>
      </c>
      <c r="C65" s="2832">
        <v>0.3</v>
      </c>
      <c r="D65" s="2832">
        <v>0.25</v>
      </c>
      <c r="E65" s="2832">
        <v>0.25</v>
      </c>
      <c r="F65" s="2832">
        <v>0.25</v>
      </c>
      <c r="G65" s="2832">
        <v>0.15</v>
      </c>
    </row>
    <row r="66" spans="1:7" ht="19.5" customHeight="1">
      <c r="A66" s="2864" t="s">
        <v>2587</v>
      </c>
      <c r="B66" s="2832">
        <v>0.5</v>
      </c>
      <c r="C66" s="2832">
        <v>0.2</v>
      </c>
      <c r="D66" s="2832">
        <v>0.2</v>
      </c>
      <c r="E66" s="2832">
        <v>0.2</v>
      </c>
      <c r="F66" s="2832">
        <v>0.2</v>
      </c>
      <c r="G66" s="2832">
        <v>0.1</v>
      </c>
    </row>
    <row r="67" spans="1:7" ht="19.5" customHeight="1">
      <c r="A67" s="2864" t="s">
        <v>2588</v>
      </c>
      <c r="B67" s="2832">
        <v>0.5</v>
      </c>
      <c r="C67" s="2832">
        <v>0.2</v>
      </c>
      <c r="D67" s="2832">
        <v>0.2</v>
      </c>
      <c r="E67" s="2832">
        <v>0.2</v>
      </c>
      <c r="F67" s="2832">
        <v>0.2</v>
      </c>
      <c r="G67" s="2832">
        <v>0.1</v>
      </c>
    </row>
    <row r="68" spans="1:7" ht="19.5" customHeight="1">
      <c r="A68" s="2864" t="s">
        <v>2589</v>
      </c>
      <c r="B68" s="2832">
        <v>0.5</v>
      </c>
      <c r="C68" s="2832">
        <v>0.2</v>
      </c>
      <c r="D68" s="2832">
        <v>0.2</v>
      </c>
      <c r="E68" s="2832">
        <v>0.2</v>
      </c>
      <c r="F68" s="2832">
        <v>0.2</v>
      </c>
      <c r="G68" s="2832">
        <v>0.1</v>
      </c>
    </row>
    <row r="69" spans="1:7" ht="19.5" customHeight="1">
      <c r="A69" s="2864" t="s">
        <v>2590</v>
      </c>
      <c r="B69" s="2832">
        <v>0.5</v>
      </c>
      <c r="C69" s="2832">
        <v>0.2</v>
      </c>
      <c r="D69" s="2832">
        <v>0.2</v>
      </c>
      <c r="E69" s="2832">
        <v>0.2</v>
      </c>
      <c r="F69" s="2832">
        <v>0.2</v>
      </c>
      <c r="G69" s="2832">
        <v>0.1</v>
      </c>
    </row>
    <row r="70" spans="1:7" ht="19.5" customHeight="1">
      <c r="A70" s="2864" t="s">
        <v>2591</v>
      </c>
      <c r="B70" s="2832">
        <v>0.5</v>
      </c>
      <c r="C70" s="2832">
        <v>0.2</v>
      </c>
      <c r="D70" s="2832">
        <v>0.2</v>
      </c>
      <c r="E70" s="2832">
        <v>0.2</v>
      </c>
      <c r="F70" s="2832">
        <v>0.2</v>
      </c>
      <c r="G70" s="2832">
        <v>0.1</v>
      </c>
    </row>
    <row r="72" spans="1:7" ht="19.5" customHeight="1">
      <c r="A72" s="2846"/>
      <c r="B72" s="2865"/>
      <c r="C72" s="2865"/>
      <c r="D72" s="2865" t="s">
        <v>2628</v>
      </c>
      <c r="E72" s="2865"/>
      <c r="F72" s="2865"/>
    </row>
    <row r="73" spans="1:7" ht="19.5" customHeight="1">
      <c r="A73" s="2858" t="s">
        <v>2629</v>
      </c>
      <c r="B73" s="2858" t="s">
        <v>2630</v>
      </c>
      <c r="C73" s="2858" t="s">
        <v>2631</v>
      </c>
      <c r="D73" s="2858" t="s">
        <v>2632</v>
      </c>
      <c r="E73" s="2858" t="s">
        <v>2633</v>
      </c>
      <c r="F73" s="2858" t="s">
        <v>2634</v>
      </c>
    </row>
    <row r="74" spans="1:7" ht="13.5">
      <c r="A74" s="2858"/>
      <c r="B74" s="2858"/>
      <c r="C74" s="2858" t="s">
        <v>2635</v>
      </c>
      <c r="D74" s="2858"/>
      <c r="E74" s="2858" t="s">
        <v>2606</v>
      </c>
      <c r="F74" s="2858" t="s">
        <v>2606</v>
      </c>
    </row>
    <row r="75" spans="1:7" ht="13.5">
      <c r="A75" s="2858">
        <v>1</v>
      </c>
      <c r="B75" s="3513" t="s">
        <v>2636</v>
      </c>
      <c r="C75" s="2832" t="s">
        <v>2637</v>
      </c>
      <c r="D75" s="2832" t="s">
        <v>2638</v>
      </c>
      <c r="E75" s="2858">
        <v>0.2</v>
      </c>
      <c r="F75" s="2858">
        <v>25</v>
      </c>
    </row>
    <row r="76" spans="1:7" ht="24">
      <c r="A76" s="2858">
        <v>2</v>
      </c>
      <c r="B76" s="3512"/>
      <c r="C76" s="2832" t="s">
        <v>2639</v>
      </c>
      <c r="D76" s="2832" t="s">
        <v>2640</v>
      </c>
      <c r="E76" s="2858">
        <v>0.2</v>
      </c>
      <c r="F76" s="2858">
        <v>25</v>
      </c>
    </row>
    <row r="77" spans="1:7" ht="24">
      <c r="A77" s="2858">
        <v>3</v>
      </c>
      <c r="B77" s="3512"/>
      <c r="C77" s="2832" t="s">
        <v>2641</v>
      </c>
      <c r="D77" s="2832" t="s">
        <v>2642</v>
      </c>
      <c r="E77" s="2858">
        <v>0.2</v>
      </c>
      <c r="F77" s="2858">
        <v>25</v>
      </c>
    </row>
    <row r="78" spans="1:7" ht="13.5">
      <c r="A78" s="2858">
        <v>4</v>
      </c>
      <c r="B78" s="3512"/>
      <c r="C78" s="2832" t="s">
        <v>2643</v>
      </c>
      <c r="D78" s="2832" t="s">
        <v>2644</v>
      </c>
      <c r="E78" s="2858">
        <v>0.15</v>
      </c>
      <c r="F78" s="2858">
        <v>20</v>
      </c>
    </row>
    <row r="79" spans="1:7" ht="24">
      <c r="A79" s="2858">
        <v>5</v>
      </c>
      <c r="B79" s="3512"/>
      <c r="C79" s="2832" t="s">
        <v>2645</v>
      </c>
      <c r="D79" s="2832" t="s">
        <v>2646</v>
      </c>
      <c r="E79" s="2858">
        <v>0.15</v>
      </c>
      <c r="F79" s="2858">
        <v>20</v>
      </c>
    </row>
    <row r="80" spans="1:7" ht="24">
      <c r="A80" s="2858">
        <v>6</v>
      </c>
      <c r="B80" s="3512"/>
      <c r="C80" s="2832" t="s">
        <v>2647</v>
      </c>
      <c r="D80" s="2832" t="s">
        <v>2648</v>
      </c>
      <c r="E80" s="2858">
        <v>0.15</v>
      </c>
      <c r="F80" s="2858">
        <v>20</v>
      </c>
    </row>
    <row r="81" spans="1:6" ht="24">
      <c r="A81" s="2858">
        <v>7</v>
      </c>
      <c r="B81" s="3512"/>
      <c r="C81" s="2832" t="s">
        <v>2649</v>
      </c>
      <c r="D81" s="2832" t="s">
        <v>2650</v>
      </c>
      <c r="E81" s="2858">
        <v>0.15</v>
      </c>
      <c r="F81" s="2858">
        <v>20</v>
      </c>
    </row>
    <row r="82" spans="1:6" ht="24">
      <c r="A82" s="2858">
        <v>8</v>
      </c>
      <c r="B82" s="3512"/>
      <c r="C82" s="2832" t="s">
        <v>2651</v>
      </c>
      <c r="D82" s="2832" t="s">
        <v>2652</v>
      </c>
      <c r="E82" s="2858">
        <v>0.1</v>
      </c>
      <c r="F82" s="2858">
        <v>15</v>
      </c>
    </row>
    <row r="83" spans="1:6" ht="24">
      <c r="A83" s="2858">
        <v>9</v>
      </c>
      <c r="B83" s="3512"/>
      <c r="C83" s="2832" t="s">
        <v>2653</v>
      </c>
      <c r="D83" s="2832" t="s">
        <v>2654</v>
      </c>
      <c r="E83" s="2858">
        <v>0.1</v>
      </c>
      <c r="F83" s="2858">
        <v>15</v>
      </c>
    </row>
    <row r="84" spans="1:6" ht="24">
      <c r="A84" s="2858">
        <v>10</v>
      </c>
      <c r="B84" s="3512"/>
      <c r="C84" s="2832" t="s">
        <v>2655</v>
      </c>
      <c r="D84" s="2832" t="s">
        <v>2656</v>
      </c>
      <c r="E84" s="2858">
        <v>0.1</v>
      </c>
      <c r="F84" s="2858">
        <v>15</v>
      </c>
    </row>
    <row r="85" spans="1:6" ht="24">
      <c r="A85" s="2858">
        <v>11</v>
      </c>
      <c r="B85" s="3512"/>
      <c r="C85" s="2832" t="s">
        <v>2657</v>
      </c>
      <c r="D85" s="2832" t="s">
        <v>2658</v>
      </c>
      <c r="E85" s="2858">
        <v>0.1</v>
      </c>
      <c r="F85" s="2858">
        <v>15</v>
      </c>
    </row>
    <row r="86" spans="1:6" ht="24">
      <c r="A86" s="2858">
        <v>12</v>
      </c>
      <c r="B86" s="3512"/>
      <c r="C86" s="2832" t="s">
        <v>2659</v>
      </c>
      <c r="D86" s="2832" t="s">
        <v>2660</v>
      </c>
      <c r="E86" s="2858">
        <v>0.1</v>
      </c>
      <c r="F86" s="2858">
        <v>15</v>
      </c>
    </row>
    <row r="87" spans="1:6" ht="13.5">
      <c r="A87" s="2858">
        <v>13</v>
      </c>
      <c r="B87" s="3512"/>
      <c r="C87" s="2832" t="s">
        <v>2661</v>
      </c>
      <c r="D87" s="2832" t="s">
        <v>2662</v>
      </c>
      <c r="E87" s="2858">
        <v>0.1</v>
      </c>
      <c r="F87" s="2858">
        <v>15</v>
      </c>
    </row>
    <row r="88" spans="1:6" ht="13.5">
      <c r="A88" s="2858">
        <v>14</v>
      </c>
      <c r="B88" s="3512"/>
      <c r="C88" s="2832" t="s">
        <v>2663</v>
      </c>
      <c r="D88" s="2832" t="s">
        <v>2664</v>
      </c>
      <c r="E88" s="2858">
        <v>0.1</v>
      </c>
      <c r="F88" s="2858">
        <v>15</v>
      </c>
    </row>
    <row r="89" spans="1:6" ht="13.5">
      <c r="A89" s="2858">
        <v>15</v>
      </c>
      <c r="B89" s="3512"/>
      <c r="C89" s="2832" t="s">
        <v>2665</v>
      </c>
      <c r="D89" s="2832" t="s">
        <v>2666</v>
      </c>
      <c r="E89" s="2858">
        <v>0.1</v>
      </c>
      <c r="F89" s="2858">
        <v>15</v>
      </c>
    </row>
    <row r="90" spans="1:6" ht="24">
      <c r="A90" s="2858">
        <v>16</v>
      </c>
      <c r="B90" s="3512"/>
      <c r="C90" s="2832" t="s">
        <v>2667</v>
      </c>
      <c r="D90" s="2832" t="s">
        <v>2668</v>
      </c>
      <c r="E90" s="2858">
        <v>0.1</v>
      </c>
      <c r="F90" s="2858">
        <v>15</v>
      </c>
    </row>
    <row r="91" spans="1:6" ht="24">
      <c r="A91" s="2858">
        <v>17</v>
      </c>
      <c r="B91" s="3518"/>
      <c r="C91" s="2832" t="s">
        <v>2669</v>
      </c>
      <c r="D91" s="2832" t="s">
        <v>2670</v>
      </c>
      <c r="E91" s="2858">
        <v>0.1</v>
      </c>
      <c r="F91" s="2858">
        <v>15</v>
      </c>
    </row>
    <row r="92" spans="1:6" ht="13.5">
      <c r="A92" s="2858">
        <v>18</v>
      </c>
      <c r="B92" s="3513" t="s">
        <v>2671</v>
      </c>
      <c r="C92" s="2832" t="s">
        <v>2672</v>
      </c>
      <c r="D92" s="2832" t="s">
        <v>2673</v>
      </c>
      <c r="E92" s="2858">
        <v>0.2</v>
      </c>
      <c r="F92" s="2858">
        <v>25</v>
      </c>
    </row>
    <row r="93" spans="1:6" ht="24">
      <c r="A93" s="2858">
        <v>19</v>
      </c>
      <c r="B93" s="3512"/>
      <c r="C93" s="2832" t="s">
        <v>2674</v>
      </c>
      <c r="D93" s="2832" t="s">
        <v>2675</v>
      </c>
      <c r="E93" s="2858">
        <v>0.2</v>
      </c>
      <c r="F93" s="2858">
        <v>25</v>
      </c>
    </row>
    <row r="94" spans="1:6" ht="13.5">
      <c r="A94" s="2858">
        <v>20</v>
      </c>
      <c r="B94" s="3512"/>
      <c r="C94" s="2832" t="s">
        <v>2676</v>
      </c>
      <c r="D94" s="2832" t="s">
        <v>2677</v>
      </c>
      <c r="E94" s="2858">
        <v>0.15</v>
      </c>
      <c r="F94" s="2858">
        <v>20</v>
      </c>
    </row>
    <row r="95" spans="1:6" ht="13.5">
      <c r="A95" s="2858">
        <v>21</v>
      </c>
      <c r="B95" s="3512"/>
      <c r="C95" s="2832" t="s">
        <v>2678</v>
      </c>
      <c r="D95" s="2832" t="s">
        <v>2679</v>
      </c>
      <c r="E95" s="2858">
        <v>0.15</v>
      </c>
      <c r="F95" s="2858">
        <v>20</v>
      </c>
    </row>
    <row r="96" spans="1:6" ht="13.5">
      <c r="A96" s="2858">
        <v>22</v>
      </c>
      <c r="B96" s="3512"/>
      <c r="C96" s="2832" t="s">
        <v>2680</v>
      </c>
      <c r="D96" s="2832" t="s">
        <v>2681</v>
      </c>
      <c r="E96" s="2858">
        <v>0.15</v>
      </c>
      <c r="F96" s="2858">
        <v>20</v>
      </c>
    </row>
    <row r="97" spans="1:6" ht="36">
      <c r="A97" s="2858">
        <v>23</v>
      </c>
      <c r="B97" s="3512"/>
      <c r="C97" s="2832" t="s">
        <v>2682</v>
      </c>
      <c r="D97" s="2832" t="s">
        <v>2683</v>
      </c>
      <c r="E97" s="2858">
        <v>0.15</v>
      </c>
      <c r="F97" s="2858">
        <v>20</v>
      </c>
    </row>
    <row r="98" spans="1:6" ht="13.5">
      <c r="A98" s="2858">
        <v>24</v>
      </c>
      <c r="B98" s="3512"/>
      <c r="C98" s="2832" t="s">
        <v>2684</v>
      </c>
      <c r="D98" s="2832" t="s">
        <v>2685</v>
      </c>
      <c r="E98" s="2858">
        <v>0.1</v>
      </c>
      <c r="F98" s="2858">
        <v>15</v>
      </c>
    </row>
    <row r="99" spans="1:6" ht="13.5">
      <c r="A99" s="2858">
        <v>25</v>
      </c>
      <c r="B99" s="3512"/>
      <c r="C99" s="2832" t="s">
        <v>2686</v>
      </c>
      <c r="D99" s="2832" t="s">
        <v>2687</v>
      </c>
      <c r="E99" s="2858">
        <v>0.1</v>
      </c>
      <c r="F99" s="2858">
        <v>15</v>
      </c>
    </row>
    <row r="100" spans="1:6" ht="24">
      <c r="A100" s="2858">
        <v>26</v>
      </c>
      <c r="B100" s="3512"/>
      <c r="C100" s="2832" t="s">
        <v>2688</v>
      </c>
      <c r="D100" s="2832" t="s">
        <v>2689</v>
      </c>
      <c r="E100" s="2858">
        <v>0.1</v>
      </c>
      <c r="F100" s="2858">
        <v>15</v>
      </c>
    </row>
    <row r="101" spans="1:6" ht="24">
      <c r="A101" s="2858">
        <v>27</v>
      </c>
      <c r="B101" s="3512"/>
      <c r="C101" s="2832" t="s">
        <v>2690</v>
      </c>
      <c r="D101" s="2832" t="s">
        <v>2691</v>
      </c>
      <c r="E101" s="2858">
        <v>0.1</v>
      </c>
      <c r="F101" s="2858">
        <v>15</v>
      </c>
    </row>
    <row r="102" spans="1:6" ht="13.5">
      <c r="A102" s="2858">
        <v>28</v>
      </c>
      <c r="B102" s="3512"/>
      <c r="C102" s="2832" t="s">
        <v>2692</v>
      </c>
      <c r="D102" s="2832" t="s">
        <v>2693</v>
      </c>
      <c r="E102" s="2858">
        <v>0.1</v>
      </c>
      <c r="F102" s="2858">
        <v>15</v>
      </c>
    </row>
    <row r="103" spans="1:6" ht="13.5">
      <c r="A103" s="2858">
        <v>29</v>
      </c>
      <c r="B103" s="3512"/>
      <c r="C103" s="2832" t="s">
        <v>2694</v>
      </c>
      <c r="D103" s="2832" t="s">
        <v>2695</v>
      </c>
      <c r="E103" s="2858">
        <v>0.1</v>
      </c>
      <c r="F103" s="2858">
        <v>15</v>
      </c>
    </row>
    <row r="104" spans="1:6" ht="13.5">
      <c r="A104" s="2858">
        <v>30</v>
      </c>
      <c r="B104" s="3512"/>
      <c r="C104" s="2832" t="s">
        <v>2696</v>
      </c>
      <c r="D104" s="2832" t="s">
        <v>2697</v>
      </c>
      <c r="E104" s="2858">
        <v>0.1</v>
      </c>
      <c r="F104" s="2858">
        <v>15</v>
      </c>
    </row>
    <row r="105" spans="1:6" ht="24">
      <c r="A105" s="2858">
        <v>31</v>
      </c>
      <c r="B105" s="3512"/>
      <c r="C105" s="2832" t="s">
        <v>2698</v>
      </c>
      <c r="D105" s="2832" t="s">
        <v>2699</v>
      </c>
      <c r="E105" s="2858">
        <v>0.1</v>
      </c>
      <c r="F105" s="2858">
        <v>15</v>
      </c>
    </row>
    <row r="106" spans="1:6" ht="24">
      <c r="A106" s="2858">
        <v>32</v>
      </c>
      <c r="B106" s="3512"/>
      <c r="C106" s="2832" t="s">
        <v>2700</v>
      </c>
      <c r="D106" s="2832" t="s">
        <v>2701</v>
      </c>
      <c r="E106" s="2858">
        <v>0.1</v>
      </c>
      <c r="F106" s="2858">
        <v>15</v>
      </c>
    </row>
    <row r="107" spans="1:6" ht="24">
      <c r="A107" s="2858">
        <v>33</v>
      </c>
      <c r="B107" s="3512"/>
      <c r="C107" s="2832" t="s">
        <v>2702</v>
      </c>
      <c r="D107" s="2832" t="s">
        <v>2703</v>
      </c>
      <c r="E107" s="2858">
        <v>0.1</v>
      </c>
      <c r="F107" s="2858">
        <v>15</v>
      </c>
    </row>
    <row r="108" spans="1:6" ht="24">
      <c r="A108" s="2858">
        <v>34</v>
      </c>
      <c r="B108" s="3518"/>
      <c r="C108" s="2832" t="s">
        <v>2704</v>
      </c>
      <c r="D108" s="2832" t="s">
        <v>2705</v>
      </c>
      <c r="E108" s="2858">
        <v>0.1</v>
      </c>
      <c r="F108" s="2858">
        <v>15</v>
      </c>
    </row>
    <row r="109" spans="1:6" ht="24">
      <c r="A109" s="2858">
        <v>35</v>
      </c>
      <c r="B109" s="3513" t="s">
        <v>2706</v>
      </c>
      <c r="C109" s="2858" t="s">
        <v>2707</v>
      </c>
      <c r="D109" s="2832" t="s">
        <v>2708</v>
      </c>
      <c r="E109" s="2858">
        <v>0.15</v>
      </c>
      <c r="F109" s="2858">
        <v>20</v>
      </c>
    </row>
    <row r="110" spans="1:6" ht="13.5">
      <c r="A110" s="2858">
        <v>36</v>
      </c>
      <c r="B110" s="3512"/>
      <c r="C110" s="2858" t="s">
        <v>2709</v>
      </c>
      <c r="D110" s="2832" t="s">
        <v>2710</v>
      </c>
      <c r="E110" s="2858">
        <v>0.15</v>
      </c>
      <c r="F110" s="2858">
        <v>20</v>
      </c>
    </row>
    <row r="111" spans="1:6" ht="13.5">
      <c r="A111" s="2858">
        <v>37</v>
      </c>
      <c r="B111" s="3512"/>
      <c r="C111" s="2858" t="s">
        <v>2711</v>
      </c>
      <c r="D111" s="2832" t="s">
        <v>2712</v>
      </c>
      <c r="E111" s="2858">
        <v>0.15</v>
      </c>
      <c r="F111" s="2858">
        <v>20</v>
      </c>
    </row>
    <row r="112" spans="1:6" ht="13.5">
      <c r="A112" s="2858">
        <v>38</v>
      </c>
      <c r="B112" s="3512"/>
      <c r="C112" s="2858" t="s">
        <v>2713</v>
      </c>
      <c r="D112" s="2832" t="s">
        <v>2714</v>
      </c>
      <c r="E112" s="2858">
        <v>0.1</v>
      </c>
      <c r="F112" s="2858">
        <v>15</v>
      </c>
    </row>
    <row r="113" spans="1:6" ht="24">
      <c r="A113" s="2858">
        <v>39</v>
      </c>
      <c r="B113" s="3512"/>
      <c r="C113" s="2858" t="s">
        <v>2715</v>
      </c>
      <c r="D113" s="2832" t="s">
        <v>2716</v>
      </c>
      <c r="E113" s="2858">
        <v>0.1</v>
      </c>
      <c r="F113" s="2858">
        <v>15</v>
      </c>
    </row>
    <row r="114" spans="1:6" ht="24">
      <c r="A114" s="2858">
        <v>40</v>
      </c>
      <c r="B114" s="3518"/>
      <c r="C114" s="2858" t="s">
        <v>2717</v>
      </c>
      <c r="D114" s="2832" t="s">
        <v>2718</v>
      </c>
      <c r="E114" s="2858">
        <v>0.1</v>
      </c>
      <c r="F114" s="2858">
        <v>15</v>
      </c>
    </row>
    <row r="115" spans="1:6" ht="13.5">
      <c r="A115" s="2858">
        <v>41</v>
      </c>
      <c r="B115" s="3506" t="s">
        <v>2719</v>
      </c>
      <c r="C115" s="2858" t="s">
        <v>2720</v>
      </c>
      <c r="D115" s="2832" t="s">
        <v>2721</v>
      </c>
      <c r="E115" s="2858">
        <v>0.1</v>
      </c>
      <c r="F115" s="2858">
        <v>15</v>
      </c>
    </row>
    <row r="116" spans="1:6" ht="13.5">
      <c r="A116" s="2858">
        <v>42</v>
      </c>
      <c r="B116" s="3506"/>
      <c r="C116" s="2858" t="s">
        <v>2722</v>
      </c>
      <c r="D116" s="2832" t="s">
        <v>2723</v>
      </c>
      <c r="E116" s="2858">
        <v>0.1</v>
      </c>
      <c r="F116" s="2858">
        <v>15</v>
      </c>
    </row>
    <row r="117" spans="1:6" ht="24">
      <c r="A117" s="2858">
        <v>43</v>
      </c>
      <c r="B117" s="3506"/>
      <c r="C117" s="2858" t="s">
        <v>2724</v>
      </c>
      <c r="D117" s="2832" t="s">
        <v>2725</v>
      </c>
      <c r="E117" s="2858">
        <v>0.1</v>
      </c>
      <c r="F117" s="2858">
        <v>15</v>
      </c>
    </row>
    <row r="118" spans="1:6" ht="13.5">
      <c r="A118" s="2858">
        <v>44</v>
      </c>
      <c r="B118" s="3513" t="s">
        <v>2726</v>
      </c>
      <c r="C118" s="2858" t="s">
        <v>2727</v>
      </c>
      <c r="D118" s="2832" t="s">
        <v>2728</v>
      </c>
      <c r="E118" s="2858">
        <v>0.1</v>
      </c>
      <c r="F118" s="2858">
        <v>15</v>
      </c>
    </row>
    <row r="119" spans="1:6" ht="24">
      <c r="A119" s="2858">
        <v>45</v>
      </c>
      <c r="B119" s="3518"/>
      <c r="C119" s="2832" t="s">
        <v>2729</v>
      </c>
      <c r="D119" s="2832" t="s">
        <v>2730</v>
      </c>
      <c r="E119" s="2858">
        <v>0.1</v>
      </c>
      <c r="F119" s="2858">
        <v>15</v>
      </c>
    </row>
    <row r="120" spans="1:6" ht="24">
      <c r="A120" s="2858">
        <v>46</v>
      </c>
      <c r="B120" s="3513" t="s">
        <v>2731</v>
      </c>
      <c r="C120" s="2858" t="s">
        <v>2732</v>
      </c>
      <c r="D120" s="2832" t="s">
        <v>2733</v>
      </c>
      <c r="E120" s="2858">
        <v>0.1</v>
      </c>
      <c r="F120" s="2858">
        <v>15</v>
      </c>
    </row>
    <row r="121" spans="1:6" ht="24">
      <c r="A121" s="2858">
        <v>47</v>
      </c>
      <c r="B121" s="3518"/>
      <c r="C121" s="2858" t="s">
        <v>2734</v>
      </c>
      <c r="D121" s="2832" t="s">
        <v>2735</v>
      </c>
      <c r="E121" s="2858">
        <v>0.1</v>
      </c>
      <c r="F121" s="2858">
        <v>15</v>
      </c>
    </row>
    <row r="122" spans="1:6" ht="13.5">
      <c r="A122" s="2858">
        <v>48</v>
      </c>
      <c r="B122" s="3513" t="s">
        <v>2736</v>
      </c>
      <c r="C122" s="2858" t="s">
        <v>2737</v>
      </c>
      <c r="D122" s="2832" t="s">
        <v>2738</v>
      </c>
      <c r="E122" s="2858">
        <v>0.1</v>
      </c>
      <c r="F122" s="2858">
        <v>15</v>
      </c>
    </row>
    <row r="123" spans="1:6" ht="13.5">
      <c r="A123" s="2858">
        <v>49</v>
      </c>
      <c r="B123" s="3518"/>
      <c r="C123" s="2858" t="s">
        <v>2739</v>
      </c>
      <c r="D123" s="2832" t="s">
        <v>2740</v>
      </c>
      <c r="E123" s="2858">
        <v>0.1</v>
      </c>
      <c r="F123" s="2858">
        <v>15</v>
      </c>
    </row>
    <row r="124" spans="1:6" ht="24">
      <c r="A124" s="2858">
        <v>50</v>
      </c>
      <c r="B124" s="3506" t="s">
        <v>2741</v>
      </c>
      <c r="C124" s="2858" t="s">
        <v>2742</v>
      </c>
      <c r="D124" s="2832" t="s">
        <v>2743</v>
      </c>
      <c r="E124" s="2858">
        <v>0.1</v>
      </c>
      <c r="F124" s="2858">
        <v>15</v>
      </c>
    </row>
    <row r="125" spans="1:6" ht="24">
      <c r="A125" s="2858">
        <v>51</v>
      </c>
      <c r="B125" s="3506"/>
      <c r="C125" s="2858" t="s">
        <v>2744</v>
      </c>
      <c r="D125" s="2832" t="s">
        <v>2745</v>
      </c>
      <c r="E125" s="2858">
        <v>0.1</v>
      </c>
      <c r="F125" s="2858">
        <v>15</v>
      </c>
    </row>
    <row r="126" spans="1:6" ht="24">
      <c r="A126" s="2858">
        <v>52</v>
      </c>
      <c r="B126" s="3506" t="s">
        <v>2746</v>
      </c>
      <c r="C126" s="2858" t="s">
        <v>2747</v>
      </c>
      <c r="D126" s="2832" t="s">
        <v>2748</v>
      </c>
      <c r="E126" s="2858">
        <v>0.1</v>
      </c>
      <c r="F126" s="2858">
        <v>15</v>
      </c>
    </row>
    <row r="127" spans="1:6" ht="24">
      <c r="A127" s="2858">
        <v>53</v>
      </c>
      <c r="B127" s="3506"/>
      <c r="C127" s="2858" t="s">
        <v>2749</v>
      </c>
      <c r="D127" s="2832" t="s">
        <v>2750</v>
      </c>
      <c r="E127" s="2858">
        <v>0.1</v>
      </c>
      <c r="F127" s="2858">
        <v>15</v>
      </c>
    </row>
    <row r="128" spans="1:6" ht="13.5">
      <c r="A128" s="2858">
        <v>54</v>
      </c>
      <c r="B128" s="2858" t="s">
        <v>2751</v>
      </c>
      <c r="C128" s="2858" t="s">
        <v>2752</v>
      </c>
      <c r="D128" s="2832" t="s">
        <v>2753</v>
      </c>
      <c r="E128" s="2858">
        <v>0.1</v>
      </c>
      <c r="F128" s="2858">
        <v>15</v>
      </c>
    </row>
    <row r="129" spans="1:6" ht="13.5">
      <c r="A129" s="2858">
        <v>55</v>
      </c>
      <c r="B129" s="3506" t="s">
        <v>2754</v>
      </c>
      <c r="C129" s="2858" t="s">
        <v>2755</v>
      </c>
      <c r="D129" s="2832" t="s">
        <v>2756</v>
      </c>
      <c r="E129" s="2858">
        <v>0.1</v>
      </c>
      <c r="F129" s="2858">
        <v>15</v>
      </c>
    </row>
    <row r="130" spans="1:6" ht="13.5">
      <c r="A130" s="2858">
        <v>56</v>
      </c>
      <c r="B130" s="3506"/>
      <c r="C130" s="2858" t="s">
        <v>2757</v>
      </c>
      <c r="D130" s="2832" t="s">
        <v>2758</v>
      </c>
      <c r="E130" s="2858">
        <v>0.1</v>
      </c>
      <c r="F130" s="2858">
        <v>15</v>
      </c>
    </row>
    <row r="131" spans="1:6" ht="24">
      <c r="A131" s="2858">
        <v>57</v>
      </c>
      <c r="B131" s="3506"/>
      <c r="C131" s="2858" t="s">
        <v>2759</v>
      </c>
      <c r="D131" s="2832" t="s">
        <v>2760</v>
      </c>
      <c r="E131" s="2858">
        <v>0.1</v>
      </c>
      <c r="F131" s="2858">
        <v>15</v>
      </c>
    </row>
    <row r="132" spans="1:6" ht="24">
      <c r="A132" s="2858">
        <v>58</v>
      </c>
      <c r="B132" s="3506" t="s">
        <v>2761</v>
      </c>
      <c r="C132" s="2858" t="s">
        <v>2762</v>
      </c>
      <c r="D132" s="2832" t="s">
        <v>2763</v>
      </c>
      <c r="E132" s="2858">
        <v>0.1</v>
      </c>
      <c r="F132" s="2858">
        <v>15</v>
      </c>
    </row>
    <row r="133" spans="1:6" ht="13.5">
      <c r="A133" s="2858">
        <v>59</v>
      </c>
      <c r="B133" s="3506"/>
      <c r="C133" s="2858" t="s">
        <v>2764</v>
      </c>
      <c r="D133" s="2832" t="s">
        <v>2765</v>
      </c>
      <c r="E133" s="2858">
        <v>0.1</v>
      </c>
      <c r="F133" s="2858">
        <v>15</v>
      </c>
    </row>
    <row r="134" spans="1:6" ht="13.5">
      <c r="A134" s="2858">
        <v>60</v>
      </c>
      <c r="B134" s="3513" t="s">
        <v>2766</v>
      </c>
      <c r="C134" s="2858" t="s">
        <v>2767</v>
      </c>
      <c r="D134" s="2832" t="s">
        <v>2768</v>
      </c>
      <c r="E134" s="2858">
        <v>0.1</v>
      </c>
      <c r="F134" s="2858">
        <v>15</v>
      </c>
    </row>
    <row r="135" spans="1:6" ht="13.5">
      <c r="A135" s="2858">
        <v>61</v>
      </c>
      <c r="B135" s="3518"/>
      <c r="C135" s="2858" t="s">
        <v>2769</v>
      </c>
      <c r="D135" s="2832" t="s">
        <v>2770</v>
      </c>
      <c r="E135" s="2858">
        <v>0.1</v>
      </c>
      <c r="F135" s="2858">
        <v>15</v>
      </c>
    </row>
    <row r="136" spans="1:6" ht="24">
      <c r="A136" s="2858">
        <v>62</v>
      </c>
      <c r="B136" s="2858" t="s">
        <v>2771</v>
      </c>
      <c r="C136" s="2858" t="s">
        <v>2772</v>
      </c>
      <c r="D136" s="2832" t="s">
        <v>2773</v>
      </c>
      <c r="E136" s="2858">
        <v>0.1</v>
      </c>
      <c r="F136" s="2858">
        <v>15</v>
      </c>
    </row>
    <row r="137" spans="1:6" ht="13.5">
      <c r="A137" s="2858">
        <v>63</v>
      </c>
      <c r="B137" s="3506" t="s">
        <v>2774</v>
      </c>
      <c r="C137" s="2858" t="s">
        <v>2775</v>
      </c>
      <c r="D137" s="2832" t="s">
        <v>2776</v>
      </c>
      <c r="E137" s="2858">
        <v>0.1</v>
      </c>
      <c r="F137" s="2858">
        <v>15</v>
      </c>
    </row>
    <row r="138" spans="1:6" ht="13.5">
      <c r="A138" s="2858">
        <v>64</v>
      </c>
      <c r="B138" s="3506"/>
      <c r="C138" s="2858" t="s">
        <v>2777</v>
      </c>
      <c r="D138" s="2832" t="s">
        <v>2778</v>
      </c>
      <c r="E138" s="2858">
        <v>0.1</v>
      </c>
      <c r="F138" s="2858">
        <v>15</v>
      </c>
    </row>
    <row r="139" spans="1:6" ht="13.5">
      <c r="A139" s="2858">
        <v>65</v>
      </c>
      <c r="B139" s="2858" t="s">
        <v>2779</v>
      </c>
      <c r="C139" s="2858" t="s">
        <v>2780</v>
      </c>
      <c r="D139" s="2832" t="s">
        <v>2781</v>
      </c>
      <c r="E139" s="2858">
        <v>0.1</v>
      </c>
      <c r="F139" s="2858">
        <v>15</v>
      </c>
    </row>
    <row r="140" spans="1:6" ht="13.5">
      <c r="A140" s="2858"/>
      <c r="B140" s="2858"/>
      <c r="C140" s="2858"/>
      <c r="D140" s="2858"/>
      <c r="E140" s="2858" t="s">
        <v>2782</v>
      </c>
      <c r="F140" s="2858" t="s">
        <v>2782</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2783</v>
      </c>
      <c r="B1" s="2866"/>
      <c r="C1" s="2866"/>
      <c r="D1" s="2866"/>
      <c r="E1" s="2866"/>
      <c r="F1" s="2866"/>
      <c r="G1" s="2866"/>
      <c r="H1" s="2866"/>
      <c r="I1" s="2866"/>
      <c r="J1" s="2866"/>
      <c r="K1" s="2866"/>
      <c r="L1" s="2866"/>
      <c r="M1" s="2866"/>
      <c r="N1" s="707"/>
    </row>
    <row r="2" spans="1:20">
      <c r="A2" s="2867" t="s">
        <v>2784</v>
      </c>
      <c r="B2" s="2868" t="s">
        <v>2580</v>
      </c>
      <c r="C2" s="2868" t="s">
        <v>2581</v>
      </c>
      <c r="D2" s="2868" t="s">
        <v>2582</v>
      </c>
      <c r="E2" s="2868" t="s">
        <v>2583</v>
      </c>
      <c r="F2" s="2868" t="s">
        <v>2584</v>
      </c>
      <c r="G2" s="2868" t="s">
        <v>2585</v>
      </c>
      <c r="H2" s="2869" t="s">
        <v>2586</v>
      </c>
      <c r="I2" s="2869" t="s">
        <v>2587</v>
      </c>
      <c r="J2" s="2870" t="s">
        <v>2588</v>
      </c>
      <c r="K2" s="2870" t="s">
        <v>2589</v>
      </c>
      <c r="L2" s="2870" t="s">
        <v>2590</v>
      </c>
      <c r="M2" s="2871" t="s">
        <v>2591</v>
      </c>
      <c r="Q2" s="2881" t="s">
        <v>2789</v>
      </c>
      <c r="R2" s="2881" t="s">
        <v>2790</v>
      </c>
      <c r="S2" s="2881" t="s">
        <v>2791</v>
      </c>
      <c r="T2" s="2881" t="s">
        <v>2792</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2785</v>
      </c>
      <c r="B93" s="2866"/>
      <c r="C93" s="2866"/>
      <c r="D93" s="2866"/>
      <c r="E93" s="2866"/>
      <c r="F93" s="2866"/>
      <c r="G93" s="2866"/>
      <c r="H93" s="2866"/>
      <c r="I93" s="2866"/>
      <c r="J93" s="2866"/>
      <c r="K93" s="2866"/>
      <c r="L93" s="2866"/>
      <c r="M93" s="2866"/>
    </row>
    <row r="94" spans="1:20">
      <c r="A94" s="2867" t="s">
        <v>2784</v>
      </c>
      <c r="B94" s="2868" t="s">
        <v>2580</v>
      </c>
      <c r="C94" s="2868" t="s">
        <v>2581</v>
      </c>
      <c r="D94" s="2868" t="s">
        <v>2582</v>
      </c>
      <c r="E94" s="2868" t="s">
        <v>2583</v>
      </c>
      <c r="F94" s="2868" t="s">
        <v>2584</v>
      </c>
      <c r="G94" s="2868" t="s">
        <v>2585</v>
      </c>
      <c r="H94" s="2869" t="s">
        <v>2586</v>
      </c>
      <c r="I94" s="2869" t="s">
        <v>2587</v>
      </c>
      <c r="J94" s="2870" t="s">
        <v>2588</v>
      </c>
      <c r="K94" s="2870" t="s">
        <v>2589</v>
      </c>
      <c r="L94" s="2870" t="s">
        <v>2590</v>
      </c>
      <c r="M94" s="2871" t="s">
        <v>2591</v>
      </c>
      <c r="N94">
        <f>SUMPRODUCT((A95:A184=ROUNDDOWN(基准地价修正!G3,1))*(B94:M94=基准地价修正!G2)*(B95:M184))</f>
        <v>0</v>
      </c>
      <c r="Q94" s="2881" t="s">
        <v>2789</v>
      </c>
      <c r="R94" s="2881" t="s">
        <v>2790</v>
      </c>
      <c r="S94" s="2881" t="s">
        <v>2791</v>
      </c>
      <c r="T94" s="2881" t="s">
        <v>2792</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2786</v>
      </c>
      <c r="B185" s="2866"/>
      <c r="C185" s="2866"/>
      <c r="D185" s="2866"/>
      <c r="E185" s="2866"/>
      <c r="F185" s="2866"/>
      <c r="G185" s="2866"/>
      <c r="H185" s="2866"/>
      <c r="I185" s="2866"/>
      <c r="J185" s="2866"/>
      <c r="K185" s="2866"/>
      <c r="L185" s="2866"/>
      <c r="M185" s="2866"/>
    </row>
    <row r="186" spans="1:20">
      <c r="A186" s="2867" t="s">
        <v>2784</v>
      </c>
      <c r="B186" s="2868" t="s">
        <v>2580</v>
      </c>
      <c r="C186" s="2868" t="s">
        <v>2581</v>
      </c>
      <c r="D186" s="2868" t="s">
        <v>2582</v>
      </c>
      <c r="E186" s="2868" t="s">
        <v>2583</v>
      </c>
      <c r="F186" s="2868" t="s">
        <v>2584</v>
      </c>
      <c r="G186" s="2868" t="s">
        <v>2585</v>
      </c>
      <c r="H186" s="2869" t="s">
        <v>2586</v>
      </c>
      <c r="I186" s="2869" t="s">
        <v>2587</v>
      </c>
      <c r="J186" s="2870" t="s">
        <v>2588</v>
      </c>
      <c r="K186" s="2870" t="s">
        <v>2589</v>
      </c>
      <c r="L186" s="2870" t="s">
        <v>2590</v>
      </c>
      <c r="M186" s="2871" t="s">
        <v>2591</v>
      </c>
      <c r="Q186" s="2881" t="s">
        <v>2789</v>
      </c>
      <c r="R186" s="2881" t="s">
        <v>2790</v>
      </c>
      <c r="S186" s="2881" t="s">
        <v>2791</v>
      </c>
      <c r="T186" s="2881" t="s">
        <v>2792</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2787</v>
      </c>
      <c r="B277" s="2866"/>
      <c r="C277" s="2866"/>
      <c r="D277" s="2866"/>
      <c r="E277" s="2866"/>
      <c r="F277" s="2866"/>
      <c r="G277" s="2866"/>
      <c r="H277" s="2866"/>
      <c r="I277" s="2866"/>
      <c r="J277" s="2866"/>
      <c r="K277" s="2866"/>
      <c r="L277" s="2866"/>
      <c r="M277" s="2866"/>
    </row>
    <row r="278" spans="1:21">
      <c r="A278" s="2867" t="s">
        <v>2784</v>
      </c>
      <c r="B278" s="2868" t="s">
        <v>2580</v>
      </c>
      <c r="C278" s="2868" t="s">
        <v>2581</v>
      </c>
      <c r="D278" s="2868" t="s">
        <v>2582</v>
      </c>
      <c r="E278" s="2868" t="s">
        <v>2583</v>
      </c>
      <c r="F278" s="2868" t="s">
        <v>2584</v>
      </c>
      <c r="G278" s="2868" t="s">
        <v>2585</v>
      </c>
      <c r="H278" s="2869" t="s">
        <v>2586</v>
      </c>
      <c r="I278" s="2869" t="s">
        <v>2587</v>
      </c>
      <c r="J278" s="2870" t="s">
        <v>2588</v>
      </c>
      <c r="K278" s="2870" t="s">
        <v>2589</v>
      </c>
      <c r="L278" s="2870" t="s">
        <v>2590</v>
      </c>
      <c r="M278" s="2871" t="s">
        <v>2591</v>
      </c>
      <c r="Q278" s="2881" t="s">
        <v>2789</v>
      </c>
      <c r="R278" s="2881" t="s">
        <v>2790</v>
      </c>
      <c r="S278" s="2881" t="s">
        <v>2793</v>
      </c>
      <c r="T278" s="2881" t="s">
        <v>2794</v>
      </c>
      <c r="U278" s="2881" t="s">
        <v>2792</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2788</v>
      </c>
      <c r="B369" s="2879"/>
      <c r="C369" s="2879"/>
      <c r="D369" s="2879"/>
      <c r="E369" s="2879"/>
      <c r="F369" s="2879"/>
      <c r="G369" s="2879"/>
      <c r="H369" s="2879"/>
      <c r="I369" s="2879"/>
      <c r="J369" s="2879"/>
      <c r="K369" s="2879"/>
      <c r="L369" s="2879"/>
      <c r="M369" s="2879"/>
    </row>
    <row r="370" spans="1:20">
      <c r="A370" s="2867" t="s">
        <v>2784</v>
      </c>
      <c r="B370" s="2868" t="s">
        <v>2580</v>
      </c>
      <c r="C370" s="2868" t="s">
        <v>2581</v>
      </c>
      <c r="D370" s="2868" t="s">
        <v>2582</v>
      </c>
      <c r="E370" s="2868" t="s">
        <v>2583</v>
      </c>
      <c r="F370" s="2868" t="s">
        <v>2584</v>
      </c>
      <c r="G370" s="2868" t="s">
        <v>2585</v>
      </c>
      <c r="H370" s="2869" t="s">
        <v>2586</v>
      </c>
      <c r="I370" s="2869" t="s">
        <v>2587</v>
      </c>
      <c r="J370" s="2870" t="s">
        <v>2588</v>
      </c>
      <c r="K370" s="2870" t="s">
        <v>2589</v>
      </c>
      <c r="L370" s="2870" t="s">
        <v>2590</v>
      </c>
      <c r="M370" s="2871" t="s">
        <v>2591</v>
      </c>
      <c r="N370">
        <f>SUMPRODUCT((A371:A460=ROUNDDOWN(基准地价修正!G3,1))*(B370:M370=基准地价修正!G2)*(B371:M460))</f>
        <v>0</v>
      </c>
      <c r="Q370" s="2881" t="s">
        <v>2789</v>
      </c>
      <c r="R370" s="2881" t="s">
        <v>2790</v>
      </c>
      <c r="S370" s="2881" t="s">
        <v>2791</v>
      </c>
      <c r="T370" s="2881" t="s">
        <v>2792</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27699</v>
      </c>
      <c r="C2" s="2" t="s">
        <v>106</v>
      </c>
      <c r="D2" s="191"/>
      <c r="E2" s="191"/>
      <c r="F2" s="191"/>
      <c r="G2" s="191"/>
    </row>
    <row r="3" spans="1:7" s="192" customFormat="1" ht="18" customHeight="1" thickBot="1">
      <c r="A3" s="195" t="s">
        <v>58</v>
      </c>
      <c r="B3" s="196">
        <f ca="1">ROUND(B2*10000/'数据-汇总表'!E3,0)</f>
        <v>878246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4</v>
      </c>
      <c r="D9" s="795">
        <f>'数据-汇总表'!E5</f>
        <v>272.99</v>
      </c>
      <c r="E9" s="217">
        <f>'数据-取费表'!B27</f>
        <v>160</v>
      </c>
      <c r="F9" s="213"/>
      <c r="G9" s="218"/>
    </row>
    <row r="10" spans="1:7" s="206" customFormat="1" ht="13.5" customHeight="1">
      <c r="A10" s="733" t="s">
        <v>356</v>
      </c>
      <c r="B10" s="216" t="s">
        <v>67</v>
      </c>
      <c r="C10" s="217">
        <f>ROUND(D10*E10/10000,0)</f>
        <v>1</v>
      </c>
      <c r="D10" s="795">
        <f>'数据-汇总表'!E6</f>
        <v>42.399999999999977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315.39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2944</v>
      </c>
      <c r="D27" s="227">
        <f>C29</f>
        <v>2.8E-3</v>
      </c>
      <c r="E27" s="228" t="s">
        <v>99</v>
      </c>
      <c r="F27" s="238">
        <f>'数据-取费表'!Q16</f>
        <v>0.14000000000000001</v>
      </c>
      <c r="G27" s="239" t="s">
        <v>431</v>
      </c>
    </row>
    <row r="28" spans="1:7" s="206" customFormat="1" ht="13.5" customHeight="1">
      <c r="A28" s="734" t="s">
        <v>349</v>
      </c>
      <c r="B28" s="240" t="s">
        <v>424</v>
      </c>
      <c r="C28" s="241">
        <f>ROUND((C5+C19+C20)*F27*'数据-取费表'!B21/'数据-取费表'!B20,0)</f>
        <v>2944</v>
      </c>
      <c r="D28" s="227"/>
      <c r="E28" s="228"/>
      <c r="F28" s="238"/>
      <c r="G28" s="239"/>
    </row>
    <row r="29" spans="1:7" s="206" customFormat="1" ht="13.5" customHeight="1">
      <c r="A29" s="734" t="s">
        <v>347</v>
      </c>
      <c r="B29" s="240" t="s">
        <v>425</v>
      </c>
      <c r="C29" s="230">
        <f>ROUND(C21*F27*'数据-取费表'!B21/'数据-取费表'!B20,4)</f>
        <v>2.8E-3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27397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234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205</v>
      </c>
      <c r="D34" s="209"/>
      <c r="E34" s="212"/>
      <c r="F34" s="249">
        <f>IF('数据-取费表'!B24=0,1,'数据-取费表'!N16)</f>
        <v>1</v>
      </c>
      <c r="G34" s="211" t="s">
        <v>89</v>
      </c>
    </row>
    <row r="35" spans="1:7" ht="13.5" customHeight="1">
      <c r="A35" s="734" t="s">
        <v>351</v>
      </c>
      <c r="B35" s="207" t="s">
        <v>33</v>
      </c>
      <c r="C35" s="212">
        <f>ROUND(C34*F35,0)</f>
        <v>10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9</v>
      </c>
      <c r="D36" s="212"/>
      <c r="E36" s="212"/>
      <c r="F36" s="251">
        <f>'数据-取费表'!B34</f>
        <v>0.05</v>
      </c>
      <c r="G36" s="252" t="s">
        <v>35</v>
      </c>
    </row>
    <row r="37" spans="1:7" s="250" customFormat="1" ht="13.5" customHeight="1">
      <c r="A37" s="734" t="s">
        <v>353</v>
      </c>
      <c r="B37" s="207" t="s">
        <v>91</v>
      </c>
      <c r="C37" s="241">
        <f>ROUND(E37*D37*F34/10000,0)</f>
        <v>6</v>
      </c>
      <c r="D37" s="209">
        <f>'数据-汇总表'!E3</f>
        <v>315.39</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421" t="s">
        <v>94</v>
      </c>
    </row>
    <row r="43" spans="1:7" ht="13.5" customHeight="1">
      <c r="A43" s="734" t="s">
        <v>347</v>
      </c>
      <c r="B43" s="207" t="s">
        <v>426</v>
      </c>
      <c r="C43" s="230">
        <f ca="1">ROUND(IF('数据-取费表'!B22&lt;=1,C39*F22*'数据-取费表'!B21/2,C39*(POWER((1+F22),'数据-取费表'!B21/2)-1)),0)</f>
        <v>0</v>
      </c>
      <c r="D43" s="230"/>
      <c r="E43" s="230"/>
      <c r="F43" s="231"/>
      <c r="G43" s="3422"/>
    </row>
    <row r="44" spans="1:7" ht="13.5" customHeight="1">
      <c r="A44" s="734" t="s">
        <v>348</v>
      </c>
      <c r="B44" s="207" t="s">
        <v>428</v>
      </c>
      <c r="C44" s="230">
        <f ca="1">ROUND(IF('数据-取费表'!B22&lt;=1,C40*F22*'数据-取费表'!B21/2,C40*(POWER((1+F22),'数据-取费表'!B21/2)-1)),4)</f>
        <v>5.9999999999999995E-4</v>
      </c>
      <c r="D44" s="230"/>
      <c r="E44" s="230"/>
      <c r="F44" s="231"/>
      <c r="G44" s="3423"/>
    </row>
    <row r="45" spans="1:7" s="206" customFormat="1" ht="13.5" customHeight="1">
      <c r="A45" s="731" t="s">
        <v>341</v>
      </c>
      <c r="B45" s="236" t="s">
        <v>85</v>
      </c>
      <c r="C45" s="237">
        <f>C46</f>
        <v>33</v>
      </c>
      <c r="D45" s="227">
        <f>C47</f>
        <v>2.8E-3</v>
      </c>
      <c r="E45" s="228" t="s">
        <v>102</v>
      </c>
      <c r="F45" s="238"/>
      <c r="G45" s="239" t="s">
        <v>434</v>
      </c>
    </row>
    <row r="46" spans="1:7" s="206" customFormat="1" ht="13.5" customHeight="1">
      <c r="A46" s="734" t="s">
        <v>349</v>
      </c>
      <c r="B46" s="240" t="s">
        <v>427</v>
      </c>
      <c r="C46" s="241">
        <f>ROUND((C33+C39)*F27,0)</f>
        <v>33</v>
      </c>
      <c r="D46" s="255"/>
      <c r="E46" s="228"/>
      <c r="F46" s="238"/>
      <c r="G46" s="239"/>
    </row>
    <row r="47" spans="1:7" s="206" customFormat="1" ht="13.5" customHeight="1">
      <c r="A47" s="734" t="s">
        <v>347</v>
      </c>
      <c r="B47" s="240" t="s">
        <v>429</v>
      </c>
      <c r="C47" s="230">
        <f>ROUND(C40*F27,4)</f>
        <v>2.8E-3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302</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302</v>
      </c>
      <c r="D51" s="224"/>
      <c r="E51" s="224"/>
      <c r="F51" s="256"/>
      <c r="G51" s="226" t="s">
        <v>37</v>
      </c>
    </row>
    <row r="52" spans="1:7" s="200" customFormat="1" ht="16.5" thickBot="1">
      <c r="A52" s="257" t="s">
        <v>38</v>
      </c>
      <c r="B52" s="258"/>
      <c r="C52" s="259">
        <f ca="1">C31+C51</f>
        <v>27699</v>
      </c>
      <c r="D52" s="258"/>
      <c r="E52" s="258"/>
      <c r="F52" s="258"/>
      <c r="G52" s="260"/>
    </row>
    <row r="55" spans="1:7" ht="15">
      <c r="B55" s="262" t="s">
        <v>39</v>
      </c>
      <c r="C55" s="263"/>
    </row>
    <row r="56" spans="1:7">
      <c r="B56" s="265" t="s">
        <v>40</v>
      </c>
      <c r="C56" s="266">
        <f ca="1">ROUND(C51/C52,3)</f>
        <v>1.0999999999999999E-2</v>
      </c>
    </row>
    <row r="57" spans="1:7">
      <c r="B57" s="265" t="s">
        <v>41</v>
      </c>
      <c r="C57" s="267">
        <f ca="1">1-C56</f>
        <v>0.98899999999999999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19" t="s">
        <v>3166</v>
      </c>
      <c r="B1" s="3519"/>
    </row>
    <row r="2" spans="1:7" ht="14.25" thickBot="1">
      <c r="A2" s="2969"/>
      <c r="B2" s="2969"/>
    </row>
    <row r="3" spans="1:7" ht="14.25" thickBot="1">
      <c r="A3" s="2969"/>
      <c r="B3" s="2969"/>
      <c r="C3" s="2970" t="s">
        <v>2796</v>
      </c>
      <c r="D3" s="2970" t="s">
        <v>2852</v>
      </c>
      <c r="E3" s="2970" t="s">
        <v>2798</v>
      </c>
      <c r="F3" s="2970" t="s">
        <v>2853</v>
      </c>
      <c r="G3" s="2970" t="s">
        <v>2616</v>
      </c>
    </row>
    <row r="4" spans="1:7" ht="14.25" thickBot="1">
      <c r="A4" s="2971" t="s">
        <v>2851</v>
      </c>
      <c r="B4" s="2972" t="s">
        <v>2857</v>
      </c>
      <c r="C4" s="2970"/>
      <c r="D4" s="2970"/>
      <c r="E4" s="2970"/>
      <c r="F4" s="2970"/>
      <c r="G4" s="2970"/>
    </row>
    <row r="5" spans="1:7">
      <c r="A5" s="2973" t="s">
        <v>2825</v>
      </c>
      <c r="B5" s="2974" t="s">
        <v>2839</v>
      </c>
      <c r="C5" s="2975">
        <v>9.8000000000000004E-2</v>
      </c>
      <c r="D5" s="2975">
        <v>8.6999999999999994E-2</v>
      </c>
      <c r="E5" s="2975">
        <v>8.6999999999999994E-2</v>
      </c>
      <c r="F5" s="2975">
        <v>9.8000000000000004E-2</v>
      </c>
      <c r="G5" s="2976">
        <v>9.5000000000000001E-2</v>
      </c>
    </row>
    <row r="6" spans="1:7">
      <c r="A6" s="2977" t="s">
        <v>144</v>
      </c>
      <c r="B6" s="2978" t="s">
        <v>2854</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2840</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2890</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2908</v>
      </c>
      <c r="C29" s="2987"/>
      <c r="D29" s="2983">
        <v>5.1999999999999998E-2</v>
      </c>
      <c r="E29" s="2983">
        <v>7.0000000000000007E-2</v>
      </c>
      <c r="F29" s="2987"/>
      <c r="G29" s="2985">
        <v>7.0999999999999994E-2</v>
      </c>
    </row>
    <row r="30" spans="1:7">
      <c r="A30" s="2988" t="s">
        <v>296</v>
      </c>
      <c r="B30" s="2974" t="s">
        <v>2841</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2827</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2911</v>
      </c>
      <c r="C50" s="2979">
        <v>9.8000000000000004E-2</v>
      </c>
      <c r="D50" s="2979">
        <v>7.2999999999999995E-2</v>
      </c>
      <c r="E50" s="2979">
        <v>7.0999999999999994E-2</v>
      </c>
      <c r="F50" s="2990"/>
      <c r="G50" s="2980">
        <v>7.2999999999999995E-2</v>
      </c>
    </row>
    <row r="51" spans="1:7">
      <c r="A51" s="2989" t="s">
        <v>296</v>
      </c>
      <c r="B51" s="2978" t="s">
        <v>2913</v>
      </c>
      <c r="C51" s="2979">
        <v>9.9000000000000005E-2</v>
      </c>
      <c r="D51" s="2979">
        <v>8.5000000000000006E-2</v>
      </c>
      <c r="E51" s="2979">
        <v>6.3E-2</v>
      </c>
      <c r="F51" s="2990"/>
      <c r="G51" s="2980">
        <v>9.6000000000000002E-2</v>
      </c>
    </row>
    <row r="52" spans="1:7">
      <c r="A52" s="2989" t="s">
        <v>296</v>
      </c>
      <c r="B52" s="2978" t="s">
        <v>2917</v>
      </c>
      <c r="C52" s="2979">
        <v>7.3999999999999996E-2</v>
      </c>
      <c r="D52" s="2979">
        <v>9.6000000000000002E-2</v>
      </c>
      <c r="E52" s="2979">
        <v>0.05</v>
      </c>
      <c r="F52" s="2990"/>
      <c r="G52" s="2980">
        <v>9.8000000000000004E-2</v>
      </c>
    </row>
    <row r="53" spans="1:7">
      <c r="A53" s="2989" t="s">
        <v>296</v>
      </c>
      <c r="B53" s="2978" t="s">
        <v>2922</v>
      </c>
      <c r="C53" s="2979">
        <v>8.5999999999999993E-2</v>
      </c>
      <c r="D53" s="2990"/>
      <c r="E53" s="2979">
        <v>9.1999999999999998E-2</v>
      </c>
      <c r="F53" s="2990"/>
      <c r="G53" s="2991"/>
    </row>
    <row r="54" spans="1:7" ht="14.25" thickBot="1">
      <c r="A54" s="2992" t="s">
        <v>296</v>
      </c>
      <c r="B54" s="2982" t="s">
        <v>2925</v>
      </c>
      <c r="C54" s="2983">
        <v>9.6000000000000002E-2</v>
      </c>
      <c r="D54" s="2984"/>
      <c r="E54" s="2993"/>
      <c r="F54" s="2984"/>
      <c r="G54" s="2994"/>
    </row>
    <row r="55" spans="1:7">
      <c r="A55" s="2988" t="s">
        <v>110</v>
      </c>
      <c r="B55" s="2974" t="s">
        <v>2842</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2923</v>
      </c>
      <c r="C78" s="2979">
        <v>0.1</v>
      </c>
      <c r="D78" s="2979">
        <v>8.5000000000000006E-2</v>
      </c>
      <c r="E78" s="2979">
        <v>9.6000000000000002E-2</v>
      </c>
      <c r="F78" s="2990"/>
      <c r="G78" s="2980">
        <v>9.6000000000000002E-2</v>
      </c>
    </row>
    <row r="79" spans="1:7">
      <c r="A79" s="2989" t="s">
        <v>110</v>
      </c>
      <c r="B79" s="2978" t="s">
        <v>2926</v>
      </c>
      <c r="C79" s="2979">
        <v>0.05</v>
      </c>
      <c r="D79" s="2979">
        <v>9.6000000000000002E-2</v>
      </c>
      <c r="E79" s="2979">
        <v>9.5000000000000001E-2</v>
      </c>
      <c r="F79" s="2990"/>
      <c r="G79" s="2980">
        <v>9.8000000000000004E-2</v>
      </c>
    </row>
    <row r="80" spans="1:7">
      <c r="A80" s="2989" t="s">
        <v>110</v>
      </c>
      <c r="B80" s="2978" t="s">
        <v>2930</v>
      </c>
      <c r="C80" s="2979">
        <v>8.5999999999999993E-2</v>
      </c>
      <c r="D80" s="2995"/>
      <c r="E80" s="2979">
        <v>0.1</v>
      </c>
      <c r="F80" s="2990"/>
      <c r="G80" s="2991"/>
    </row>
    <row r="81" spans="1:7">
      <c r="A81" s="2989" t="s">
        <v>110</v>
      </c>
      <c r="B81" s="2978" t="s">
        <v>2935</v>
      </c>
      <c r="C81" s="2979">
        <v>9.6000000000000002E-2</v>
      </c>
      <c r="D81" s="2990"/>
      <c r="E81" s="2979">
        <v>9.8000000000000004E-2</v>
      </c>
      <c r="F81" s="2990"/>
      <c r="G81" s="2991"/>
    </row>
    <row r="82" spans="1:7">
      <c r="A82" s="2989" t="s">
        <v>110</v>
      </c>
      <c r="B82" s="2978" t="s">
        <v>2942</v>
      </c>
      <c r="C82" s="2995"/>
      <c r="D82" s="2990"/>
      <c r="E82" s="2979">
        <v>7.6999999999999999E-2</v>
      </c>
      <c r="F82" s="2990"/>
      <c r="G82" s="2991"/>
    </row>
    <row r="83" spans="1:7">
      <c r="A83" s="2989" t="s">
        <v>110</v>
      </c>
      <c r="B83" s="2978" t="s">
        <v>2948</v>
      </c>
      <c r="C83" s="2990"/>
      <c r="D83" s="2990"/>
      <c r="E83" s="2990"/>
      <c r="F83" s="2979">
        <v>0.1</v>
      </c>
      <c r="G83" s="2996"/>
    </row>
    <row r="84" spans="1:7">
      <c r="A84" s="2989" t="s">
        <v>110</v>
      </c>
      <c r="B84" s="2978" t="s">
        <v>2955</v>
      </c>
      <c r="C84" s="2990"/>
      <c r="D84" s="2990"/>
      <c r="E84" s="2990"/>
      <c r="F84" s="2979">
        <v>0.1</v>
      </c>
      <c r="G84" s="2996"/>
    </row>
    <row r="85" spans="1:7">
      <c r="A85" s="2989" t="s">
        <v>110</v>
      </c>
      <c r="B85" s="2978" t="s">
        <v>2962</v>
      </c>
      <c r="C85" s="2990"/>
      <c r="D85" s="2990"/>
      <c r="E85" s="2990"/>
      <c r="F85" s="2979">
        <v>0.1</v>
      </c>
      <c r="G85" s="2996"/>
    </row>
    <row r="86" spans="1:7" ht="14.25" thickBot="1">
      <c r="A86" s="2992" t="s">
        <v>110</v>
      </c>
      <c r="B86" s="2982" t="s">
        <v>2967</v>
      </c>
      <c r="C86" s="2983">
        <v>9.8000000000000004E-2</v>
      </c>
      <c r="D86" s="2983">
        <v>9.8000000000000004E-2</v>
      </c>
      <c r="E86" s="2983">
        <v>9.6000000000000002E-2</v>
      </c>
      <c r="F86" s="2993"/>
      <c r="G86" s="2985">
        <v>0.1</v>
      </c>
    </row>
    <row r="87" spans="1:7">
      <c r="A87" s="2988" t="s">
        <v>303</v>
      </c>
      <c r="B87" s="2974" t="s">
        <v>2843</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2936</v>
      </c>
      <c r="C113" s="2979">
        <v>0.1</v>
      </c>
      <c r="D113" s="2979">
        <v>0.1</v>
      </c>
      <c r="E113" s="2990"/>
      <c r="F113" s="2990"/>
      <c r="G113" s="2980">
        <v>0.1</v>
      </c>
    </row>
    <row r="114" spans="1:7">
      <c r="A114" s="2989" t="s">
        <v>303</v>
      </c>
      <c r="B114" s="2978" t="s">
        <v>2943</v>
      </c>
      <c r="C114" s="2979">
        <v>9.7000000000000003E-2</v>
      </c>
      <c r="D114" s="2979">
        <v>9.7000000000000003E-2</v>
      </c>
      <c r="E114" s="2990"/>
      <c r="F114" s="2990"/>
      <c r="G114" s="2980">
        <v>9.9000000000000005E-2</v>
      </c>
    </row>
    <row r="115" spans="1:7">
      <c r="A115" s="2989" t="s">
        <v>303</v>
      </c>
      <c r="B115" s="2978" t="s">
        <v>2949</v>
      </c>
      <c r="C115" s="2979">
        <v>0.1</v>
      </c>
      <c r="D115" s="2979">
        <v>0.1</v>
      </c>
      <c r="E115" s="2990"/>
      <c r="F115" s="2990"/>
      <c r="G115" s="2980">
        <v>0.1</v>
      </c>
    </row>
    <row r="116" spans="1:7">
      <c r="A116" s="2989" t="s">
        <v>303</v>
      </c>
      <c r="B116" s="2978" t="s">
        <v>2956</v>
      </c>
      <c r="C116" s="2979">
        <v>0.1</v>
      </c>
      <c r="D116" s="2979">
        <v>0.1</v>
      </c>
      <c r="E116" s="2990"/>
      <c r="F116" s="2990"/>
      <c r="G116" s="2980">
        <v>0.1</v>
      </c>
    </row>
    <row r="117" spans="1:7">
      <c r="A117" s="2989" t="s">
        <v>303</v>
      </c>
      <c r="B117" s="2978" t="s">
        <v>2963</v>
      </c>
      <c r="C117" s="2979">
        <v>9.7000000000000003E-2</v>
      </c>
      <c r="D117" s="2979">
        <v>9.7000000000000003E-2</v>
      </c>
      <c r="E117" s="2990"/>
      <c r="F117" s="2990"/>
      <c r="G117" s="2980">
        <v>9.7000000000000003E-2</v>
      </c>
    </row>
    <row r="118" spans="1:7">
      <c r="A118" s="2989" t="s">
        <v>303</v>
      </c>
      <c r="B118" s="2978" t="s">
        <v>2968</v>
      </c>
      <c r="C118" s="2979">
        <v>0.1</v>
      </c>
      <c r="D118" s="2979">
        <v>0.1</v>
      </c>
      <c r="E118" s="2990"/>
      <c r="F118" s="2990"/>
      <c r="G118" s="2980">
        <v>0.1</v>
      </c>
    </row>
    <row r="119" spans="1:7">
      <c r="A119" s="2989" t="s">
        <v>303</v>
      </c>
      <c r="B119" s="2978" t="s">
        <v>2972</v>
      </c>
      <c r="C119" s="2979">
        <v>5.0999999999999997E-2</v>
      </c>
      <c r="D119" s="2979">
        <v>5.1999999999999998E-2</v>
      </c>
      <c r="E119" s="2990"/>
      <c r="F119" s="2995"/>
      <c r="G119" s="2980">
        <v>0.06</v>
      </c>
    </row>
    <row r="120" spans="1:7">
      <c r="A120" s="2989" t="s">
        <v>303</v>
      </c>
      <c r="B120" s="2978" t="s">
        <v>2976</v>
      </c>
      <c r="C120" s="2990"/>
      <c r="D120" s="2990"/>
      <c r="E120" s="2990"/>
      <c r="F120" s="2979">
        <v>0.1</v>
      </c>
      <c r="G120" s="2996"/>
    </row>
    <row r="121" spans="1:7">
      <c r="A121" s="2989" t="s">
        <v>303</v>
      </c>
      <c r="B121" s="2978" t="s">
        <v>2981</v>
      </c>
      <c r="C121" s="2990"/>
      <c r="D121" s="2990"/>
      <c r="E121" s="2990"/>
      <c r="F121" s="2979">
        <v>0.1</v>
      </c>
      <c r="G121" s="2996"/>
    </row>
    <row r="122" spans="1:7">
      <c r="A122" s="2989" t="s">
        <v>303</v>
      </c>
      <c r="B122" s="2978" t="s">
        <v>2986</v>
      </c>
      <c r="C122" s="2979">
        <v>0.1</v>
      </c>
      <c r="D122" s="2979">
        <v>0.1</v>
      </c>
      <c r="E122" s="2979">
        <v>9.8000000000000004E-2</v>
      </c>
      <c r="F122" s="2979">
        <v>0.1</v>
      </c>
      <c r="G122" s="2980">
        <v>0.1</v>
      </c>
    </row>
    <row r="123" spans="1:7">
      <c r="A123" s="2989" t="s">
        <v>303</v>
      </c>
      <c r="B123" s="2978" t="s">
        <v>2991</v>
      </c>
      <c r="C123" s="2979">
        <v>0.1</v>
      </c>
      <c r="D123" s="2979">
        <v>0.1</v>
      </c>
      <c r="E123" s="2979">
        <v>9.8000000000000004E-2</v>
      </c>
      <c r="F123" s="2979">
        <v>0.1</v>
      </c>
      <c r="G123" s="2980">
        <v>0.1</v>
      </c>
    </row>
    <row r="124" spans="1:7">
      <c r="A124" s="2989" t="s">
        <v>303</v>
      </c>
      <c r="B124" s="2978" t="s">
        <v>2996</v>
      </c>
      <c r="C124" s="2979">
        <v>0.1</v>
      </c>
      <c r="D124" s="2979">
        <v>0.1</v>
      </c>
      <c r="E124" s="2979">
        <v>9.8000000000000004E-2</v>
      </c>
      <c r="F124" s="2995"/>
      <c r="G124" s="2980">
        <v>0.1</v>
      </c>
    </row>
    <row r="125" spans="1:7">
      <c r="A125" s="2989" t="s">
        <v>303</v>
      </c>
      <c r="B125" s="2978" t="s">
        <v>3001</v>
      </c>
      <c r="C125" s="2979">
        <v>9.8000000000000004E-2</v>
      </c>
      <c r="D125" s="2979">
        <v>9.8000000000000004E-2</v>
      </c>
      <c r="E125" s="2979">
        <v>9.6000000000000002E-2</v>
      </c>
      <c r="F125" s="2995"/>
      <c r="G125" s="2980">
        <v>0.1</v>
      </c>
    </row>
    <row r="126" spans="1:7" ht="14.25" thickBot="1">
      <c r="A126" s="2992" t="s">
        <v>303</v>
      </c>
      <c r="B126" s="2982" t="s">
        <v>3167</v>
      </c>
      <c r="C126" s="2983">
        <v>0.1</v>
      </c>
      <c r="D126" s="2983">
        <v>0.1</v>
      </c>
      <c r="E126" s="2983">
        <v>9.8000000000000004E-2</v>
      </c>
      <c r="F126" s="2983">
        <v>0.1</v>
      </c>
      <c r="G126" s="2985">
        <v>0.1</v>
      </c>
    </row>
    <row r="127" spans="1:7">
      <c r="A127" s="2988" t="s">
        <v>29</v>
      </c>
      <c r="B127" s="2974" t="s">
        <v>2844</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2914</v>
      </c>
      <c r="C148" s="2979">
        <v>0.13</v>
      </c>
      <c r="D148" s="2979">
        <v>0.13</v>
      </c>
      <c r="E148" s="2979">
        <v>0.13</v>
      </c>
      <c r="F148" s="2990"/>
      <c r="G148" s="2980">
        <v>0.13</v>
      </c>
    </row>
    <row r="149" spans="1:7">
      <c r="A149" s="2989" t="s">
        <v>29</v>
      </c>
      <c r="B149" s="2978" t="s">
        <v>2918</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2937</v>
      </c>
      <c r="C153" s="2979">
        <v>0.13</v>
      </c>
      <c r="D153" s="2979">
        <v>0.13</v>
      </c>
      <c r="E153" s="2979">
        <v>0.13</v>
      </c>
      <c r="F153" s="2979">
        <v>0.13</v>
      </c>
      <c r="G153" s="2980">
        <v>0.13</v>
      </c>
    </row>
    <row r="154" spans="1:7">
      <c r="A154" s="2989" t="s">
        <v>29</v>
      </c>
      <c r="B154" s="2978" t="s">
        <v>2944</v>
      </c>
      <c r="C154" s="2979">
        <v>0.121</v>
      </c>
      <c r="D154" s="2979">
        <v>0.121</v>
      </c>
      <c r="E154" s="2979">
        <v>0.105</v>
      </c>
      <c r="F154" s="2979">
        <v>0.121</v>
      </c>
      <c r="G154" s="2980">
        <v>0.123</v>
      </c>
    </row>
    <row r="155" spans="1:7">
      <c r="A155" s="2989" t="s">
        <v>29</v>
      </c>
      <c r="B155" s="2978" t="s">
        <v>2950</v>
      </c>
      <c r="C155" s="2979">
        <v>0.1</v>
      </c>
      <c r="D155" s="2979">
        <v>0.1</v>
      </c>
      <c r="E155" s="2979">
        <v>0.1</v>
      </c>
      <c r="F155" s="2979">
        <v>0.1</v>
      </c>
      <c r="G155" s="2980">
        <v>0.1</v>
      </c>
    </row>
    <row r="156" spans="1:7">
      <c r="A156" s="2989" t="s">
        <v>29</v>
      </c>
      <c r="B156" s="2978" t="s">
        <v>2957</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2977</v>
      </c>
      <c r="C160" s="2979">
        <v>0.13</v>
      </c>
      <c r="D160" s="2979">
        <v>0.13</v>
      </c>
      <c r="E160" s="2979">
        <v>0.124</v>
      </c>
      <c r="F160" s="2979">
        <v>0.126</v>
      </c>
      <c r="G160" s="2980">
        <v>0.13</v>
      </c>
    </row>
    <row r="161" spans="1:7">
      <c r="A161" s="2989" t="s">
        <v>29</v>
      </c>
      <c r="B161" s="2978" t="s">
        <v>2982</v>
      </c>
      <c r="C161" s="2979">
        <v>0.13</v>
      </c>
      <c r="D161" s="2979">
        <v>0.13</v>
      </c>
      <c r="E161" s="2979">
        <v>0.124</v>
      </c>
      <c r="F161" s="2979">
        <v>0.127</v>
      </c>
      <c r="G161" s="2980">
        <v>0.13</v>
      </c>
    </row>
    <row r="162" spans="1:7">
      <c r="A162" s="2989" t="s">
        <v>29</v>
      </c>
      <c r="B162" s="2978" t="s">
        <v>2987</v>
      </c>
      <c r="C162" s="2979">
        <v>0.1</v>
      </c>
      <c r="D162" s="2979">
        <v>0.1</v>
      </c>
      <c r="E162" s="2979">
        <v>0.1</v>
      </c>
      <c r="F162" s="2979">
        <v>0.121</v>
      </c>
      <c r="G162" s="2980">
        <v>0.105</v>
      </c>
    </row>
    <row r="163" spans="1:7">
      <c r="A163" s="2989" t="s">
        <v>29</v>
      </c>
      <c r="B163" s="2978" t="s">
        <v>2992</v>
      </c>
      <c r="C163" s="2979">
        <v>0.1</v>
      </c>
      <c r="D163" s="2979">
        <v>0.1</v>
      </c>
      <c r="E163" s="2979">
        <v>0.1</v>
      </c>
      <c r="F163" s="2979">
        <v>0.1</v>
      </c>
      <c r="G163" s="2980">
        <v>0.1</v>
      </c>
    </row>
    <row r="164" spans="1:7">
      <c r="A164" s="2989" t="s">
        <v>29</v>
      </c>
      <c r="B164" s="2978" t="s">
        <v>2997</v>
      </c>
      <c r="C164" s="2995"/>
      <c r="D164" s="2995"/>
      <c r="E164" s="2995"/>
      <c r="F164" s="2979">
        <v>0.1</v>
      </c>
      <c r="G164" s="2991"/>
    </row>
    <row r="165" spans="1:7">
      <c r="A165" s="2989" t="s">
        <v>29</v>
      </c>
      <c r="B165" s="2978" t="s">
        <v>3168</v>
      </c>
      <c r="C165" s="2979">
        <v>0.126</v>
      </c>
      <c r="D165" s="2979">
        <v>0.126</v>
      </c>
      <c r="E165" s="2979">
        <v>0.11899999999999999</v>
      </c>
      <c r="F165" s="2979">
        <v>0.13</v>
      </c>
      <c r="G165" s="2980">
        <v>0.128</v>
      </c>
    </row>
    <row r="166" spans="1:7">
      <c r="A166" s="2989" t="s">
        <v>29</v>
      </c>
      <c r="B166" s="2978" t="s">
        <v>3007</v>
      </c>
      <c r="C166" s="2979">
        <v>0.129</v>
      </c>
      <c r="D166" s="2979">
        <v>0.129</v>
      </c>
      <c r="E166" s="2979">
        <v>0.123</v>
      </c>
      <c r="F166" s="2979">
        <v>0.128</v>
      </c>
      <c r="G166" s="2980">
        <v>0.13</v>
      </c>
    </row>
    <row r="167" spans="1:7">
      <c r="A167" s="2989" t="s">
        <v>29</v>
      </c>
      <c r="B167" s="2978" t="s">
        <v>3011</v>
      </c>
      <c r="C167" s="2979">
        <v>0.125</v>
      </c>
      <c r="D167" s="2979">
        <v>0.125</v>
      </c>
      <c r="E167" s="2979">
        <v>0.11700000000000001</v>
      </c>
      <c r="F167" s="2979">
        <v>0.13</v>
      </c>
      <c r="G167" s="2980">
        <v>0.126</v>
      </c>
    </row>
    <row r="168" spans="1:7">
      <c r="A168" s="2989" t="s">
        <v>29</v>
      </c>
      <c r="B168" s="2978" t="s">
        <v>3016</v>
      </c>
      <c r="C168" s="2979">
        <v>0.128</v>
      </c>
      <c r="D168" s="2979">
        <v>0.128</v>
      </c>
      <c r="E168" s="2979">
        <v>0.123</v>
      </c>
      <c r="F168" s="2990"/>
      <c r="G168" s="2980">
        <v>0.13</v>
      </c>
    </row>
    <row r="169" spans="1:7">
      <c r="A169" s="2989" t="s">
        <v>29</v>
      </c>
      <c r="B169" s="2978" t="s">
        <v>3169</v>
      </c>
      <c r="C169" s="2995"/>
      <c r="D169" s="2995"/>
      <c r="E169" s="2995"/>
      <c r="F169" s="2979">
        <v>0.05</v>
      </c>
      <c r="G169" s="2991"/>
    </row>
    <row r="170" spans="1:7">
      <c r="A170" s="2989" t="s">
        <v>29</v>
      </c>
      <c r="B170" s="2978" t="s">
        <v>3170</v>
      </c>
      <c r="C170" s="2995"/>
      <c r="D170" s="2995"/>
      <c r="E170" s="2995"/>
      <c r="F170" s="2979">
        <v>0.05</v>
      </c>
      <c r="G170" s="2991"/>
    </row>
    <row r="171" spans="1:7">
      <c r="A171" s="2989" t="s">
        <v>29</v>
      </c>
      <c r="B171" s="2978" t="s">
        <v>3171</v>
      </c>
      <c r="C171" s="2995"/>
      <c r="D171" s="2995"/>
      <c r="E171" s="2995"/>
      <c r="F171" s="2979">
        <v>0.05</v>
      </c>
      <c r="G171" s="2996"/>
    </row>
    <row r="172" spans="1:7">
      <c r="A172" s="2989" t="s">
        <v>29</v>
      </c>
      <c r="B172" s="2978" t="s">
        <v>3172</v>
      </c>
      <c r="C172" s="2995"/>
      <c r="D172" s="2995"/>
      <c r="E172" s="2995"/>
      <c r="F172" s="2979">
        <v>0.05</v>
      </c>
      <c r="G172" s="2996"/>
    </row>
    <row r="173" spans="1:7">
      <c r="A173" s="2989" t="s">
        <v>29</v>
      </c>
      <c r="B173" s="2978" t="s">
        <v>3173</v>
      </c>
      <c r="C173" s="2995"/>
      <c r="D173" s="2995"/>
      <c r="E173" s="2995"/>
      <c r="F173" s="2979">
        <v>0.05</v>
      </c>
      <c r="G173" s="2991"/>
    </row>
    <row r="174" spans="1:7">
      <c r="A174" s="2989" t="s">
        <v>29</v>
      </c>
      <c r="B174" s="2978" t="s">
        <v>3174</v>
      </c>
      <c r="C174" s="2995"/>
      <c r="D174" s="2995"/>
      <c r="E174" s="2995"/>
      <c r="F174" s="2979">
        <v>0.05</v>
      </c>
      <c r="G174" s="2991"/>
    </row>
    <row r="175" spans="1:7">
      <c r="A175" s="2989" t="s">
        <v>29</v>
      </c>
      <c r="B175" s="2978" t="s">
        <v>3175</v>
      </c>
      <c r="C175" s="2995"/>
      <c r="D175" s="2995"/>
      <c r="E175" s="2995"/>
      <c r="F175" s="2979">
        <v>0.05</v>
      </c>
      <c r="G175" s="2991"/>
    </row>
    <row r="176" spans="1:7">
      <c r="A176" s="2989" t="s">
        <v>29</v>
      </c>
      <c r="B176" s="2978" t="s">
        <v>3176</v>
      </c>
      <c r="C176" s="2995"/>
      <c r="D176" s="2995"/>
      <c r="E176" s="2995"/>
      <c r="F176" s="2979">
        <v>0.05</v>
      </c>
      <c r="G176" s="2991"/>
    </row>
    <row r="177" spans="1:7">
      <c r="A177" s="2989" t="s">
        <v>29</v>
      </c>
      <c r="B177" s="2978" t="s">
        <v>3177</v>
      </c>
      <c r="C177" s="2990"/>
      <c r="D177" s="2990"/>
      <c r="E177" s="2990"/>
      <c r="F177" s="2979">
        <v>0.05</v>
      </c>
      <c r="G177" s="2996"/>
    </row>
    <row r="178" spans="1:7">
      <c r="A178" s="2989" t="s">
        <v>29</v>
      </c>
      <c r="B178" s="2978" t="s">
        <v>3178</v>
      </c>
      <c r="C178" s="2990"/>
      <c r="D178" s="2990"/>
      <c r="E178" s="2990"/>
      <c r="F178" s="2979">
        <v>0.05</v>
      </c>
      <c r="G178" s="2996"/>
    </row>
    <row r="179" spans="1:7">
      <c r="A179" s="2989" t="s">
        <v>29</v>
      </c>
      <c r="B179" s="2978" t="s">
        <v>3179</v>
      </c>
      <c r="C179" s="2990"/>
      <c r="D179" s="2990"/>
      <c r="E179" s="2990"/>
      <c r="F179" s="2979">
        <v>0.05</v>
      </c>
      <c r="G179" s="2996"/>
    </row>
    <row r="180" spans="1:7">
      <c r="A180" s="2989" t="s">
        <v>29</v>
      </c>
      <c r="B180" s="2978" t="s">
        <v>3180</v>
      </c>
      <c r="C180" s="2990"/>
      <c r="D180" s="2990"/>
      <c r="E180" s="2990"/>
      <c r="F180" s="2979">
        <v>0.05</v>
      </c>
      <c r="G180" s="2996"/>
    </row>
    <row r="181" spans="1:7">
      <c r="A181" s="2989" t="s">
        <v>29</v>
      </c>
      <c r="B181" s="2978" t="s">
        <v>3181</v>
      </c>
      <c r="C181" s="2990"/>
      <c r="D181" s="2990"/>
      <c r="E181" s="2990"/>
      <c r="F181" s="2979">
        <v>0.05</v>
      </c>
      <c r="G181" s="2996"/>
    </row>
    <row r="182" spans="1:7">
      <c r="A182" s="2989" t="s">
        <v>29</v>
      </c>
      <c r="B182" s="2978" t="s">
        <v>3182</v>
      </c>
      <c r="C182" s="2990"/>
      <c r="D182" s="2990"/>
      <c r="E182" s="2990"/>
      <c r="F182" s="2979">
        <v>0.05</v>
      </c>
      <c r="G182" s="2996"/>
    </row>
    <row r="183" spans="1:7">
      <c r="A183" s="2989" t="s">
        <v>29</v>
      </c>
      <c r="B183" s="2978" t="s">
        <v>3183</v>
      </c>
      <c r="C183" s="2990"/>
      <c r="D183" s="2990"/>
      <c r="E183" s="2990"/>
      <c r="F183" s="2979">
        <v>0.05</v>
      </c>
      <c r="G183" s="2996"/>
    </row>
    <row r="184" spans="1:7">
      <c r="A184" s="2989" t="s">
        <v>29</v>
      </c>
      <c r="B184" s="2978" t="s">
        <v>3184</v>
      </c>
      <c r="C184" s="2990"/>
      <c r="D184" s="2990"/>
      <c r="E184" s="2990"/>
      <c r="F184" s="2979">
        <v>0.05</v>
      </c>
      <c r="G184" s="2996"/>
    </row>
    <row r="185" spans="1:7">
      <c r="A185" s="2989" t="s">
        <v>29</v>
      </c>
      <c r="B185" s="2978" t="s">
        <v>3185</v>
      </c>
      <c r="C185" s="2990"/>
      <c r="D185" s="2990"/>
      <c r="E185" s="2990"/>
      <c r="F185" s="2979">
        <v>0.05</v>
      </c>
      <c r="G185" s="2996"/>
    </row>
    <row r="186" spans="1:7">
      <c r="A186" s="2989" t="s">
        <v>29</v>
      </c>
      <c r="B186" s="2978" t="s">
        <v>3186</v>
      </c>
      <c r="C186" s="2990"/>
      <c r="D186" s="2990"/>
      <c r="E186" s="2990"/>
      <c r="F186" s="2979">
        <v>0.05</v>
      </c>
      <c r="G186" s="2996"/>
    </row>
    <row r="187" spans="1:7">
      <c r="A187" s="2989" t="s">
        <v>29</v>
      </c>
      <c r="B187" s="2978" t="s">
        <v>3187</v>
      </c>
      <c r="C187" s="2990"/>
      <c r="D187" s="2990"/>
      <c r="E187" s="2990"/>
      <c r="F187" s="2979">
        <v>0.05</v>
      </c>
      <c r="G187" s="2996"/>
    </row>
    <row r="188" spans="1:7">
      <c r="A188" s="2989" t="s">
        <v>29</v>
      </c>
      <c r="B188" s="2978" t="s">
        <v>3188</v>
      </c>
      <c r="C188" s="2990"/>
      <c r="D188" s="2990"/>
      <c r="E188" s="2990"/>
      <c r="F188" s="2979">
        <v>0.05</v>
      </c>
      <c r="G188" s="2996"/>
    </row>
    <row r="189" spans="1:7" ht="14.25" thickBot="1">
      <c r="A189" s="2992" t="s">
        <v>29</v>
      </c>
      <c r="B189" s="2982" t="s">
        <v>3189</v>
      </c>
      <c r="C189" s="2984"/>
      <c r="D189" s="2984"/>
      <c r="E189" s="2984"/>
      <c r="F189" s="2983">
        <v>0.05</v>
      </c>
      <c r="G189" s="2997"/>
    </row>
    <row r="190" spans="1:7">
      <c r="A190" s="2988" t="s">
        <v>304</v>
      </c>
      <c r="B190" s="2974" t="s">
        <v>2845</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2881</v>
      </c>
      <c r="C199" s="2979">
        <v>0.13</v>
      </c>
      <c r="D199" s="2979">
        <v>0.13</v>
      </c>
      <c r="E199" s="2979">
        <v>0.13</v>
      </c>
      <c r="F199" s="2979">
        <v>0.13</v>
      </c>
      <c r="G199" s="2980">
        <v>0.13</v>
      </c>
    </row>
    <row r="200" spans="1:7">
      <c r="A200" s="2989" t="s">
        <v>304</v>
      </c>
      <c r="B200" s="2978" t="s">
        <v>2884</v>
      </c>
      <c r="C200" s="2995"/>
      <c r="D200" s="2995"/>
      <c r="E200" s="2995"/>
      <c r="F200" s="2979">
        <v>0.13</v>
      </c>
      <c r="G200" s="2991"/>
    </row>
    <row r="201" spans="1:7">
      <c r="A201" s="2989" t="s">
        <v>304</v>
      </c>
      <c r="B201" s="2978" t="s">
        <v>2889</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2892</v>
      </c>
      <c r="C203" s="2979">
        <v>0.129</v>
      </c>
      <c r="D203" s="2979">
        <v>0.129</v>
      </c>
      <c r="E203" s="2979">
        <v>0.13</v>
      </c>
      <c r="F203" s="2979">
        <v>0.13</v>
      </c>
      <c r="G203" s="2980">
        <v>0.13</v>
      </c>
    </row>
    <row r="204" spans="1:7">
      <c r="A204" s="2989" t="s">
        <v>304</v>
      </c>
      <c r="B204" s="2978" t="s">
        <v>2895</v>
      </c>
      <c r="C204" s="2979">
        <v>0.129</v>
      </c>
      <c r="D204" s="2979">
        <v>0.129</v>
      </c>
      <c r="E204" s="2979">
        <v>0.123</v>
      </c>
      <c r="F204" s="2979">
        <v>0.13</v>
      </c>
      <c r="G204" s="2980">
        <v>0.13</v>
      </c>
    </row>
    <row r="205" spans="1:7">
      <c r="A205" s="2989" t="s">
        <v>304</v>
      </c>
      <c r="B205" s="2978" t="s">
        <v>2897</v>
      </c>
      <c r="C205" s="2979">
        <v>0.13</v>
      </c>
      <c r="D205" s="2979">
        <v>0.13</v>
      </c>
      <c r="E205" s="2979">
        <v>0.13</v>
      </c>
      <c r="F205" s="2979">
        <v>0.13</v>
      </c>
      <c r="G205" s="2980">
        <v>0.13</v>
      </c>
    </row>
    <row r="206" spans="1:7">
      <c r="A206" s="2989" t="s">
        <v>304</v>
      </c>
      <c r="B206" s="2978" t="s">
        <v>2900</v>
      </c>
      <c r="C206" s="2979">
        <v>0.13</v>
      </c>
      <c r="D206" s="2979">
        <v>0.13</v>
      </c>
      <c r="E206" s="2979">
        <v>0.13</v>
      </c>
      <c r="F206" s="2979">
        <v>0.128</v>
      </c>
      <c r="G206" s="2980">
        <v>0.13</v>
      </c>
    </row>
    <row r="207" spans="1:7">
      <c r="A207" s="2989" t="s">
        <v>304</v>
      </c>
      <c r="B207" s="2978" t="s">
        <v>2902</v>
      </c>
      <c r="C207" s="2979">
        <v>0.13</v>
      </c>
      <c r="D207" s="2979">
        <v>0.13</v>
      </c>
      <c r="E207" s="2979">
        <v>0.13</v>
      </c>
      <c r="F207" s="2979">
        <v>0.13</v>
      </c>
      <c r="G207" s="2980">
        <v>0.13</v>
      </c>
    </row>
    <row r="208" spans="1:7">
      <c r="A208" s="2989" t="s">
        <v>304</v>
      </c>
      <c r="B208" s="2978" t="s">
        <v>2905</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2912</v>
      </c>
      <c r="C210" s="2979">
        <v>0.121</v>
      </c>
      <c r="D210" s="2979">
        <v>0.121</v>
      </c>
      <c r="E210" s="2979">
        <v>0.125</v>
      </c>
      <c r="F210" s="2979">
        <v>0.13</v>
      </c>
      <c r="G210" s="2980">
        <v>0.123</v>
      </c>
    </row>
    <row r="211" spans="1:7">
      <c r="A211" s="2989" t="s">
        <v>304</v>
      </c>
      <c r="B211" s="2978" t="s">
        <v>2915</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2927</v>
      </c>
      <c r="C214" s="2979">
        <v>0.128</v>
      </c>
      <c r="D214" s="2979">
        <v>0.128</v>
      </c>
      <c r="E214" s="2979">
        <v>0.13</v>
      </c>
      <c r="F214" s="2979">
        <v>0.13</v>
      </c>
      <c r="G214" s="2980">
        <v>0.13</v>
      </c>
    </row>
    <row r="215" spans="1:7">
      <c r="A215" s="2989" t="s">
        <v>304</v>
      </c>
      <c r="B215" s="2978" t="s">
        <v>2931</v>
      </c>
      <c r="C215" s="2979">
        <v>0.13</v>
      </c>
      <c r="D215" s="2979">
        <v>0.13</v>
      </c>
      <c r="E215" s="2979">
        <v>0.13</v>
      </c>
      <c r="F215" s="2979">
        <v>0.129</v>
      </c>
      <c r="G215" s="2980">
        <v>0.13</v>
      </c>
    </row>
    <row r="216" spans="1:7">
      <c r="A216" s="2989" t="s">
        <v>304</v>
      </c>
      <c r="B216" s="2978" t="s">
        <v>2938</v>
      </c>
      <c r="C216" s="2979">
        <v>0.13</v>
      </c>
      <c r="D216" s="2979">
        <v>0.13</v>
      </c>
      <c r="E216" s="2979">
        <v>0.13</v>
      </c>
      <c r="F216" s="2979">
        <v>0.13</v>
      </c>
      <c r="G216" s="2980">
        <v>0.13</v>
      </c>
    </row>
    <row r="217" spans="1:7">
      <c r="A217" s="2989" t="s">
        <v>304</v>
      </c>
      <c r="B217" s="2978" t="s">
        <v>2945</v>
      </c>
      <c r="C217" s="2979">
        <v>0.129</v>
      </c>
      <c r="D217" s="2979">
        <v>0.129</v>
      </c>
      <c r="E217" s="2979">
        <v>0.13</v>
      </c>
      <c r="F217" s="2979">
        <v>0.13</v>
      </c>
      <c r="G217" s="2980">
        <v>0.13</v>
      </c>
    </row>
    <row r="218" spans="1:7">
      <c r="A218" s="2989" t="s">
        <v>304</v>
      </c>
      <c r="B218" s="2978" t="s">
        <v>2951</v>
      </c>
      <c r="C218" s="2990"/>
      <c r="D218" s="2990"/>
      <c r="E218" s="2990"/>
      <c r="F218" s="2979">
        <v>0.05</v>
      </c>
      <c r="G218" s="2996"/>
    </row>
    <row r="219" spans="1:7">
      <c r="A219" s="2989" t="s">
        <v>304</v>
      </c>
      <c r="B219" s="2978" t="s">
        <v>2958</v>
      </c>
      <c r="C219" s="2990"/>
      <c r="D219" s="2990"/>
      <c r="E219" s="2990"/>
      <c r="F219" s="2979">
        <v>0.05</v>
      </c>
      <c r="G219" s="2996"/>
    </row>
    <row r="220" spans="1:7">
      <c r="A220" s="2989" t="s">
        <v>304</v>
      </c>
      <c r="B220" s="2978" t="s">
        <v>2964</v>
      </c>
      <c r="C220" s="2990"/>
      <c r="D220" s="2990"/>
      <c r="E220" s="2990"/>
      <c r="F220" s="2979">
        <v>0.05</v>
      </c>
      <c r="G220" s="2996"/>
    </row>
    <row r="221" spans="1:7">
      <c r="A221" s="2989" t="s">
        <v>304</v>
      </c>
      <c r="B221" s="2978" t="s">
        <v>2969</v>
      </c>
      <c r="C221" s="2990"/>
      <c r="D221" s="2990"/>
      <c r="E221" s="2990"/>
      <c r="F221" s="2979">
        <v>0.05</v>
      </c>
      <c r="G221" s="2996"/>
    </row>
    <row r="222" spans="1:7">
      <c r="A222" s="2989" t="s">
        <v>304</v>
      </c>
      <c r="B222" s="2978" t="s">
        <v>2973</v>
      </c>
      <c r="C222" s="2990"/>
      <c r="D222" s="2990"/>
      <c r="E222" s="2990"/>
      <c r="F222" s="2979">
        <v>0.05</v>
      </c>
      <c r="G222" s="2996"/>
    </row>
    <row r="223" spans="1:7">
      <c r="A223" s="2989" t="s">
        <v>304</v>
      </c>
      <c r="B223" s="2978" t="s">
        <v>2978</v>
      </c>
      <c r="C223" s="2990"/>
      <c r="D223" s="2990"/>
      <c r="E223" s="2990"/>
      <c r="F223" s="2979">
        <v>0.05</v>
      </c>
      <c r="G223" s="2996"/>
    </row>
    <row r="224" spans="1:7">
      <c r="A224" s="2989" t="s">
        <v>304</v>
      </c>
      <c r="B224" s="2978" t="s">
        <v>2983</v>
      </c>
      <c r="C224" s="2990"/>
      <c r="D224" s="2990"/>
      <c r="E224" s="2990"/>
      <c r="F224" s="2979">
        <v>0.05</v>
      </c>
      <c r="G224" s="2996"/>
    </row>
    <row r="225" spans="1:7">
      <c r="A225" s="2989" t="s">
        <v>304</v>
      </c>
      <c r="B225" s="2978" t="s">
        <v>2988</v>
      </c>
      <c r="C225" s="2990"/>
      <c r="D225" s="2990"/>
      <c r="E225" s="2990"/>
      <c r="F225" s="2979">
        <v>0.05</v>
      </c>
      <c r="G225" s="2996"/>
    </row>
    <row r="226" spans="1:7">
      <c r="A226" s="2989" t="s">
        <v>304</v>
      </c>
      <c r="B226" s="2978" t="s">
        <v>3190</v>
      </c>
      <c r="C226" s="2990"/>
      <c r="D226" s="2990"/>
      <c r="E226" s="2990"/>
      <c r="F226" s="2979">
        <v>0.05</v>
      </c>
      <c r="G226" s="2996"/>
    </row>
    <row r="227" spans="1:7">
      <c r="A227" s="2989" t="s">
        <v>304</v>
      </c>
      <c r="B227" s="2978" t="s">
        <v>3191</v>
      </c>
      <c r="C227" s="2990"/>
      <c r="D227" s="2990"/>
      <c r="E227" s="2990"/>
      <c r="F227" s="2979">
        <v>0.05</v>
      </c>
      <c r="G227" s="2996"/>
    </row>
    <row r="228" spans="1:7">
      <c r="A228" s="2989" t="s">
        <v>304</v>
      </c>
      <c r="B228" s="2978" t="s">
        <v>3192</v>
      </c>
      <c r="C228" s="2990"/>
      <c r="D228" s="2990"/>
      <c r="E228" s="2990"/>
      <c r="F228" s="2979">
        <v>0.05</v>
      </c>
      <c r="G228" s="2996"/>
    </row>
    <row r="229" spans="1:7">
      <c r="A229" s="2989" t="s">
        <v>304</v>
      </c>
      <c r="B229" s="2978" t="s">
        <v>3193</v>
      </c>
      <c r="C229" s="2990"/>
      <c r="D229" s="2990"/>
      <c r="E229" s="2990"/>
      <c r="F229" s="2979">
        <v>0.05</v>
      </c>
      <c r="G229" s="2996"/>
    </row>
    <row r="230" spans="1:7">
      <c r="A230" s="2989" t="s">
        <v>304</v>
      </c>
      <c r="B230" s="2978" t="s">
        <v>3194</v>
      </c>
      <c r="C230" s="2990"/>
      <c r="D230" s="2990"/>
      <c r="E230" s="2990"/>
      <c r="F230" s="2979">
        <v>0.05</v>
      </c>
      <c r="G230" s="2996"/>
    </row>
    <row r="231" spans="1:7">
      <c r="A231" s="2989" t="s">
        <v>304</v>
      </c>
      <c r="B231" s="2978" t="s">
        <v>3195</v>
      </c>
      <c r="C231" s="2990"/>
      <c r="D231" s="2990"/>
      <c r="E231" s="2990"/>
      <c r="F231" s="2979">
        <v>0.05</v>
      </c>
      <c r="G231" s="2996"/>
    </row>
    <row r="232" spans="1:7">
      <c r="A232" s="2989" t="s">
        <v>304</v>
      </c>
      <c r="B232" s="2978" t="s">
        <v>3196</v>
      </c>
      <c r="C232" s="2990"/>
      <c r="D232" s="2990"/>
      <c r="E232" s="2990"/>
      <c r="F232" s="2979">
        <v>0.05</v>
      </c>
      <c r="G232" s="2996"/>
    </row>
    <row r="233" spans="1:7" ht="14.25" thickBot="1">
      <c r="A233" s="2992" t="s">
        <v>304</v>
      </c>
      <c r="B233" s="2982" t="s">
        <v>3197</v>
      </c>
      <c r="C233" s="2984"/>
      <c r="D233" s="2984"/>
      <c r="E233" s="2984"/>
      <c r="F233" s="2983">
        <v>0.05</v>
      </c>
      <c r="G233" s="2997"/>
    </row>
    <row r="234" spans="1:7">
      <c r="A234" s="2988" t="s">
        <v>305</v>
      </c>
      <c r="B234" s="2974" t="s">
        <v>2846</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2866</v>
      </c>
      <c r="C238" s="2979">
        <v>0.14899999999999999</v>
      </c>
      <c r="D238" s="2979">
        <v>0.14899999999999999</v>
      </c>
      <c r="E238" s="2979">
        <v>0.15</v>
      </c>
      <c r="F238" s="2979">
        <v>0.15</v>
      </c>
      <c r="G238" s="2980">
        <v>0.15</v>
      </c>
    </row>
    <row r="239" spans="1:7">
      <c r="A239" s="2989" t="s">
        <v>305</v>
      </c>
      <c r="B239" s="2978" t="s">
        <v>2870</v>
      </c>
      <c r="C239" s="2979">
        <v>0.15</v>
      </c>
      <c r="D239" s="2979">
        <v>0.15</v>
      </c>
      <c r="E239" s="2979">
        <v>0.15</v>
      </c>
      <c r="F239" s="2979">
        <v>0.15</v>
      </c>
      <c r="G239" s="2980">
        <v>0.15</v>
      </c>
    </row>
    <row r="240" spans="1:7">
      <c r="A240" s="2989" t="s">
        <v>305</v>
      </c>
      <c r="B240" s="2978" t="s">
        <v>2875</v>
      </c>
      <c r="C240" s="2979">
        <v>0.15</v>
      </c>
      <c r="D240" s="2979">
        <v>0.15</v>
      </c>
      <c r="E240" s="2979">
        <v>0.15</v>
      </c>
      <c r="F240" s="2979">
        <v>0.15</v>
      </c>
      <c r="G240" s="2980">
        <v>0.15</v>
      </c>
    </row>
    <row r="241" spans="1:7">
      <c r="A241" s="2989" t="s">
        <v>305</v>
      </c>
      <c r="B241" s="2978" t="s">
        <v>2879</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2885</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2893</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2898</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2906</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2919</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2928</v>
      </c>
      <c r="C258" s="2979">
        <v>0.14299999999999999</v>
      </c>
      <c r="D258" s="2979">
        <v>0.14299999999999999</v>
      </c>
      <c r="E258" s="2979">
        <v>0.15</v>
      </c>
      <c r="F258" s="2979">
        <v>0.14799999999999999</v>
      </c>
      <c r="G258" s="2980">
        <v>0.14599999999999999</v>
      </c>
    </row>
    <row r="259" spans="1:7">
      <c r="A259" s="2989" t="s">
        <v>305</v>
      </c>
      <c r="B259" s="2978" t="s">
        <v>2932</v>
      </c>
      <c r="C259" s="2979">
        <v>0.14399999999999999</v>
      </c>
      <c r="D259" s="2979">
        <v>0.14399999999999999</v>
      </c>
      <c r="E259" s="2979">
        <v>0.14899999999999999</v>
      </c>
      <c r="F259" s="2979">
        <v>0.14699999999999999</v>
      </c>
      <c r="G259" s="2980">
        <v>0.14599999999999999</v>
      </c>
    </row>
    <row r="260" spans="1:7">
      <c r="A260" s="2989" t="s">
        <v>305</v>
      </c>
      <c r="B260" s="2978" t="s">
        <v>2939</v>
      </c>
      <c r="C260" s="2979">
        <v>0.109</v>
      </c>
      <c r="D260" s="2979">
        <v>0.111</v>
      </c>
      <c r="E260" s="2979">
        <v>0.13100000000000001</v>
      </c>
      <c r="F260" s="2979">
        <v>0.126</v>
      </c>
      <c r="G260" s="2980">
        <v>0.11899999999999999</v>
      </c>
    </row>
    <row r="261" spans="1:7">
      <c r="A261" s="2989" t="s">
        <v>305</v>
      </c>
      <c r="B261" s="2978" t="s">
        <v>2946</v>
      </c>
      <c r="C261" s="2979">
        <v>0.1</v>
      </c>
      <c r="D261" s="2979">
        <v>0.1</v>
      </c>
      <c r="E261" s="2979">
        <v>0.11799999999999999</v>
      </c>
      <c r="F261" s="2979">
        <v>0.108</v>
      </c>
      <c r="G261" s="2980">
        <v>0.107</v>
      </c>
    </row>
    <row r="262" spans="1:7">
      <c r="A262" s="2989" t="s">
        <v>305</v>
      </c>
      <c r="B262" s="2978" t="s">
        <v>2952</v>
      </c>
      <c r="C262" s="2979">
        <v>0.1</v>
      </c>
      <c r="D262" s="2979">
        <v>0.1</v>
      </c>
      <c r="E262" s="2979">
        <v>0.1</v>
      </c>
      <c r="F262" s="2979">
        <v>0.14099999999999999</v>
      </c>
      <c r="G262" s="2980">
        <v>0.1</v>
      </c>
    </row>
    <row r="263" spans="1:7">
      <c r="A263" s="2989" t="s">
        <v>305</v>
      </c>
      <c r="B263" s="2978" t="s">
        <v>2959</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2970</v>
      </c>
      <c r="C265" s="2990"/>
      <c r="D265" s="2990"/>
      <c r="E265" s="2990"/>
      <c r="F265" s="2979">
        <v>0.05</v>
      </c>
      <c r="G265" s="2996"/>
    </row>
    <row r="266" spans="1:7">
      <c r="A266" s="2989" t="s">
        <v>305</v>
      </c>
      <c r="B266" s="2978" t="s">
        <v>2974</v>
      </c>
      <c r="C266" s="2990"/>
      <c r="D266" s="2990"/>
      <c r="E266" s="2990"/>
      <c r="F266" s="2979">
        <v>0.05</v>
      </c>
      <c r="G266" s="2996"/>
    </row>
    <row r="267" spans="1:7">
      <c r="A267" s="2989" t="s">
        <v>305</v>
      </c>
      <c r="B267" s="2978" t="s">
        <v>2979</v>
      </c>
      <c r="C267" s="2990"/>
      <c r="D267" s="2990"/>
      <c r="E267" s="2990"/>
      <c r="F267" s="2979">
        <v>0.05</v>
      </c>
      <c r="G267" s="2996"/>
    </row>
    <row r="268" spans="1:7">
      <c r="A268" s="2989" t="s">
        <v>305</v>
      </c>
      <c r="B268" s="2978" t="s">
        <v>2984</v>
      </c>
      <c r="C268" s="2990"/>
      <c r="D268" s="2990"/>
      <c r="E268" s="2990"/>
      <c r="F268" s="2979">
        <v>0.05</v>
      </c>
      <c r="G268" s="2996"/>
    </row>
    <row r="269" spans="1:7">
      <c r="A269" s="2989" t="s">
        <v>305</v>
      </c>
      <c r="B269" s="2978" t="s">
        <v>2989</v>
      </c>
      <c r="C269" s="2990"/>
      <c r="D269" s="2990"/>
      <c r="E269" s="2990"/>
      <c r="F269" s="2979">
        <v>0.05</v>
      </c>
      <c r="G269" s="2996"/>
    </row>
    <row r="270" spans="1:7">
      <c r="A270" s="2989" t="s">
        <v>305</v>
      </c>
      <c r="B270" s="2978" t="s">
        <v>2994</v>
      </c>
      <c r="C270" s="2990"/>
      <c r="D270" s="2990"/>
      <c r="E270" s="2990"/>
      <c r="F270" s="2979">
        <v>0.05</v>
      </c>
      <c r="G270" s="2996"/>
    </row>
    <row r="271" spans="1:7">
      <c r="A271" s="2989" t="s">
        <v>305</v>
      </c>
      <c r="B271" s="2978" t="s">
        <v>3198</v>
      </c>
      <c r="C271" s="2990"/>
      <c r="D271" s="2990"/>
      <c r="E271" s="2990"/>
      <c r="F271" s="2979">
        <v>0.05</v>
      </c>
      <c r="G271" s="2996"/>
    </row>
    <row r="272" spans="1:7">
      <c r="A272" s="2989" t="s">
        <v>305</v>
      </c>
      <c r="B272" s="2978" t="s">
        <v>3199</v>
      </c>
      <c r="C272" s="2990"/>
      <c r="D272" s="2990"/>
      <c r="E272" s="2990"/>
      <c r="F272" s="2979">
        <v>0.05</v>
      </c>
      <c r="G272" s="2996"/>
    </row>
    <row r="273" spans="1:7">
      <c r="A273" s="2989" t="s">
        <v>305</v>
      </c>
      <c r="B273" s="2978" t="s">
        <v>3200</v>
      </c>
      <c r="C273" s="2990"/>
      <c r="D273" s="2990"/>
      <c r="E273" s="2990"/>
      <c r="F273" s="2979">
        <v>0.05</v>
      </c>
      <c r="G273" s="2996"/>
    </row>
    <row r="274" spans="1:7">
      <c r="A274" s="2989" t="s">
        <v>305</v>
      </c>
      <c r="B274" s="2978" t="s">
        <v>3201</v>
      </c>
      <c r="C274" s="2990"/>
      <c r="D274" s="2990"/>
      <c r="E274" s="2990"/>
      <c r="F274" s="2979">
        <v>0.05</v>
      </c>
      <c r="G274" s="2996"/>
    </row>
    <row r="275" spans="1:7">
      <c r="A275" s="2989" t="s">
        <v>305</v>
      </c>
      <c r="B275" s="2978" t="s">
        <v>3202</v>
      </c>
      <c r="C275" s="2990"/>
      <c r="D275" s="2990"/>
      <c r="E275" s="2990"/>
      <c r="F275" s="2979">
        <v>0.05</v>
      </c>
      <c r="G275" s="2996"/>
    </row>
    <row r="276" spans="1:7" ht="14.25" thickBot="1">
      <c r="A276" s="2992" t="s">
        <v>305</v>
      </c>
      <c r="B276" s="2982" t="s">
        <v>3203</v>
      </c>
      <c r="C276" s="2984"/>
      <c r="D276" s="2984"/>
      <c r="E276" s="2984"/>
      <c r="F276" s="2983">
        <v>0.05</v>
      </c>
      <c r="G276" s="2997"/>
    </row>
    <row r="277" spans="1:7">
      <c r="A277" s="2988" t="s">
        <v>306</v>
      </c>
      <c r="B277" s="2974" t="s">
        <v>2847</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2859</v>
      </c>
      <c r="C279" s="2979">
        <v>0.15</v>
      </c>
      <c r="D279" s="2979">
        <v>0.15</v>
      </c>
      <c r="E279" s="2979">
        <v>0.15</v>
      </c>
      <c r="F279" s="2979">
        <v>0.15</v>
      </c>
      <c r="G279" s="2980">
        <v>0.15</v>
      </c>
    </row>
    <row r="280" spans="1:7">
      <c r="A280" s="2989" t="s">
        <v>306</v>
      </c>
      <c r="B280" s="2978" t="s">
        <v>2863</v>
      </c>
      <c r="C280" s="2979">
        <v>0.15</v>
      </c>
      <c r="D280" s="2979">
        <v>0.15</v>
      </c>
      <c r="E280" s="2979">
        <v>0.15</v>
      </c>
      <c r="F280" s="2979">
        <v>0.15</v>
      </c>
      <c r="G280" s="2980">
        <v>0.15</v>
      </c>
    </row>
    <row r="281" spans="1:7">
      <c r="A281" s="2989" t="s">
        <v>306</v>
      </c>
      <c r="B281" s="2978" t="s">
        <v>2867</v>
      </c>
      <c r="C281" s="2979">
        <v>0.15</v>
      </c>
      <c r="D281" s="2979">
        <v>0.15</v>
      </c>
      <c r="E281" s="2979">
        <v>0.15</v>
      </c>
      <c r="F281" s="2979">
        <v>0.15</v>
      </c>
      <c r="G281" s="2980">
        <v>0.15</v>
      </c>
    </row>
    <row r="282" spans="1:7">
      <c r="A282" s="2989" t="s">
        <v>306</v>
      </c>
      <c r="B282" s="2978" t="s">
        <v>2871</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2886</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2891</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2901</v>
      </c>
      <c r="C293" s="2979">
        <v>0.15</v>
      </c>
      <c r="D293" s="2979">
        <v>0.15</v>
      </c>
      <c r="E293" s="2979">
        <v>0.15</v>
      </c>
      <c r="F293" s="2979">
        <v>0.14499999999999999</v>
      </c>
      <c r="G293" s="2980">
        <v>0.15</v>
      </c>
    </row>
    <row r="294" spans="1:7">
      <c r="A294" s="2989" t="s">
        <v>306</v>
      </c>
      <c r="B294" s="2978" t="s">
        <v>2903</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2920</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2933</v>
      </c>
      <c r="C302" s="2979">
        <v>0.15</v>
      </c>
      <c r="D302" s="2979">
        <v>0.15</v>
      </c>
      <c r="E302" s="2979">
        <v>0.15</v>
      </c>
      <c r="F302" s="2979">
        <v>0.14699999999999999</v>
      </c>
      <c r="G302" s="2980">
        <v>0.15</v>
      </c>
    </row>
    <row r="303" spans="1:7">
      <c r="A303" s="2989" t="s">
        <v>306</v>
      </c>
      <c r="B303" s="2978" t="s">
        <v>2940</v>
      </c>
      <c r="C303" s="2979">
        <v>0.15</v>
      </c>
      <c r="D303" s="2979">
        <v>0.15</v>
      </c>
      <c r="E303" s="2979">
        <v>0.15</v>
      </c>
      <c r="F303" s="2979">
        <v>0.14199999999999999</v>
      </c>
      <c r="G303" s="2980">
        <v>0.15</v>
      </c>
    </row>
    <row r="304" spans="1:7">
      <c r="A304" s="2989" t="s">
        <v>306</v>
      </c>
      <c r="B304" s="2978" t="s">
        <v>2947</v>
      </c>
      <c r="C304" s="2979">
        <v>0.15</v>
      </c>
      <c r="D304" s="2979">
        <v>0.15</v>
      </c>
      <c r="E304" s="2979">
        <v>0.15</v>
      </c>
      <c r="F304" s="2979">
        <v>0.14499999999999999</v>
      </c>
      <c r="G304" s="2980">
        <v>0.15</v>
      </c>
    </row>
    <row r="305" spans="1:7">
      <c r="A305" s="2989" t="s">
        <v>306</v>
      </c>
      <c r="B305" s="2978" t="s">
        <v>2953</v>
      </c>
      <c r="C305" s="2979">
        <v>0.15</v>
      </c>
      <c r="D305" s="2979">
        <v>0.15</v>
      </c>
      <c r="E305" s="2979">
        <v>0.15</v>
      </c>
      <c r="F305" s="2979">
        <v>0.111</v>
      </c>
      <c r="G305" s="2980">
        <v>0.15</v>
      </c>
    </row>
    <row r="306" spans="1:7">
      <c r="A306" s="2989" t="s">
        <v>306</v>
      </c>
      <c r="B306" s="2978" t="s">
        <v>2960</v>
      </c>
      <c r="C306" s="2979">
        <v>0.15</v>
      </c>
      <c r="D306" s="2979">
        <v>0.15</v>
      </c>
      <c r="E306" s="2979">
        <v>0.15</v>
      </c>
      <c r="F306" s="2979">
        <v>0.126</v>
      </c>
      <c r="G306" s="2980">
        <v>0.15</v>
      </c>
    </row>
    <row r="307" spans="1:7">
      <c r="A307" s="2989" t="s">
        <v>306</v>
      </c>
      <c r="B307" s="2978" t="s">
        <v>2965</v>
      </c>
      <c r="C307" s="2979">
        <v>0.15</v>
      </c>
      <c r="D307" s="2979">
        <v>0.15</v>
      </c>
      <c r="E307" s="2979">
        <v>0.15</v>
      </c>
      <c r="F307" s="2979">
        <v>0.12</v>
      </c>
      <c r="G307" s="2980">
        <v>0.15</v>
      </c>
    </row>
    <row r="308" spans="1:7">
      <c r="A308" s="2989" t="s">
        <v>306</v>
      </c>
      <c r="B308" s="2978" t="s">
        <v>2971</v>
      </c>
      <c r="C308" s="2979">
        <v>0.15</v>
      </c>
      <c r="D308" s="2979">
        <v>0.15</v>
      </c>
      <c r="E308" s="2979">
        <v>0.15</v>
      </c>
      <c r="F308" s="2979">
        <v>0.13</v>
      </c>
      <c r="G308" s="2980">
        <v>0.15</v>
      </c>
    </row>
    <row r="309" spans="1:7">
      <c r="A309" s="2989" t="s">
        <v>306</v>
      </c>
      <c r="B309" s="2978" t="s">
        <v>2975</v>
      </c>
      <c r="C309" s="2979">
        <v>0.15</v>
      </c>
      <c r="D309" s="2979">
        <v>0.15</v>
      </c>
      <c r="E309" s="2979">
        <v>0.15</v>
      </c>
      <c r="F309" s="2979">
        <v>0.14099999999999999</v>
      </c>
      <c r="G309" s="2980">
        <v>0.15</v>
      </c>
    </row>
    <row r="310" spans="1:7">
      <c r="A310" s="2989" t="s">
        <v>306</v>
      </c>
      <c r="B310" s="2978" t="s">
        <v>2980</v>
      </c>
      <c r="C310" s="2979">
        <v>0.15</v>
      </c>
      <c r="D310" s="2979">
        <v>0.15</v>
      </c>
      <c r="E310" s="2979">
        <v>0.15</v>
      </c>
      <c r="F310" s="2979">
        <v>0.15</v>
      </c>
      <c r="G310" s="2980">
        <v>0.15</v>
      </c>
    </row>
    <row r="311" spans="1:7">
      <c r="A311" s="2989" t="s">
        <v>306</v>
      </c>
      <c r="B311" s="2978" t="s">
        <v>2985</v>
      </c>
      <c r="C311" s="2979">
        <v>0.13200000000000001</v>
      </c>
      <c r="D311" s="2979">
        <v>0.13300000000000001</v>
      </c>
      <c r="E311" s="2979">
        <v>0.14499999999999999</v>
      </c>
      <c r="F311" s="2979">
        <v>0.14199999999999999</v>
      </c>
      <c r="G311" s="2980">
        <v>0.14000000000000001</v>
      </c>
    </row>
    <row r="312" spans="1:7">
      <c r="A312" s="2989" t="s">
        <v>306</v>
      </c>
      <c r="B312" s="2978" t="s">
        <v>2990</v>
      </c>
      <c r="C312" s="2979">
        <v>0.13800000000000001</v>
      </c>
      <c r="D312" s="2979">
        <v>0.14000000000000001</v>
      </c>
      <c r="E312" s="2979">
        <v>0.14599999999999999</v>
      </c>
      <c r="F312" s="2979">
        <v>0.14899999999999999</v>
      </c>
      <c r="G312" s="2980">
        <v>0.14199999999999999</v>
      </c>
    </row>
    <row r="313" spans="1:7">
      <c r="A313" s="2989" t="s">
        <v>306</v>
      </c>
      <c r="B313" s="2978" t="s">
        <v>2995</v>
      </c>
      <c r="C313" s="2979">
        <v>0.125</v>
      </c>
      <c r="D313" s="2979">
        <v>0.127</v>
      </c>
      <c r="E313" s="2979">
        <v>0.14399999999999999</v>
      </c>
      <c r="F313" s="2979">
        <v>0.115</v>
      </c>
      <c r="G313" s="2980">
        <v>0.13600000000000001</v>
      </c>
    </row>
    <row r="314" spans="1:7">
      <c r="A314" s="2989" t="s">
        <v>306</v>
      </c>
      <c r="B314" s="2978" t="s">
        <v>3204</v>
      </c>
      <c r="C314" s="2995"/>
      <c r="D314" s="2995"/>
      <c r="E314" s="2995"/>
      <c r="F314" s="2979">
        <v>0.05</v>
      </c>
      <c r="G314" s="2996"/>
    </row>
    <row r="315" spans="1:7">
      <c r="A315" s="2989" t="s">
        <v>306</v>
      </c>
      <c r="B315" s="2978" t="s">
        <v>3205</v>
      </c>
      <c r="C315" s="2995"/>
      <c r="D315" s="2995"/>
      <c r="E315" s="2995"/>
      <c r="F315" s="2979">
        <v>0.05</v>
      </c>
      <c r="G315" s="2996"/>
    </row>
    <row r="316" spans="1:7">
      <c r="A316" s="2989" t="s">
        <v>306</v>
      </c>
      <c r="B316" s="2978" t="s">
        <v>3206</v>
      </c>
      <c r="C316" s="2990"/>
      <c r="D316" s="2990"/>
      <c r="E316" s="2990"/>
      <c r="F316" s="2979">
        <v>0.05</v>
      </c>
      <c r="G316" s="2996"/>
    </row>
    <row r="317" spans="1:7">
      <c r="A317" s="2989" t="s">
        <v>306</v>
      </c>
      <c r="B317" s="2978" t="s">
        <v>3207</v>
      </c>
      <c r="C317" s="2990"/>
      <c r="D317" s="2990"/>
      <c r="E317" s="2990"/>
      <c r="F317" s="2979">
        <v>0.05</v>
      </c>
      <c r="G317" s="2996"/>
    </row>
    <row r="318" spans="1:7">
      <c r="A318" s="2989" t="s">
        <v>306</v>
      </c>
      <c r="B318" s="2978" t="s">
        <v>3208</v>
      </c>
      <c r="C318" s="2990"/>
      <c r="D318" s="2990"/>
      <c r="E318" s="2990"/>
      <c r="F318" s="2979">
        <v>0.05</v>
      </c>
      <c r="G318" s="2996"/>
    </row>
    <row r="319" spans="1:7">
      <c r="A319" s="2989" t="s">
        <v>306</v>
      </c>
      <c r="B319" s="2978" t="s">
        <v>3209</v>
      </c>
      <c r="C319" s="2990"/>
      <c r="D319" s="2990"/>
      <c r="E319" s="2990"/>
      <c r="F319" s="2979">
        <v>0.05</v>
      </c>
      <c r="G319" s="2996"/>
    </row>
    <row r="320" spans="1:7">
      <c r="A320" s="2989" t="s">
        <v>306</v>
      </c>
      <c r="B320" s="2978" t="s">
        <v>3210</v>
      </c>
      <c r="C320" s="2990"/>
      <c r="D320" s="2990"/>
      <c r="E320" s="2990"/>
      <c r="F320" s="2979">
        <v>0.05</v>
      </c>
      <c r="G320" s="2996"/>
    </row>
    <row r="321" spans="1:7">
      <c r="A321" s="2989" t="s">
        <v>306</v>
      </c>
      <c r="B321" s="2978" t="s">
        <v>3211</v>
      </c>
      <c r="C321" s="2990"/>
      <c r="D321" s="2990"/>
      <c r="E321" s="2990"/>
      <c r="F321" s="2979">
        <v>0.05</v>
      </c>
      <c r="G321" s="2996"/>
    </row>
    <row r="322" spans="1:7">
      <c r="A322" s="2989" t="s">
        <v>306</v>
      </c>
      <c r="B322" s="2978" t="s">
        <v>3212</v>
      </c>
      <c r="C322" s="2990"/>
      <c r="D322" s="2990"/>
      <c r="E322" s="2990"/>
      <c r="F322" s="2979">
        <v>0.05</v>
      </c>
      <c r="G322" s="2996"/>
    </row>
    <row r="323" spans="1:7">
      <c r="A323" s="2989" t="s">
        <v>306</v>
      </c>
      <c r="B323" s="2978" t="s">
        <v>3213</v>
      </c>
      <c r="C323" s="2990"/>
      <c r="D323" s="2990"/>
      <c r="E323" s="2990"/>
      <c r="F323" s="2979">
        <v>0.05</v>
      </c>
      <c r="G323" s="2996"/>
    </row>
    <row r="324" spans="1:7">
      <c r="A324" s="2989" t="s">
        <v>306</v>
      </c>
      <c r="B324" s="2978" t="s">
        <v>3214</v>
      </c>
      <c r="C324" s="2990"/>
      <c r="D324" s="2990"/>
      <c r="E324" s="2990"/>
      <c r="F324" s="2979">
        <v>0.05</v>
      </c>
      <c r="G324" s="2996"/>
    </row>
    <row r="325" spans="1:7">
      <c r="A325" s="2989" t="s">
        <v>306</v>
      </c>
      <c r="B325" s="2978" t="s">
        <v>3215</v>
      </c>
      <c r="C325" s="2990"/>
      <c r="D325" s="2990"/>
      <c r="E325" s="2990"/>
      <c r="F325" s="2979">
        <v>0.05</v>
      </c>
      <c r="G325" s="2996"/>
    </row>
    <row r="326" spans="1:7" ht="14.25" thickBot="1">
      <c r="A326" s="2992" t="s">
        <v>306</v>
      </c>
      <c r="B326" s="2982" t="s">
        <v>3216</v>
      </c>
      <c r="C326" s="2984"/>
      <c r="D326" s="2984"/>
      <c r="E326" s="2984"/>
      <c r="F326" s="2983">
        <v>0.05</v>
      </c>
      <c r="G326" s="2997"/>
    </row>
    <row r="327" spans="1:7">
      <c r="A327" s="2988" t="s">
        <v>307</v>
      </c>
      <c r="B327" s="2974" t="s">
        <v>2848</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2860</v>
      </c>
      <c r="C329" s="2979">
        <v>0.15</v>
      </c>
      <c r="D329" s="2979">
        <v>0.15</v>
      </c>
      <c r="E329" s="2979">
        <v>0.15</v>
      </c>
      <c r="F329" s="2979">
        <v>0.15</v>
      </c>
      <c r="G329" s="2980">
        <v>0.15</v>
      </c>
    </row>
    <row r="330" spans="1:7">
      <c r="A330" s="2989" t="s">
        <v>307</v>
      </c>
      <c r="B330" s="2978" t="s">
        <v>2864</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2872</v>
      </c>
      <c r="C332" s="2979">
        <v>0.15</v>
      </c>
      <c r="D332" s="2979">
        <v>0.15</v>
      </c>
      <c r="E332" s="2979">
        <v>0.15</v>
      </c>
      <c r="F332" s="2979">
        <v>0.15</v>
      </c>
      <c r="G332" s="2980">
        <v>0.15</v>
      </c>
    </row>
    <row r="333" spans="1:7">
      <c r="A333" s="2989" t="s">
        <v>307</v>
      </c>
      <c r="B333" s="2978" t="s">
        <v>2876</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2882</v>
      </c>
      <c r="C336" s="2979">
        <v>0.15</v>
      </c>
      <c r="D336" s="2979">
        <v>0.15</v>
      </c>
      <c r="E336" s="2979">
        <v>0.15</v>
      </c>
      <c r="F336" s="2979">
        <v>0.14199999999999999</v>
      </c>
      <c r="G336" s="2980">
        <v>0.15</v>
      </c>
    </row>
    <row r="337" spans="1:7">
      <c r="A337" s="2989" t="s">
        <v>307</v>
      </c>
      <c r="B337" s="2978" t="s">
        <v>2887</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2894</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2899</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2907</v>
      </c>
      <c r="C345" s="2979">
        <v>0.15</v>
      </c>
      <c r="D345" s="2979">
        <v>0.15</v>
      </c>
      <c r="E345" s="2979">
        <v>0.15</v>
      </c>
      <c r="F345" s="2979">
        <v>0.13800000000000001</v>
      </c>
      <c r="G345" s="2980">
        <v>0.15</v>
      </c>
    </row>
    <row r="346" spans="1:7">
      <c r="A346" s="2989" t="s">
        <v>307</v>
      </c>
      <c r="B346" s="2978" t="s">
        <v>2909</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2916</v>
      </c>
      <c r="C348" s="2979">
        <v>0.15</v>
      </c>
      <c r="D348" s="2979">
        <v>0.15</v>
      </c>
      <c r="E348" s="2979">
        <v>0.15</v>
      </c>
      <c r="F348" s="2979">
        <v>0.14399999999999999</v>
      </c>
      <c r="G348" s="2980">
        <v>0.15</v>
      </c>
    </row>
    <row r="349" spans="1:7">
      <c r="A349" s="2989" t="s">
        <v>307</v>
      </c>
      <c r="B349" s="2978" t="s">
        <v>2921</v>
      </c>
      <c r="C349" s="2979">
        <v>0.15</v>
      </c>
      <c r="D349" s="2979">
        <v>0.15</v>
      </c>
      <c r="E349" s="2979">
        <v>0.15</v>
      </c>
      <c r="F349" s="2979">
        <v>0.15</v>
      </c>
      <c r="G349" s="2980">
        <v>0.15</v>
      </c>
    </row>
    <row r="350" spans="1:7">
      <c r="A350" s="2989" t="s">
        <v>307</v>
      </c>
      <c r="B350" s="2978" t="s">
        <v>2924</v>
      </c>
      <c r="C350" s="2979">
        <v>0.15</v>
      </c>
      <c r="D350" s="2979">
        <v>0.15</v>
      </c>
      <c r="E350" s="2979">
        <v>0.15</v>
      </c>
      <c r="F350" s="2979">
        <v>0.14699999999999999</v>
      </c>
      <c r="G350" s="2980">
        <v>0.15</v>
      </c>
    </row>
    <row r="351" spans="1:7">
      <c r="A351" s="2989" t="s">
        <v>307</v>
      </c>
      <c r="B351" s="2978" t="s">
        <v>2929</v>
      </c>
      <c r="C351" s="2979">
        <v>0.15</v>
      </c>
      <c r="D351" s="2979">
        <v>0.15</v>
      </c>
      <c r="E351" s="2979">
        <v>0.15</v>
      </c>
      <c r="F351" s="2979">
        <v>0.13</v>
      </c>
      <c r="G351" s="2980">
        <v>0.15</v>
      </c>
    </row>
    <row r="352" spans="1:7">
      <c r="A352" s="2989" t="s">
        <v>307</v>
      </c>
      <c r="B352" s="2978" t="s">
        <v>2934</v>
      </c>
      <c r="C352" s="2979">
        <v>0.15</v>
      </c>
      <c r="D352" s="2979">
        <v>0.15</v>
      </c>
      <c r="E352" s="2979">
        <v>0.15</v>
      </c>
      <c r="F352" s="2979">
        <v>0.14599999999999999</v>
      </c>
      <c r="G352" s="2980">
        <v>0.15</v>
      </c>
    </row>
    <row r="353" spans="1:7">
      <c r="A353" s="2989" t="s">
        <v>307</v>
      </c>
      <c r="B353" s="2978" t="s">
        <v>2941</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2954</v>
      </c>
      <c r="C355" s="2979">
        <v>0.15</v>
      </c>
      <c r="D355" s="2979">
        <v>0.15</v>
      </c>
      <c r="E355" s="2979">
        <v>0.15</v>
      </c>
      <c r="F355" s="2979">
        <v>0.15</v>
      </c>
      <c r="G355" s="2980">
        <v>0.15</v>
      </c>
    </row>
    <row r="356" spans="1:7">
      <c r="A356" s="2989" t="s">
        <v>307</v>
      </c>
      <c r="B356" s="2978" t="s">
        <v>2961</v>
      </c>
      <c r="C356" s="2979">
        <v>0.15</v>
      </c>
      <c r="D356" s="2979">
        <v>0.15</v>
      </c>
      <c r="E356" s="2979">
        <v>0.15</v>
      </c>
      <c r="F356" s="2979">
        <v>0.15</v>
      </c>
      <c r="G356" s="2980">
        <v>0.15</v>
      </c>
    </row>
    <row r="357" spans="1:7" ht="14.25" thickBot="1">
      <c r="A357" s="2992" t="s">
        <v>307</v>
      </c>
      <c r="B357" s="2982" t="s">
        <v>2966</v>
      </c>
      <c r="C357" s="2983">
        <v>0.126</v>
      </c>
      <c r="D357" s="2983">
        <v>0.127</v>
      </c>
      <c r="E357" s="2983">
        <v>0.14299999999999999</v>
      </c>
      <c r="F357" s="2983">
        <v>0.125</v>
      </c>
      <c r="G357" s="2985">
        <v>0.129</v>
      </c>
    </row>
    <row r="358" spans="1:7">
      <c r="A358" s="2988" t="s">
        <v>2835</v>
      </c>
      <c r="B358" s="2974" t="s">
        <v>2849</v>
      </c>
      <c r="C358" s="2975">
        <v>0.15</v>
      </c>
      <c r="D358" s="2975">
        <v>0.15</v>
      </c>
      <c r="E358" s="2975">
        <v>0.15</v>
      </c>
      <c r="F358" s="2975">
        <v>0.15</v>
      </c>
      <c r="G358" s="2976">
        <v>0.15</v>
      </c>
    </row>
    <row r="359" spans="1:7">
      <c r="A359" s="2989" t="s">
        <v>2835</v>
      </c>
      <c r="B359" s="2978" t="s">
        <v>2855</v>
      </c>
      <c r="C359" s="2979">
        <v>0.1</v>
      </c>
      <c r="D359" s="2979">
        <v>0.1</v>
      </c>
      <c r="E359" s="2979">
        <v>0.1</v>
      </c>
      <c r="F359" s="2979">
        <v>0.1</v>
      </c>
      <c r="G359" s="2980">
        <v>0.1</v>
      </c>
    </row>
    <row r="360" spans="1:7">
      <c r="A360" s="2989" t="s">
        <v>2835</v>
      </c>
      <c r="B360" s="2978" t="s">
        <v>2861</v>
      </c>
      <c r="C360" s="2979">
        <v>0.15</v>
      </c>
      <c r="D360" s="2979">
        <v>0.15</v>
      </c>
      <c r="E360" s="2979">
        <v>0.15</v>
      </c>
      <c r="F360" s="2979">
        <v>0.14899999999999999</v>
      </c>
      <c r="G360" s="2980">
        <v>0.15</v>
      </c>
    </row>
    <row r="361" spans="1:7">
      <c r="A361" s="2989" t="s">
        <v>2835</v>
      </c>
      <c r="B361" s="2978" t="s">
        <v>153</v>
      </c>
      <c r="C361" s="2979">
        <v>0.15</v>
      </c>
      <c r="D361" s="2979">
        <v>0.15</v>
      </c>
      <c r="E361" s="2979">
        <v>0.15</v>
      </c>
      <c r="F361" s="2979">
        <v>0.115</v>
      </c>
      <c r="G361" s="2980">
        <v>0.15</v>
      </c>
    </row>
    <row r="362" spans="1:7">
      <c r="A362" s="2989" t="s">
        <v>2835</v>
      </c>
      <c r="B362" s="2978" t="s">
        <v>2868</v>
      </c>
      <c r="C362" s="2979">
        <v>0.15</v>
      </c>
      <c r="D362" s="2979">
        <v>0.15</v>
      </c>
      <c r="E362" s="2979">
        <v>0.15</v>
      </c>
      <c r="F362" s="2979">
        <v>0.106</v>
      </c>
      <c r="G362" s="2980">
        <v>0.15</v>
      </c>
    </row>
    <row r="363" spans="1:7">
      <c r="A363" s="2989" t="s">
        <v>2835</v>
      </c>
      <c r="B363" s="2978" t="s">
        <v>2873</v>
      </c>
      <c r="C363" s="2979">
        <v>0.15</v>
      </c>
      <c r="D363" s="2979">
        <v>0.15</v>
      </c>
      <c r="E363" s="2979">
        <v>0.15</v>
      </c>
      <c r="F363" s="2979">
        <v>0.14699999999999999</v>
      </c>
      <c r="G363" s="2980">
        <v>0.15</v>
      </c>
    </row>
    <row r="364" spans="1:7">
      <c r="A364" s="2989" t="s">
        <v>2835</v>
      </c>
      <c r="B364" s="2978" t="s">
        <v>2877</v>
      </c>
      <c r="C364" s="2979">
        <v>0.15</v>
      </c>
      <c r="D364" s="2979">
        <v>0.15</v>
      </c>
      <c r="E364" s="2979">
        <v>0.15</v>
      </c>
      <c r="F364" s="2979">
        <v>0.14799999999999999</v>
      </c>
      <c r="G364" s="2980">
        <v>0.15</v>
      </c>
    </row>
    <row r="365" spans="1:7">
      <c r="A365" s="2989" t="s">
        <v>2835</v>
      </c>
      <c r="B365" s="2978" t="s">
        <v>200</v>
      </c>
      <c r="C365" s="2979">
        <v>0.15</v>
      </c>
      <c r="D365" s="2979">
        <v>0.15</v>
      </c>
      <c r="E365" s="2979">
        <v>0.15</v>
      </c>
      <c r="F365" s="2979">
        <v>0.15</v>
      </c>
      <c r="G365" s="2980">
        <v>0.15</v>
      </c>
    </row>
    <row r="366" spans="1:7">
      <c r="A366" s="2989" t="s">
        <v>2835</v>
      </c>
      <c r="B366" s="2978" t="s">
        <v>2880</v>
      </c>
      <c r="C366" s="2979">
        <v>0.15</v>
      </c>
      <c r="D366" s="2979">
        <v>0.15</v>
      </c>
      <c r="E366" s="2979">
        <v>0.15</v>
      </c>
      <c r="F366" s="2979">
        <v>0.15</v>
      </c>
      <c r="G366" s="2980">
        <v>0.15</v>
      </c>
    </row>
    <row r="367" spans="1:7">
      <c r="A367" s="2989" t="s">
        <v>2835</v>
      </c>
      <c r="B367" s="2978" t="s">
        <v>2883</v>
      </c>
      <c r="C367" s="2979">
        <v>0.15</v>
      </c>
      <c r="D367" s="2979">
        <v>0.15</v>
      </c>
      <c r="E367" s="2979">
        <v>0.15</v>
      </c>
      <c r="F367" s="2979">
        <v>0.14699999999999999</v>
      </c>
      <c r="G367" s="2980">
        <v>0.15</v>
      </c>
    </row>
    <row r="368" spans="1:7">
      <c r="A368" s="2989" t="s">
        <v>2835</v>
      </c>
      <c r="B368" s="2978" t="s">
        <v>2888</v>
      </c>
      <c r="C368" s="2979">
        <v>0.15</v>
      </c>
      <c r="D368" s="2979">
        <v>0.15</v>
      </c>
      <c r="E368" s="2979">
        <v>0.15</v>
      </c>
      <c r="F368" s="2979">
        <v>0.13600000000000001</v>
      </c>
      <c r="G368" s="2980">
        <v>0.15</v>
      </c>
    </row>
    <row r="369" spans="1:7">
      <c r="A369" s="2989" t="s">
        <v>2835</v>
      </c>
      <c r="B369" s="2978" t="s">
        <v>214</v>
      </c>
      <c r="C369" s="2979">
        <v>0.15</v>
      </c>
      <c r="D369" s="2979">
        <v>0.15</v>
      </c>
      <c r="E369" s="2979">
        <v>0.15</v>
      </c>
      <c r="F369" s="2979">
        <v>0.14399999999999999</v>
      </c>
      <c r="G369" s="2980">
        <v>0.15</v>
      </c>
    </row>
    <row r="370" spans="1:7">
      <c r="A370" s="2989" t="s">
        <v>2835</v>
      </c>
      <c r="B370" s="2978" t="s">
        <v>221</v>
      </c>
      <c r="C370" s="2979">
        <v>0.15</v>
      </c>
      <c r="D370" s="2979">
        <v>0.15</v>
      </c>
      <c r="E370" s="2979">
        <v>0.15</v>
      </c>
      <c r="F370" s="2979">
        <v>0.14599999999999999</v>
      </c>
      <c r="G370" s="2980">
        <v>0.15</v>
      </c>
    </row>
    <row r="371" spans="1:7">
      <c r="A371" s="2989" t="s">
        <v>2835</v>
      </c>
      <c r="B371" s="2978" t="s">
        <v>229</v>
      </c>
      <c r="C371" s="2979">
        <v>0.15</v>
      </c>
      <c r="D371" s="2979">
        <v>0.15</v>
      </c>
      <c r="E371" s="2979">
        <v>0.15</v>
      </c>
      <c r="F371" s="2979">
        <v>0.12</v>
      </c>
      <c r="G371" s="2980">
        <v>0.15</v>
      </c>
    </row>
    <row r="372" spans="1:7">
      <c r="A372" s="2989" t="s">
        <v>2835</v>
      </c>
      <c r="B372" s="2978" t="s">
        <v>2896</v>
      </c>
      <c r="C372" s="2979">
        <v>0.15</v>
      </c>
      <c r="D372" s="2979">
        <v>0.15</v>
      </c>
      <c r="E372" s="2979">
        <v>0.15</v>
      </c>
      <c r="F372" s="2979">
        <v>0.14299999999999999</v>
      </c>
      <c r="G372" s="2980">
        <v>0.15</v>
      </c>
    </row>
    <row r="373" spans="1:7">
      <c r="A373" s="2989" t="s">
        <v>2835</v>
      </c>
      <c r="B373" s="2978" t="s">
        <v>258</v>
      </c>
      <c r="C373" s="2979">
        <v>0.15</v>
      </c>
      <c r="D373" s="2979">
        <v>0.15</v>
      </c>
      <c r="E373" s="2979">
        <v>0.15</v>
      </c>
      <c r="F373" s="2979">
        <v>0.14599999999999999</v>
      </c>
      <c r="G373" s="2980">
        <v>0.15</v>
      </c>
    </row>
    <row r="374" spans="1:7">
      <c r="A374" s="2989" t="s">
        <v>2835</v>
      </c>
      <c r="B374" s="2978" t="s">
        <v>266</v>
      </c>
      <c r="C374" s="2979">
        <v>0.15</v>
      </c>
      <c r="D374" s="2979">
        <v>0.15</v>
      </c>
      <c r="E374" s="2979">
        <v>0.15</v>
      </c>
      <c r="F374" s="2979">
        <v>0.14399999999999999</v>
      </c>
      <c r="G374" s="2980">
        <v>0.15</v>
      </c>
    </row>
    <row r="375" spans="1:7">
      <c r="A375" s="2989" t="s">
        <v>2835</v>
      </c>
      <c r="B375" s="2978" t="s">
        <v>2904</v>
      </c>
      <c r="C375" s="2979">
        <v>0.15</v>
      </c>
      <c r="D375" s="2979">
        <v>0.15</v>
      </c>
      <c r="E375" s="2979">
        <v>0.15</v>
      </c>
      <c r="F375" s="2979">
        <v>0.13</v>
      </c>
      <c r="G375" s="2980">
        <v>0.15</v>
      </c>
    </row>
    <row r="376" spans="1:7">
      <c r="A376" s="2989" t="s">
        <v>2835</v>
      </c>
      <c r="B376" s="2978" t="s">
        <v>277</v>
      </c>
      <c r="C376" s="2979">
        <v>0.15</v>
      </c>
      <c r="D376" s="2979">
        <v>0.15</v>
      </c>
      <c r="E376" s="2979">
        <v>0.15</v>
      </c>
      <c r="F376" s="2979">
        <v>0.14199999999999999</v>
      </c>
      <c r="G376" s="2980">
        <v>0.15</v>
      </c>
    </row>
    <row r="377" spans="1:7" ht="14.25" thickBot="1">
      <c r="A377" s="2992" t="s">
        <v>2835</v>
      </c>
      <c r="B377" s="2982" t="s">
        <v>2910</v>
      </c>
      <c r="C377" s="2983">
        <v>0.15</v>
      </c>
      <c r="D377" s="2983">
        <v>0.15</v>
      </c>
      <c r="E377" s="2983">
        <v>0.15</v>
      </c>
      <c r="F377" s="2983">
        <v>0.14000000000000001</v>
      </c>
      <c r="G377" s="2985">
        <v>0.15</v>
      </c>
    </row>
    <row r="378" spans="1:7">
      <c r="A378" s="2988" t="s">
        <v>2836</v>
      </c>
      <c r="B378" s="2974" t="s">
        <v>2850</v>
      </c>
      <c r="C378" s="2975">
        <v>0.15</v>
      </c>
      <c r="D378" s="2975">
        <v>0.15</v>
      </c>
      <c r="E378" s="2975">
        <v>0.15</v>
      </c>
      <c r="F378" s="2975">
        <v>0.107</v>
      </c>
      <c r="G378" s="2976">
        <v>0.15</v>
      </c>
    </row>
    <row r="379" spans="1:7">
      <c r="A379" s="2989" t="s">
        <v>2836</v>
      </c>
      <c r="B379" s="2978" t="s">
        <v>2856</v>
      </c>
      <c r="C379" s="2979">
        <v>0.15</v>
      </c>
      <c r="D379" s="2979">
        <v>0.15</v>
      </c>
      <c r="E379" s="2979">
        <v>0.15</v>
      </c>
      <c r="F379" s="2979">
        <v>0.115</v>
      </c>
      <c r="G379" s="2980">
        <v>0.14899999999999999</v>
      </c>
    </row>
    <row r="380" spans="1:7">
      <c r="A380" s="2989" t="s">
        <v>2836</v>
      </c>
      <c r="B380" s="2978" t="s">
        <v>2862</v>
      </c>
      <c r="C380" s="2979">
        <v>0.15</v>
      </c>
      <c r="D380" s="2979">
        <v>0.15</v>
      </c>
      <c r="E380" s="2979">
        <v>0.15</v>
      </c>
      <c r="F380" s="2979">
        <v>0.1</v>
      </c>
      <c r="G380" s="2980">
        <v>0.14799999999999999</v>
      </c>
    </row>
    <row r="381" spans="1:7">
      <c r="A381" s="2989" t="s">
        <v>2836</v>
      </c>
      <c r="B381" s="2978" t="s">
        <v>2865</v>
      </c>
      <c r="C381" s="2979">
        <v>0.15</v>
      </c>
      <c r="D381" s="2979">
        <v>0.15</v>
      </c>
      <c r="E381" s="2979">
        <v>0.15</v>
      </c>
      <c r="F381" s="2979">
        <v>0.126</v>
      </c>
      <c r="G381" s="2980">
        <v>0.15</v>
      </c>
    </row>
    <row r="382" spans="1:7">
      <c r="A382" s="2989" t="s">
        <v>2836</v>
      </c>
      <c r="B382" s="2978" t="s">
        <v>2869</v>
      </c>
      <c r="C382" s="2979">
        <v>0.15</v>
      </c>
      <c r="D382" s="2979">
        <v>0.15</v>
      </c>
      <c r="E382" s="2979">
        <v>0.15</v>
      </c>
      <c r="F382" s="2979">
        <v>0.15</v>
      </c>
      <c r="G382" s="2980">
        <v>0.15</v>
      </c>
    </row>
    <row r="383" spans="1:7">
      <c r="A383" s="2989" t="s">
        <v>2836</v>
      </c>
      <c r="B383" s="2978" t="s">
        <v>2874</v>
      </c>
      <c r="C383" s="2979">
        <v>0.15</v>
      </c>
      <c r="D383" s="2979">
        <v>0.15</v>
      </c>
      <c r="E383" s="2979">
        <v>0.15</v>
      </c>
      <c r="F383" s="2979">
        <v>0.14699999999999999</v>
      </c>
      <c r="G383" s="2980">
        <v>0.15</v>
      </c>
    </row>
    <row r="384" spans="1:7" ht="14.25" thickBot="1">
      <c r="A384" s="2999" t="s">
        <v>2836</v>
      </c>
      <c r="B384" s="3000" t="s">
        <v>2878</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20" t="s">
        <v>3217</v>
      </c>
      <c r="B1" s="3520"/>
      <c r="C1" s="3520"/>
      <c r="D1" s="3520"/>
      <c r="E1" s="3520"/>
      <c r="F1" s="3521"/>
    </row>
    <row r="2" spans="1:6" ht="14.25">
      <c r="A2" s="3003" t="s">
        <v>3218</v>
      </c>
    </row>
    <row r="3" spans="1:6" ht="14.25">
      <c r="A3" s="3003" t="s">
        <v>3219</v>
      </c>
      <c r="F3" s="3004" t="s">
        <v>3220</v>
      </c>
    </row>
    <row r="4" spans="1:6">
      <c r="A4" s="3005" t="s">
        <v>668</v>
      </c>
      <c r="B4" s="3005" t="s">
        <v>669</v>
      </c>
      <c r="C4" s="3005" t="s">
        <v>21</v>
      </c>
      <c r="D4" s="3005" t="s">
        <v>670</v>
      </c>
      <c r="E4" s="3005" t="s">
        <v>3</v>
      </c>
      <c r="F4" s="3005" t="s">
        <v>3221</v>
      </c>
    </row>
    <row r="5" spans="1:6">
      <c r="A5" s="3006" t="s">
        <v>671</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D1" zoomScale="90" zoomScaleNormal="90" workbookViewId="0">
      <selection activeCell="G6" sqref="G6"/>
    </sheetView>
  </sheetViews>
  <sheetFormatPr defaultRowHeight="13.5"/>
  <cols>
    <col min="1" max="1" width="13.875" customWidth="1"/>
    <col min="11" max="17" width="0" hidden="1" customWidth="1"/>
    <col min="25" max="30" width="0" hidden="1" customWidth="1"/>
  </cols>
  <sheetData>
    <row r="1" spans="1:44">
      <c r="A1" s="2938">
        <f>基准地价修正!G23</f>
        <v>46014</v>
      </c>
      <c r="B1" s="2930" t="s">
        <v>3361</v>
      </c>
      <c r="C1" s="2931"/>
      <c r="D1" s="2931"/>
      <c r="E1" s="2931"/>
      <c r="F1" s="2931"/>
      <c r="G1" s="2931"/>
      <c r="H1" s="2931"/>
      <c r="I1" s="2931"/>
      <c r="J1" s="2897"/>
      <c r="K1" s="2931" t="s">
        <v>454</v>
      </c>
      <c r="L1" s="2931"/>
      <c r="M1" s="2931"/>
      <c r="N1" s="2931"/>
      <c r="O1" s="2931"/>
      <c r="P1" s="2931"/>
      <c r="Q1" s="2897"/>
      <c r="R1" s="3522" t="s">
        <v>456</v>
      </c>
      <c r="S1" s="3523"/>
      <c r="T1" s="3523"/>
      <c r="U1" s="3523"/>
      <c r="V1" s="3523"/>
      <c r="W1" s="3523"/>
      <c r="X1" s="2897"/>
      <c r="Y1" s="3522" t="s">
        <v>457</v>
      </c>
      <c r="Z1" s="3523"/>
      <c r="AA1" s="3523"/>
      <c r="AB1" s="3523"/>
      <c r="AC1" s="3523"/>
      <c r="AD1" s="3523"/>
    </row>
    <row r="2" spans="1:44" s="2010" customFormat="1" ht="14.25" thickBot="1">
      <c r="B2" s="2882"/>
      <c r="C2" s="2883"/>
      <c r="D2" s="2011" t="s">
        <v>2795</v>
      </c>
      <c r="E2" s="2012" t="s">
        <v>2796</v>
      </c>
      <c r="F2" s="2012" t="s">
        <v>2797</v>
      </c>
      <c r="G2" s="2012" t="s">
        <v>2798</v>
      </c>
      <c r="H2" s="2012" t="s">
        <v>2799</v>
      </c>
      <c r="I2" s="2012" t="s">
        <v>2616</v>
      </c>
      <c r="J2" s="2884"/>
      <c r="K2" s="2011" t="s">
        <v>2795</v>
      </c>
      <c r="L2" s="2012" t="s">
        <v>2796</v>
      </c>
      <c r="M2" s="2012" t="s">
        <v>2797</v>
      </c>
      <c r="N2" s="2012" t="s">
        <v>2798</v>
      </c>
      <c r="O2" s="2012" t="s">
        <v>2800</v>
      </c>
      <c r="P2" s="2012" t="s">
        <v>2616</v>
      </c>
      <c r="Q2" s="2884"/>
      <c r="R2" s="2011" t="s">
        <v>2795</v>
      </c>
      <c r="S2" s="2012" t="s">
        <v>2796</v>
      </c>
      <c r="T2" s="2012" t="s">
        <v>2797</v>
      </c>
      <c r="U2" s="2012" t="s">
        <v>2801</v>
      </c>
      <c r="V2" s="2012" t="s">
        <v>2802</v>
      </c>
      <c r="W2" s="2012" t="s">
        <v>2616</v>
      </c>
      <c r="X2" s="2884"/>
      <c r="Y2" s="2011" t="s">
        <v>2795</v>
      </c>
      <c r="Z2" s="2012" t="s">
        <v>2796</v>
      </c>
      <c r="AA2" s="2012" t="s">
        <v>2797</v>
      </c>
      <c r="AB2" s="2012" t="s">
        <v>2803</v>
      </c>
      <c r="AC2" s="2012" t="s">
        <v>2802</v>
      </c>
      <c r="AD2" s="2012" t="s">
        <v>2616</v>
      </c>
      <c r="AF2" t="s">
        <v>3386</v>
      </c>
      <c r="AG2" t="s">
        <v>669</v>
      </c>
      <c r="AH2" t="s">
        <v>21</v>
      </c>
      <c r="AI2" t="s">
        <v>3387</v>
      </c>
      <c r="AJ2" t="s">
        <v>3</v>
      </c>
      <c r="AK2" t="s">
        <v>3388</v>
      </c>
      <c r="AM2" t="s">
        <v>3386</v>
      </c>
      <c r="AN2" t="s">
        <v>669</v>
      </c>
      <c r="AO2" t="s">
        <v>21</v>
      </c>
      <c r="AP2" t="s">
        <v>3387</v>
      </c>
      <c r="AQ2" t="s">
        <v>3</v>
      </c>
      <c r="AR2" t="s">
        <v>3388</v>
      </c>
    </row>
    <row r="3" spans="1:44" s="2887" customFormat="1" ht="12.75">
      <c r="A3" s="2885" t="s">
        <v>2804</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3385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7" customFormat="1" ht="12.75">
      <c r="A6" s="2908" t="s">
        <v>3399</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2.75">
      <c r="A7" s="2040" t="s">
        <v>3400</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2.75">
      <c r="A8" s="2040" t="s">
        <v>3391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2.75">
      <c r="A9" s="2040" t="s">
        <v>3390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2.75">
      <c r="A10" s="2040" t="s">
        <v>3365</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2.75">
      <c r="A11" s="2906" t="s">
        <v>3359</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2.75">
      <c r="A12" s="2906" t="s">
        <v>3358</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2.75">
      <c r="A13" s="2906" t="s">
        <v>3354</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2.75">
      <c r="A14" s="2906" t="s">
        <v>3353</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2.75">
      <c r="A15" s="2906" t="s">
        <v>3351</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2.75">
      <c r="A16" s="2906" t="s">
        <v>3350</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2.75">
      <c r="A17" s="2906" t="s">
        <v>3349</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2.75">
      <c r="A18" s="2906" t="s">
        <v>3347</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2.75">
      <c r="A19" s="2906" t="s">
        <v>3338</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2.75">
      <c r="A20" s="2906" t="s">
        <v>2805</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2.75">
      <c r="A21" s="2906" t="s">
        <v>2806</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2.75">
      <c r="A22" s="2906" t="s">
        <v>2807</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2.75">
      <c r="A23" s="2906" t="s">
        <v>2808</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9" customFormat="1" ht="14.25" thickBot="1">
      <c r="A24" s="2919" t="s">
        <v>2809</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3364</v>
      </c>
    </row>
    <row r="27" spans="1:44">
      <c r="I27" s="1405" t="s">
        <v>2810</v>
      </c>
    </row>
    <row r="29" spans="1:44" s="2009" customFormat="1" ht="12.75">
      <c r="B29" s="2930" t="s">
        <v>3362</v>
      </c>
      <c r="C29" s="2931"/>
      <c r="D29" s="2931"/>
      <c r="E29" s="2931"/>
      <c r="F29" s="2931"/>
      <c r="G29" s="2931"/>
      <c r="H29" s="2931"/>
      <c r="I29" s="2931"/>
      <c r="J29" s="2897"/>
      <c r="K29" s="2931" t="s">
        <v>2811</v>
      </c>
      <c r="L29" s="2931"/>
      <c r="M29" s="2931"/>
      <c r="N29" s="2931"/>
      <c r="O29" s="2931"/>
      <c r="P29" s="2931"/>
      <c r="Q29" s="2897"/>
      <c r="R29" s="3522" t="s">
        <v>2812</v>
      </c>
      <c r="S29" s="3523"/>
      <c r="T29" s="3523"/>
      <c r="U29" s="3523"/>
      <c r="V29" s="3523"/>
      <c r="W29" s="3523"/>
      <c r="X29" s="2897"/>
      <c r="Y29" s="3522" t="s">
        <v>2813</v>
      </c>
      <c r="Z29" s="3523"/>
      <c r="AA29" s="3523"/>
      <c r="AB29" s="3523"/>
      <c r="AC29" s="3523"/>
      <c r="AD29" s="3523"/>
    </row>
    <row r="30" spans="1:44" s="2010" customFormat="1" ht="14.25" thickBot="1">
      <c r="B30" s="2882"/>
      <c r="C30" s="2883"/>
      <c r="D30" s="2011" t="s">
        <v>2814</v>
      </c>
      <c r="E30" s="2012" t="s">
        <v>2815</v>
      </c>
      <c r="F30" s="2012" t="s">
        <v>2816</v>
      </c>
      <c r="G30" s="2012" t="s">
        <v>2817</v>
      </c>
      <c r="H30" s="2012"/>
      <c r="I30" s="2012" t="s">
        <v>2818</v>
      </c>
      <c r="J30" s="2884"/>
      <c r="K30" s="2011" t="s">
        <v>2814</v>
      </c>
      <c r="L30" s="2012" t="s">
        <v>2815</v>
      </c>
      <c r="M30" s="2012" t="s">
        <v>2816</v>
      </c>
      <c r="N30" s="2012" t="s">
        <v>2817</v>
      </c>
      <c r="O30" s="2012"/>
      <c r="P30" s="2012" t="s">
        <v>2818</v>
      </c>
      <c r="Q30" s="2884"/>
      <c r="R30" s="2011" t="s">
        <v>2814</v>
      </c>
      <c r="S30" s="2012" t="s">
        <v>2815</v>
      </c>
      <c r="T30" s="2012" t="s">
        <v>2816</v>
      </c>
      <c r="U30" s="2012" t="s">
        <v>2817</v>
      </c>
      <c r="V30" s="2012"/>
      <c r="W30" s="2012" t="s">
        <v>2818</v>
      </c>
      <c r="X30" s="2884"/>
      <c r="Y30" s="2011" t="s">
        <v>2814</v>
      </c>
      <c r="Z30" s="2012" t="s">
        <v>2815</v>
      </c>
      <c r="AA30" s="2012" t="s">
        <v>2816</v>
      </c>
      <c r="AB30" s="2012" t="s">
        <v>2817</v>
      </c>
      <c r="AC30" s="2012"/>
      <c r="AD30" s="2012" t="s">
        <v>2818</v>
      </c>
      <c r="AG30" t="s">
        <v>669</v>
      </c>
      <c r="AH30" t="s">
        <v>21</v>
      </c>
      <c r="AI30" t="s">
        <v>3387</v>
      </c>
      <c r="AJ30"/>
      <c r="AK30" t="s">
        <v>3388</v>
      </c>
      <c r="AN30" t="s">
        <v>669</v>
      </c>
      <c r="AO30" t="s">
        <v>21</v>
      </c>
      <c r="AP30" t="s">
        <v>3387</v>
      </c>
      <c r="AQ30"/>
      <c r="AR30" t="s">
        <v>3388</v>
      </c>
    </row>
    <row r="31" spans="1:44" s="2887" customFormat="1" ht="12.75">
      <c r="A31" s="2885" t="s">
        <v>2819</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3385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7" customFormat="1" ht="12.75">
      <c r="A34" s="2908" t="s">
        <v>3401</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2.75">
      <c r="A35" s="2040" t="s">
        <v>3400</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2.75">
      <c r="A36" s="2040" t="s">
        <v>3389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2.75">
      <c r="A37" s="2040" t="s">
        <v>3390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2.75">
      <c r="A38" s="2040" t="s">
        <v>3356</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2.75">
      <c r="A39" s="2906" t="s">
        <v>3360</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2.75">
      <c r="A40" s="2906" t="s">
        <v>3357</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2.75">
      <c r="A41" s="2906" t="s">
        <v>3355</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2.75">
      <c r="A42" s="2906" t="s">
        <v>3353</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2.75">
      <c r="A43" s="2906" t="s">
        <v>3352</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2.75">
      <c r="A44" s="2906" t="s">
        <v>3350</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2.75">
      <c r="A45" s="2906" t="s">
        <v>3349</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2.75">
      <c r="A46" s="2906" t="s">
        <v>3348</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2.75">
      <c r="A47" s="2906" t="s">
        <v>3338</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2.75">
      <c r="A48" s="2906" t="s">
        <v>2820</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2.75">
      <c r="A49" s="2906" t="s">
        <v>2821</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2.75">
      <c r="A50" s="2906" t="s">
        <v>2822</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2.75">
      <c r="A51" s="2906" t="s">
        <v>2823</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9" customFormat="1" ht="14.25" thickBot="1">
      <c r="A52" s="2919" t="s">
        <v>2809</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3363</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4" t="str">
        <f>IF(项目基本情况!B9="房地产市场价值","估价结果一览表","结果表-2")</f>
        <v>结果表-2</v>
      </c>
      <c r="B1" s="3204"/>
      <c r="C1" s="3204"/>
      <c r="D1" s="3204"/>
      <c r="E1" s="3204"/>
      <c r="F1" s="3204"/>
      <c r="G1" s="3204"/>
      <c r="H1" s="3204"/>
      <c r="I1" s="3204"/>
    </row>
    <row r="2" spans="1:9" ht="30" customHeight="1" thickTop="1">
      <c r="A2" s="3205" t="s">
        <v>924</v>
      </c>
      <c r="B2" s="3205" t="s">
        <v>925</v>
      </c>
      <c r="C2" s="3205" t="s">
        <v>926</v>
      </c>
      <c r="D2" s="3205" t="str">
        <f>'结果表-地下仓储'!D116</f>
        <v>出让国有建设用地使用权价值</v>
      </c>
      <c r="E2" s="3205"/>
      <c r="F2" s="3205" t="str">
        <f>'结果表-地下仓储'!F116</f>
        <v>在建建筑物价值</v>
      </c>
      <c r="G2" s="3205"/>
      <c r="H2" s="3205" t="str">
        <f>IF(项目基本情况!B9="房地产市场价值","房地产市场价值","房地产价值")</f>
        <v>房地产价值</v>
      </c>
      <c r="I2" s="3205"/>
    </row>
    <row r="3" spans="1:9" ht="15">
      <c r="A3" s="3206"/>
      <c r="B3" s="3206"/>
      <c r="C3" s="3206"/>
      <c r="D3" s="801" t="s">
        <v>921</v>
      </c>
      <c r="E3" s="801" t="s">
        <v>927</v>
      </c>
      <c r="F3" s="801" t="s">
        <v>921</v>
      </c>
      <c r="G3" s="801" t="s">
        <v>922</v>
      </c>
      <c r="H3" s="801" t="s">
        <v>921</v>
      </c>
      <c r="I3" s="801" t="s">
        <v>922</v>
      </c>
    </row>
    <row r="4" spans="1:9" ht="15">
      <c r="A4" s="1403" t="str">
        <f>项目基本情况!S2</f>
        <v>北京市房地产</v>
      </c>
      <c r="B4" s="801">
        <f>项目基本情况!C17</f>
        <v>315.39</v>
      </c>
      <c r="C4" s="801">
        <f>项目基本情况!C18</f>
        <v>0</v>
      </c>
      <c r="D4" s="801">
        <f ca="1">'结果表-地下仓储'!D118</f>
        <v>46</v>
      </c>
      <c r="E4" s="801">
        <f ca="1">'结果表-地下仓储'!E118</f>
        <v>10849</v>
      </c>
      <c r="F4" s="801">
        <f ca="1">'结果表-地下仓储'!F118</f>
        <v>62</v>
      </c>
      <c r="G4" s="801">
        <f ca="1">'结果表-地下仓储'!G118</f>
        <v>14623</v>
      </c>
      <c r="H4" s="801">
        <f ca="1">'结果表-地下仓储'!H118</f>
        <v>108</v>
      </c>
      <c r="I4" s="801">
        <f ca="1">'结果表-地下仓储'!I118</f>
        <v>25472</v>
      </c>
    </row>
    <row r="5" spans="1:9" ht="30" customHeight="1">
      <c r="A5" s="3206" t="s">
        <v>923</v>
      </c>
      <c r="B5" s="3206"/>
      <c r="C5" s="3206"/>
      <c r="D5" s="3206" t="str">
        <f ca="1">'结果表-地下仓储'!D119</f>
        <v>肆拾陆万元整</v>
      </c>
      <c r="E5" s="3206"/>
      <c r="F5" s="3206" t="str">
        <f ca="1">'结果表-地下仓储'!F119</f>
        <v>陆拾贰万元整</v>
      </c>
      <c r="G5" s="3206"/>
      <c r="H5" s="3206" t="str">
        <f ca="1">'结果表-地下仓储'!H119</f>
        <v>壹佰零捌万元整</v>
      </c>
      <c r="I5" s="3206"/>
    </row>
    <row r="6" spans="1:9" ht="15.75">
      <c r="A6" s="3207" t="str">
        <f>'结果表-地下仓储'!A120</f>
        <v>估价师知悉的法定优先受偿款</v>
      </c>
      <c r="B6" s="3207"/>
      <c r="C6" s="3207"/>
      <c r="D6" s="3207">
        <f>'结果表-地下仓储'!D120</f>
        <v>0</v>
      </c>
      <c r="E6" s="3207"/>
      <c r="F6" s="3207"/>
      <c r="G6" s="3207"/>
      <c r="H6" s="3207"/>
      <c r="I6" s="3207"/>
    </row>
    <row r="7" spans="1:9" ht="15">
      <c r="A7" s="3206" t="s">
        <v>923</v>
      </c>
      <c r="B7" s="3206"/>
      <c r="C7" s="3206"/>
      <c r="D7" s="3208" t="str">
        <f>'结果表-地下仓储'!D121</f>
        <v>零元整</v>
      </c>
      <c r="E7" s="3209"/>
      <c r="F7" s="3209"/>
      <c r="G7" s="3209"/>
      <c r="H7" s="3209"/>
      <c r="I7" s="3210"/>
    </row>
    <row r="8" spans="1:9" ht="15.75">
      <c r="A8" s="3207" t="str">
        <f>'结果表-地下仓储'!A122</f>
        <v>房地产抵押价值</v>
      </c>
      <c r="B8" s="3207"/>
      <c r="C8" s="3207"/>
      <c r="D8" s="3207">
        <f ca="1">'结果表-地下仓储'!D122</f>
        <v>108</v>
      </c>
      <c r="E8" s="3207"/>
      <c r="F8" s="3207"/>
      <c r="G8" s="3207"/>
      <c r="H8" s="3207"/>
      <c r="I8" s="3207"/>
    </row>
    <row r="9" spans="1:9" ht="15">
      <c r="A9" s="3206" t="s">
        <v>923</v>
      </c>
      <c r="B9" s="3206"/>
      <c r="C9" s="3206"/>
      <c r="D9" s="3206" t="str">
        <f ca="1">'结果表-地下仓储'!D123</f>
        <v>壹佰零捌万元整</v>
      </c>
      <c r="E9" s="3206"/>
      <c r="F9" s="3206"/>
      <c r="G9" s="3206"/>
      <c r="H9" s="3206"/>
      <c r="I9" s="3206"/>
    </row>
    <row r="10" spans="1:9" ht="15.75">
      <c r="A10" s="3207" t="str">
        <f>'结果表-地下仓储'!A124</f>
        <v/>
      </c>
      <c r="B10" s="3207"/>
      <c r="C10" s="3207"/>
      <c r="D10" s="3207" t="str">
        <f>'结果表-地下仓储'!D124</f>
        <v>——</v>
      </c>
      <c r="E10" s="3207"/>
      <c r="F10" s="3207"/>
      <c r="G10" s="3207"/>
      <c r="H10" s="3207"/>
      <c r="I10" s="3207"/>
    </row>
    <row r="11" spans="1:9" ht="15">
      <c r="A11" s="3206" t="s">
        <v>923</v>
      </c>
      <c r="B11" s="3206"/>
      <c r="C11" s="3206"/>
      <c r="D11" s="3206" t="e">
        <f>'结果表-地下仓储'!D125</f>
        <v>#VALUE!</v>
      </c>
      <c r="E11" s="3206"/>
      <c r="F11" s="3206"/>
      <c r="G11" s="3206"/>
      <c r="H11" s="3206"/>
      <c r="I11" s="3206"/>
    </row>
    <row r="12" spans="1:9" ht="15.75">
      <c r="A12" s="3207" t="str">
        <f>'结果表-地下仓储'!A126</f>
        <v/>
      </c>
      <c r="B12" s="3207"/>
      <c r="C12" s="3207"/>
      <c r="D12" s="3207" t="str">
        <f>'结果表-地下仓储'!D126</f>
        <v>——</v>
      </c>
      <c r="E12" s="3207"/>
      <c r="F12" s="3207"/>
      <c r="G12" s="3207"/>
      <c r="H12" s="3207"/>
      <c r="I12" s="3207"/>
    </row>
    <row r="13" spans="1:9" ht="15.75" thickBot="1">
      <c r="A13" s="3211" t="s">
        <v>923</v>
      </c>
      <c r="B13" s="3211"/>
      <c r="C13" s="3211"/>
      <c r="D13" s="3211" t="e">
        <f>'结果表-地下仓储'!D127</f>
        <v>#VALUE!</v>
      </c>
      <c r="E13" s="3211"/>
      <c r="F13" s="3211"/>
      <c r="G13" s="3211"/>
      <c r="H13" s="3211"/>
      <c r="I13" s="3211"/>
    </row>
    <row r="14" spans="1:9" ht="15" thickTop="1">
      <c r="A14" s="3212" t="s">
        <v>928</v>
      </c>
      <c r="B14" s="3212"/>
      <c r="C14" s="3212"/>
      <c r="D14" s="3212"/>
      <c r="E14" s="3212"/>
      <c r="F14" s="3212"/>
      <c r="G14" s="3212"/>
      <c r="H14" s="3212"/>
      <c r="I14" s="3212"/>
    </row>
    <row r="16" spans="1:9" ht="18.75">
      <c r="A16" s="1404" t="s">
        <v>911</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AD53C-CCDC-4DBC-8263-29BB87BF864D}">
  <dimension ref="A1"/>
  <sheetViews>
    <sheetView workbookViewId="0">
      <selection activeCell="X20" sqref="X20"/>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76FEA-04F0-4F05-93BF-D72F6093A4D0}">
  <sheetPr>
    <tabColor rgb="FF92D050"/>
  </sheetPr>
  <dimension ref="A1:AS524"/>
  <sheetViews>
    <sheetView zoomScale="90" zoomScaleNormal="90" workbookViewId="0">
      <pane ySplit="24" topLeftCell="A46" activePane="bottomLeft" state="frozen"/>
      <selection activeCell="C50" sqref="C50"/>
      <selection pane="bottomLeft" activeCell="A52" sqref="A52:B60"/>
    </sheetView>
  </sheetViews>
  <sheetFormatPr defaultColWidth="9" defaultRowHeight="12.75"/>
  <cols>
    <col min="1" max="1" width="32.125" style="122" bestFit="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2078</v>
      </c>
      <c r="C1" s="3436" t="s">
        <v>2079</v>
      </c>
      <c r="D1" s="3437"/>
      <c r="E1" s="3437"/>
      <c r="F1" s="3437"/>
      <c r="G1" s="3437"/>
      <c r="H1" s="3437"/>
      <c r="I1" s="3437"/>
      <c r="J1" s="3437"/>
      <c r="K1" s="3437"/>
      <c r="L1" s="3437"/>
      <c r="M1" s="3437"/>
      <c r="N1" s="3437"/>
      <c r="O1" s="3437"/>
      <c r="P1" s="3437"/>
      <c r="Q1" s="3437"/>
      <c r="R1" s="3437"/>
      <c r="S1" s="3438"/>
      <c r="T1" s="929" t="s">
        <v>1984</v>
      </c>
    </row>
    <row r="2" spans="1:45" s="625" customFormat="1" ht="25.5">
      <c r="A2" s="930"/>
      <c r="B2" s="622" t="s">
        <v>1061</v>
      </c>
      <c r="C2" s="14" t="str">
        <f t="shared" ref="C2:R2" si="0">C3&amp;"(含)"&amp;"-"&amp;D3</f>
        <v>0(含)-30</v>
      </c>
      <c r="D2" s="623" t="str">
        <f t="shared" si="0"/>
        <v>30(含)-60</v>
      </c>
      <c r="E2" s="623" t="str">
        <f t="shared" si="0"/>
        <v>60(含)-100</v>
      </c>
      <c r="F2" s="623" t="str">
        <f t="shared" si="0"/>
        <v>100(含)-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v>
      </c>
      <c r="E3" s="628">
        <v>60</v>
      </c>
      <c r="F3" s="1220">
        <v>100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f>C4-1</f>
        <v>99</v>
      </c>
      <c r="E4" s="936">
        <f>D4-1</f>
        <v>98</v>
      </c>
      <c r="F4" s="936">
        <f>E4-1</f>
        <v>97</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2082</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1">D6-$T5</f>
        <v>100</v>
      </c>
      <c r="F6" s="1231">
        <f t="shared" si="1"/>
        <v>100</v>
      </c>
      <c r="G6" s="1231">
        <f t="shared" si="1"/>
        <v>100</v>
      </c>
      <c r="H6" s="1231">
        <f t="shared" si="1"/>
        <v>100</v>
      </c>
      <c r="I6" s="1231">
        <f t="shared" si="1"/>
        <v>100</v>
      </c>
      <c r="J6" s="1231">
        <f t="shared" si="1"/>
        <v>100</v>
      </c>
      <c r="K6" s="1231">
        <f t="shared" si="1"/>
        <v>100</v>
      </c>
      <c r="L6" s="1231">
        <f t="shared" si="1"/>
        <v>100</v>
      </c>
      <c r="M6" s="1231">
        <f t="shared" si="1"/>
        <v>100</v>
      </c>
      <c r="N6" s="1231">
        <f t="shared" si="1"/>
        <v>100</v>
      </c>
      <c r="O6" s="1231">
        <f t="shared" si="1"/>
        <v>100</v>
      </c>
      <c r="P6" s="1231">
        <f t="shared" si="1"/>
        <v>100</v>
      </c>
      <c r="Q6" s="1231">
        <f t="shared" si="1"/>
        <v>100</v>
      </c>
      <c r="R6" s="1231">
        <f t="shared" si="1"/>
        <v>100</v>
      </c>
      <c r="S6" s="1231">
        <f t="shared" si="1"/>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2">D8-$T7</f>
        <v>100</v>
      </c>
      <c r="F8" s="1231">
        <f t="shared" si="2"/>
        <v>100</v>
      </c>
      <c r="G8" s="1231">
        <f t="shared" si="2"/>
        <v>100</v>
      </c>
      <c r="H8" s="1231">
        <f t="shared" si="2"/>
        <v>100</v>
      </c>
      <c r="I8" s="1231">
        <f t="shared" si="2"/>
        <v>100</v>
      </c>
      <c r="J8" s="1231">
        <f t="shared" si="2"/>
        <v>100</v>
      </c>
      <c r="K8" s="1231">
        <f t="shared" si="2"/>
        <v>100</v>
      </c>
      <c r="L8" s="1231">
        <f t="shared" si="2"/>
        <v>100</v>
      </c>
      <c r="M8" s="1231">
        <f t="shared" si="2"/>
        <v>100</v>
      </c>
      <c r="N8" s="1231">
        <f t="shared" si="2"/>
        <v>100</v>
      </c>
      <c r="O8" s="1231">
        <f t="shared" si="2"/>
        <v>100</v>
      </c>
      <c r="P8" s="1231">
        <f t="shared" si="2"/>
        <v>100</v>
      </c>
      <c r="Q8" s="1231">
        <f t="shared" si="2"/>
        <v>100</v>
      </c>
      <c r="R8" s="1231">
        <f t="shared" si="2"/>
        <v>100</v>
      </c>
      <c r="S8" s="1231">
        <f t="shared" si="2"/>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3">D10-$T9</f>
        <v>100</v>
      </c>
      <c r="F10" s="1240">
        <f t="shared" si="3"/>
        <v>100</v>
      </c>
      <c r="G10" s="1240">
        <f t="shared" si="3"/>
        <v>100</v>
      </c>
      <c r="H10" s="1240">
        <f t="shared" si="3"/>
        <v>100</v>
      </c>
      <c r="I10" s="1240">
        <f t="shared" si="3"/>
        <v>100</v>
      </c>
      <c r="J10" s="1240">
        <f t="shared" si="3"/>
        <v>100</v>
      </c>
      <c r="K10" s="1240">
        <f t="shared" si="3"/>
        <v>100</v>
      </c>
      <c r="L10" s="1240">
        <f t="shared" si="3"/>
        <v>100</v>
      </c>
      <c r="M10" s="1240">
        <f t="shared" si="3"/>
        <v>100</v>
      </c>
      <c r="N10" s="1240">
        <f t="shared" si="3"/>
        <v>100</v>
      </c>
      <c r="O10" s="1240">
        <f t="shared" si="3"/>
        <v>100</v>
      </c>
      <c r="P10" s="1240">
        <f t="shared" si="3"/>
        <v>100</v>
      </c>
      <c r="Q10" s="1240">
        <f t="shared" si="3"/>
        <v>100</v>
      </c>
      <c r="R10" s="1240">
        <f t="shared" si="3"/>
        <v>100</v>
      </c>
      <c r="S10" s="1240">
        <f t="shared" si="3"/>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4">D12-$T11</f>
        <v>100</v>
      </c>
      <c r="F12" s="849">
        <f t="shared" si="4"/>
        <v>100</v>
      </c>
      <c r="G12" s="849">
        <f t="shared" si="4"/>
        <v>100</v>
      </c>
      <c r="H12" s="849">
        <f t="shared" si="4"/>
        <v>100</v>
      </c>
      <c r="I12" s="849">
        <f t="shared" si="4"/>
        <v>100</v>
      </c>
      <c r="J12" s="849">
        <f t="shared" si="4"/>
        <v>100</v>
      </c>
      <c r="K12" s="849">
        <f t="shared" si="4"/>
        <v>100</v>
      </c>
      <c r="L12" s="849">
        <f t="shared" si="4"/>
        <v>100</v>
      </c>
      <c r="M12" s="849">
        <f t="shared" si="4"/>
        <v>100</v>
      </c>
      <c r="N12" s="849">
        <f t="shared" si="4"/>
        <v>100</v>
      </c>
      <c r="O12" s="849">
        <f t="shared" si="4"/>
        <v>100</v>
      </c>
      <c r="P12" s="849">
        <f t="shared" si="4"/>
        <v>100</v>
      </c>
      <c r="Q12" s="849">
        <f t="shared" si="4"/>
        <v>100</v>
      </c>
      <c r="R12" s="849">
        <f>Q12-$T11</f>
        <v>100</v>
      </c>
      <c r="S12" s="849">
        <f t="shared" si="4"/>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2088</v>
      </c>
      <c r="B17" s="1987" t="s">
        <v>2089</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2090</v>
      </c>
      <c r="E19" s="1253"/>
      <c r="F19" s="1253"/>
      <c r="G19" s="1253"/>
      <c r="H19" s="996"/>
      <c r="I19" s="151"/>
      <c r="J19" s="151"/>
      <c r="K19" s="151"/>
      <c r="L19" s="151"/>
      <c r="M19" s="151"/>
      <c r="N19" s="151"/>
      <c r="O19" s="151"/>
      <c r="P19" s="151"/>
      <c r="Q19" s="151"/>
      <c r="R19" s="151"/>
      <c r="S19" s="121"/>
    </row>
    <row r="20" spans="1:45" ht="16.5" thickBot="1">
      <c r="A20" s="632" t="s">
        <v>2091</v>
      </c>
      <c r="B20" s="286">
        <f ca="1">IF(D20="——",S22,S22-F20)</f>
        <v>3173</v>
      </c>
      <c r="C20" s="151"/>
      <c r="D20" s="1989" t="s">
        <v>43</v>
      </c>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row>
    <row r="21" spans="1:45" ht="15.75">
      <c r="A21" s="632" t="s">
        <v>2093</v>
      </c>
      <c r="B21" s="286">
        <f ca="1">ROUND(B20*10000/B22,0)</f>
        <v>25306</v>
      </c>
      <c r="C21" s="151"/>
      <c r="D21" s="151"/>
      <c r="E21" s="151"/>
      <c r="F21" s="151"/>
      <c r="G21" s="151"/>
      <c r="H21" s="151"/>
      <c r="I21" s="151"/>
      <c r="J21" s="151"/>
      <c r="K21" s="151"/>
      <c r="L21" s="151"/>
      <c r="M21" s="151"/>
      <c r="N21" s="151"/>
      <c r="O21" s="151"/>
      <c r="P21" s="151"/>
      <c r="Q21" s="151"/>
      <c r="R21" s="151"/>
      <c r="S21" s="121"/>
    </row>
    <row r="22" spans="1:45">
      <c r="A22" s="308" t="s">
        <v>2094</v>
      </c>
      <c r="B22" s="21">
        <f>SUM(B24:B10000)</f>
        <v>1253.8599999999999</v>
      </c>
      <c r="C22" s="3433" t="s">
        <v>27</v>
      </c>
      <c r="D22" s="3434"/>
      <c r="E22" s="3434"/>
      <c r="F22" s="3434"/>
      <c r="G22" s="3434"/>
      <c r="H22" s="3434"/>
      <c r="I22" s="3434"/>
      <c r="J22" s="3434"/>
      <c r="K22" s="3434"/>
      <c r="L22" s="3434"/>
      <c r="M22" s="3434"/>
      <c r="N22" s="3434"/>
      <c r="O22" s="3434"/>
      <c r="P22" s="3434"/>
      <c r="Q22" s="3435"/>
      <c r="R22" s="21">
        <f ca="1">ROUND(S22*10000/B22,0)</f>
        <v>25306</v>
      </c>
      <c r="S22" s="21">
        <f ca="1">SUM(S24:S10000)</f>
        <v>3173</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'12.23面积'!M3</f>
        <v>12-102</v>
      </c>
      <c r="B24" s="633">
        <f>'12.23面积'!N3</f>
        <v>42.4</v>
      </c>
      <c r="C24" s="2571">
        <v>1</v>
      </c>
      <c r="D24" s="2572"/>
      <c r="E24" s="2571">
        <v>1</v>
      </c>
      <c r="F24" s="2572"/>
      <c r="G24" s="2571">
        <v>1</v>
      </c>
      <c r="H24" s="2572"/>
      <c r="I24" s="2571">
        <v>1</v>
      </c>
      <c r="J24" s="2572"/>
      <c r="K24" s="2571">
        <v>1</v>
      </c>
      <c r="L24" s="2572"/>
      <c r="M24" s="2571">
        <v>1</v>
      </c>
      <c r="N24" s="2572"/>
      <c r="O24" s="2571">
        <v>1</v>
      </c>
      <c r="P24" s="2572"/>
      <c r="Q24" s="2571">
        <v>1</v>
      </c>
      <c r="R24" s="633">
        <f ca="1">'结果表-地下仓储'!G20</f>
        <v>25380</v>
      </c>
      <c r="S24" s="634">
        <f t="shared" ref="S24:S87" ca="1" si="5">ROUND(R24*B24/10000,0)</f>
        <v>108</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'12.23面积'!M2</f>
        <v>12-119</v>
      </c>
      <c r="B25" s="633">
        <f>'12.23面积'!N2</f>
        <v>14.91</v>
      </c>
      <c r="C25" s="21">
        <f>IF(B25="",1,(LOOKUP(B25,$3:$3,$4:$4)-LOOKUP($B$24,$3:$3,$4:$4)+100)/100)</f>
        <v>1.01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25634</v>
      </c>
      <c r="S25" s="308">
        <f t="shared" ca="1" si="5"/>
        <v>38</v>
      </c>
    </row>
    <row r="26" spans="1:45">
      <c r="A26" s="633" t="str">
        <f>'12.23面积'!M4</f>
        <v>12-103</v>
      </c>
      <c r="B26" s="633">
        <f>'12.23面积'!N4</f>
        <v>47.18</v>
      </c>
      <c r="C26" s="21">
        <f t="shared" ref="C26:C89" si="6">IF(B26="",1,(LOOKUP(B26,$3:$3,$4:$4)-LOOKUP($B$24,$3:$3,$4:$4)+100)/100)</f>
        <v>1</v>
      </c>
      <c r="D26" s="635"/>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635"/>
      <c r="Q26" s="21">
        <f t="shared" ref="Q26:Q89" si="13">(SUMIF($17:$17,P26,$18:$18)-SUMIF($17:$17,$P$24,$18:$18)+100)/100</f>
        <v>1</v>
      </c>
      <c r="R26" s="21">
        <f t="shared" ref="R26:R89" ca="1" si="14">IF(B26="",0,ROUND($R$24*C26*E26*G26*I26*K26*M26*O26*Q26,0))</f>
        <v>25380</v>
      </c>
      <c r="S26" s="308">
        <f t="shared" ca="1" si="5"/>
        <v>120</v>
      </c>
    </row>
    <row r="27" spans="1:45">
      <c r="A27" s="633" t="str">
        <f>'12.23面积'!M5</f>
        <v>12-104</v>
      </c>
      <c r="B27" s="633">
        <f>'12.23面积'!N5</f>
        <v>62.35</v>
      </c>
      <c r="C27" s="21">
        <f t="shared" si="6"/>
        <v>0.99</v>
      </c>
      <c r="D27" s="635"/>
      <c r="E27" s="21">
        <f t="shared" si="7"/>
        <v>1</v>
      </c>
      <c r="F27" s="635"/>
      <c r="G27" s="21">
        <f t="shared" si="8"/>
        <v>1</v>
      </c>
      <c r="H27" s="635"/>
      <c r="I27" s="21">
        <f t="shared" si="9"/>
        <v>1</v>
      </c>
      <c r="J27" s="635"/>
      <c r="K27" s="21">
        <f t="shared" si="10"/>
        <v>1</v>
      </c>
      <c r="L27" s="635"/>
      <c r="M27" s="21">
        <f t="shared" si="11"/>
        <v>1</v>
      </c>
      <c r="N27" s="635"/>
      <c r="O27" s="21">
        <f t="shared" si="12"/>
        <v>1</v>
      </c>
      <c r="P27" s="635"/>
      <c r="Q27" s="21">
        <f t="shared" si="13"/>
        <v>1</v>
      </c>
      <c r="R27" s="21">
        <f t="shared" ca="1" si="14"/>
        <v>25126</v>
      </c>
      <c r="S27" s="308">
        <f t="shared" ca="1" si="5"/>
        <v>157</v>
      </c>
    </row>
    <row r="28" spans="1:45">
      <c r="A28" s="633" t="str">
        <f>'12.23面积'!M6</f>
        <v>12-105</v>
      </c>
      <c r="B28" s="633">
        <f>'12.23面积'!N6</f>
        <v>61.39</v>
      </c>
      <c r="C28" s="21">
        <f t="shared" si="6"/>
        <v>0.99</v>
      </c>
      <c r="D28" s="635"/>
      <c r="E28" s="21">
        <f t="shared" si="7"/>
        <v>1</v>
      </c>
      <c r="F28" s="635"/>
      <c r="G28" s="21">
        <f t="shared" si="8"/>
        <v>1</v>
      </c>
      <c r="H28" s="635"/>
      <c r="I28" s="21">
        <f t="shared" si="9"/>
        <v>1</v>
      </c>
      <c r="J28" s="635"/>
      <c r="K28" s="21">
        <f t="shared" si="10"/>
        <v>1</v>
      </c>
      <c r="L28" s="635"/>
      <c r="M28" s="21">
        <f t="shared" si="11"/>
        <v>1</v>
      </c>
      <c r="N28" s="635"/>
      <c r="O28" s="21">
        <f t="shared" si="12"/>
        <v>1</v>
      </c>
      <c r="P28" s="635"/>
      <c r="Q28" s="21">
        <f t="shared" si="13"/>
        <v>1</v>
      </c>
      <c r="R28" s="21">
        <f t="shared" ca="1" si="14"/>
        <v>25126</v>
      </c>
      <c r="S28" s="308">
        <f t="shared" ca="1" si="5"/>
        <v>154</v>
      </c>
    </row>
    <row r="29" spans="1:45">
      <c r="A29" s="633" t="str">
        <f>'12.23面积'!M7</f>
        <v>12-106</v>
      </c>
      <c r="B29" s="633">
        <f>'12.23面积'!N7</f>
        <v>61.39</v>
      </c>
      <c r="C29" s="21">
        <f t="shared" si="6"/>
        <v>0.99</v>
      </c>
      <c r="D29" s="635"/>
      <c r="E29" s="21">
        <f t="shared" si="7"/>
        <v>1</v>
      </c>
      <c r="F29" s="635"/>
      <c r="G29" s="21">
        <f t="shared" si="8"/>
        <v>1</v>
      </c>
      <c r="H29" s="635"/>
      <c r="I29" s="21">
        <f t="shared" si="9"/>
        <v>1</v>
      </c>
      <c r="J29" s="635"/>
      <c r="K29" s="21">
        <f t="shared" si="10"/>
        <v>1</v>
      </c>
      <c r="L29" s="635"/>
      <c r="M29" s="21">
        <f t="shared" si="11"/>
        <v>1</v>
      </c>
      <c r="N29" s="635"/>
      <c r="O29" s="21">
        <f t="shared" si="12"/>
        <v>1</v>
      </c>
      <c r="P29" s="635"/>
      <c r="Q29" s="21">
        <f t="shared" si="13"/>
        <v>1</v>
      </c>
      <c r="R29" s="21">
        <f t="shared" ca="1" si="14"/>
        <v>25126</v>
      </c>
      <c r="S29" s="308">
        <f t="shared" ca="1" si="5"/>
        <v>154</v>
      </c>
    </row>
    <row r="30" spans="1:45">
      <c r="A30" s="633" t="str">
        <f>'12.23面积'!M8</f>
        <v>12-107</v>
      </c>
      <c r="B30" s="633">
        <f>'12.23面积'!N8</f>
        <v>62.35</v>
      </c>
      <c r="C30" s="21">
        <f t="shared" si="6"/>
        <v>0.99</v>
      </c>
      <c r="D30" s="635"/>
      <c r="E30" s="21">
        <f t="shared" si="7"/>
        <v>1</v>
      </c>
      <c r="F30" s="635"/>
      <c r="G30" s="21">
        <f t="shared" si="8"/>
        <v>1</v>
      </c>
      <c r="H30" s="635"/>
      <c r="I30" s="21">
        <f t="shared" si="9"/>
        <v>1</v>
      </c>
      <c r="J30" s="635"/>
      <c r="K30" s="21">
        <f t="shared" si="10"/>
        <v>1</v>
      </c>
      <c r="L30" s="635"/>
      <c r="M30" s="21">
        <f t="shared" si="11"/>
        <v>1</v>
      </c>
      <c r="N30" s="635"/>
      <c r="O30" s="21">
        <f t="shared" si="12"/>
        <v>1</v>
      </c>
      <c r="P30" s="635"/>
      <c r="Q30" s="21">
        <f t="shared" si="13"/>
        <v>1</v>
      </c>
      <c r="R30" s="21">
        <f t="shared" ca="1" si="14"/>
        <v>25126</v>
      </c>
      <c r="S30" s="308">
        <f t="shared" ca="1" si="5"/>
        <v>157</v>
      </c>
    </row>
    <row r="31" spans="1:45">
      <c r="A31" s="633" t="str">
        <f>'12.23面积'!M9</f>
        <v>12-108</v>
      </c>
      <c r="B31" s="633">
        <f>'12.23面积'!N9</f>
        <v>47.18</v>
      </c>
      <c r="C31" s="21">
        <f t="shared" si="6"/>
        <v>1</v>
      </c>
      <c r="D31" s="635"/>
      <c r="E31" s="21">
        <f t="shared" si="7"/>
        <v>1</v>
      </c>
      <c r="F31" s="635"/>
      <c r="G31" s="21">
        <f t="shared" si="8"/>
        <v>1</v>
      </c>
      <c r="H31" s="635"/>
      <c r="I31" s="21">
        <f t="shared" si="9"/>
        <v>1</v>
      </c>
      <c r="J31" s="635"/>
      <c r="K31" s="21">
        <f t="shared" si="10"/>
        <v>1</v>
      </c>
      <c r="L31" s="635"/>
      <c r="M31" s="21">
        <f t="shared" si="11"/>
        <v>1</v>
      </c>
      <c r="N31" s="635"/>
      <c r="O31" s="21">
        <f t="shared" si="12"/>
        <v>1</v>
      </c>
      <c r="P31" s="635"/>
      <c r="Q31" s="21">
        <f t="shared" si="13"/>
        <v>1</v>
      </c>
      <c r="R31" s="21">
        <f t="shared" ca="1" si="14"/>
        <v>25380</v>
      </c>
      <c r="S31" s="308">
        <f t="shared" ca="1" si="5"/>
        <v>120</v>
      </c>
    </row>
    <row r="32" spans="1:45">
      <c r="A32" s="633" t="str">
        <f>'12.23面积'!M10</f>
        <v>12-109</v>
      </c>
      <c r="B32" s="633">
        <f>'12.23面积'!N10</f>
        <v>42.77</v>
      </c>
      <c r="C32" s="21">
        <f t="shared" si="6"/>
        <v>1</v>
      </c>
      <c r="D32" s="635"/>
      <c r="E32" s="21">
        <f t="shared" si="7"/>
        <v>1</v>
      </c>
      <c r="F32" s="635"/>
      <c r="G32" s="21">
        <f t="shared" si="8"/>
        <v>1</v>
      </c>
      <c r="H32" s="635"/>
      <c r="I32" s="21">
        <f t="shared" si="9"/>
        <v>1</v>
      </c>
      <c r="J32" s="635"/>
      <c r="K32" s="21">
        <f t="shared" si="10"/>
        <v>1</v>
      </c>
      <c r="L32" s="635"/>
      <c r="M32" s="21">
        <f t="shared" si="11"/>
        <v>1</v>
      </c>
      <c r="N32" s="635"/>
      <c r="O32" s="21">
        <f t="shared" si="12"/>
        <v>1</v>
      </c>
      <c r="P32" s="635"/>
      <c r="Q32" s="21">
        <f t="shared" si="13"/>
        <v>1</v>
      </c>
      <c r="R32" s="21">
        <f t="shared" ca="1" si="14"/>
        <v>25380</v>
      </c>
      <c r="S32" s="308">
        <f t="shared" ca="1" si="5"/>
        <v>109</v>
      </c>
    </row>
    <row r="33" spans="1:19">
      <c r="A33" s="633" t="str">
        <f>'12.23面积'!M11</f>
        <v>12-110</v>
      </c>
      <c r="B33" s="633">
        <f>'12.23面积'!N11</f>
        <v>42.77</v>
      </c>
      <c r="C33" s="21">
        <f t="shared" si="6"/>
        <v>1</v>
      </c>
      <c r="D33" s="635"/>
      <c r="E33" s="21">
        <f t="shared" si="7"/>
        <v>1</v>
      </c>
      <c r="F33" s="635"/>
      <c r="G33" s="21">
        <f t="shared" si="8"/>
        <v>1</v>
      </c>
      <c r="H33" s="635"/>
      <c r="I33" s="21">
        <f t="shared" si="9"/>
        <v>1</v>
      </c>
      <c r="J33" s="635"/>
      <c r="K33" s="21">
        <f t="shared" si="10"/>
        <v>1</v>
      </c>
      <c r="L33" s="635"/>
      <c r="M33" s="21">
        <f t="shared" si="11"/>
        <v>1</v>
      </c>
      <c r="N33" s="635"/>
      <c r="O33" s="21">
        <f t="shared" si="12"/>
        <v>1</v>
      </c>
      <c r="P33" s="635"/>
      <c r="Q33" s="21">
        <f t="shared" si="13"/>
        <v>1</v>
      </c>
      <c r="R33" s="21">
        <f t="shared" ca="1" si="14"/>
        <v>25380</v>
      </c>
      <c r="S33" s="308">
        <f t="shared" ca="1" si="5"/>
        <v>109</v>
      </c>
    </row>
    <row r="34" spans="1:19">
      <c r="A34" s="633" t="str">
        <f>'12.23面积'!M12</f>
        <v>12-111</v>
      </c>
      <c r="B34" s="633">
        <f>'12.23面积'!N12</f>
        <v>47.18</v>
      </c>
      <c r="C34" s="21">
        <f t="shared" si="6"/>
        <v>1</v>
      </c>
      <c r="D34" s="635"/>
      <c r="E34" s="21">
        <f t="shared" si="7"/>
        <v>1</v>
      </c>
      <c r="F34" s="635"/>
      <c r="G34" s="21">
        <f t="shared" si="8"/>
        <v>1</v>
      </c>
      <c r="H34" s="635"/>
      <c r="I34" s="21">
        <f t="shared" si="9"/>
        <v>1</v>
      </c>
      <c r="J34" s="635"/>
      <c r="K34" s="21">
        <f t="shared" si="10"/>
        <v>1</v>
      </c>
      <c r="L34" s="635"/>
      <c r="M34" s="21">
        <f t="shared" si="11"/>
        <v>1</v>
      </c>
      <c r="N34" s="635"/>
      <c r="O34" s="21">
        <f t="shared" si="12"/>
        <v>1</v>
      </c>
      <c r="P34" s="635"/>
      <c r="Q34" s="21">
        <f t="shared" si="13"/>
        <v>1</v>
      </c>
      <c r="R34" s="21">
        <f t="shared" ca="1" si="14"/>
        <v>25380</v>
      </c>
      <c r="S34" s="308">
        <f t="shared" ca="1" si="5"/>
        <v>120</v>
      </c>
    </row>
    <row r="35" spans="1:19">
      <c r="A35" s="633" t="str">
        <f>'12.23面积'!M13</f>
        <v>12-112</v>
      </c>
      <c r="B35" s="633">
        <f>'12.23面积'!N13</f>
        <v>62.35</v>
      </c>
      <c r="C35" s="21">
        <f t="shared" si="6"/>
        <v>0.99</v>
      </c>
      <c r="D35" s="635"/>
      <c r="E35" s="21">
        <f t="shared" si="7"/>
        <v>1</v>
      </c>
      <c r="F35" s="635"/>
      <c r="G35" s="21">
        <f t="shared" si="8"/>
        <v>1</v>
      </c>
      <c r="H35" s="635"/>
      <c r="I35" s="21">
        <f t="shared" si="9"/>
        <v>1</v>
      </c>
      <c r="J35" s="635"/>
      <c r="K35" s="21">
        <f t="shared" si="10"/>
        <v>1</v>
      </c>
      <c r="L35" s="635"/>
      <c r="M35" s="21">
        <f t="shared" si="11"/>
        <v>1</v>
      </c>
      <c r="N35" s="635"/>
      <c r="O35" s="21">
        <f t="shared" si="12"/>
        <v>1</v>
      </c>
      <c r="P35" s="635"/>
      <c r="Q35" s="21">
        <f t="shared" si="13"/>
        <v>1</v>
      </c>
      <c r="R35" s="21">
        <f t="shared" ca="1" si="14"/>
        <v>25126</v>
      </c>
      <c r="S35" s="308">
        <f t="shared" ca="1" si="5"/>
        <v>157</v>
      </c>
    </row>
    <row r="36" spans="1:19">
      <c r="A36" s="633" t="str">
        <f>'12.23面积'!M14</f>
        <v>12-113</v>
      </c>
      <c r="B36" s="633">
        <f>'12.23面积'!N14</f>
        <v>61.39</v>
      </c>
      <c r="C36" s="21">
        <f t="shared" si="6"/>
        <v>0.99</v>
      </c>
      <c r="D36" s="635"/>
      <c r="E36" s="21">
        <f t="shared" si="7"/>
        <v>1</v>
      </c>
      <c r="F36" s="635"/>
      <c r="G36" s="21">
        <f t="shared" si="8"/>
        <v>1</v>
      </c>
      <c r="H36" s="635"/>
      <c r="I36" s="21">
        <f t="shared" si="9"/>
        <v>1</v>
      </c>
      <c r="J36" s="635"/>
      <c r="K36" s="21">
        <f t="shared" si="10"/>
        <v>1</v>
      </c>
      <c r="L36" s="635"/>
      <c r="M36" s="21">
        <f t="shared" si="11"/>
        <v>1</v>
      </c>
      <c r="N36" s="635"/>
      <c r="O36" s="21">
        <f t="shared" si="12"/>
        <v>1</v>
      </c>
      <c r="P36" s="635"/>
      <c r="Q36" s="21">
        <f t="shared" si="13"/>
        <v>1</v>
      </c>
      <c r="R36" s="21">
        <f t="shared" ca="1" si="14"/>
        <v>25126</v>
      </c>
      <c r="S36" s="308">
        <f t="shared" ca="1" si="5"/>
        <v>154</v>
      </c>
    </row>
    <row r="37" spans="1:19">
      <c r="A37" s="633" t="str">
        <f>'12.23面积'!M15</f>
        <v>12-114</v>
      </c>
      <c r="B37" s="633">
        <f>'12.23面积'!N15</f>
        <v>61.39</v>
      </c>
      <c r="C37" s="21">
        <f t="shared" si="6"/>
        <v>0.99</v>
      </c>
      <c r="D37" s="635"/>
      <c r="E37" s="21">
        <f t="shared" si="7"/>
        <v>1</v>
      </c>
      <c r="F37" s="635"/>
      <c r="G37" s="21">
        <f t="shared" si="8"/>
        <v>1</v>
      </c>
      <c r="H37" s="635"/>
      <c r="I37" s="21">
        <f t="shared" si="9"/>
        <v>1</v>
      </c>
      <c r="J37" s="635"/>
      <c r="K37" s="21">
        <f t="shared" si="10"/>
        <v>1</v>
      </c>
      <c r="L37" s="635"/>
      <c r="M37" s="21">
        <f t="shared" si="11"/>
        <v>1</v>
      </c>
      <c r="N37" s="635"/>
      <c r="O37" s="21">
        <f t="shared" si="12"/>
        <v>1</v>
      </c>
      <c r="P37" s="635"/>
      <c r="Q37" s="21">
        <f t="shared" si="13"/>
        <v>1</v>
      </c>
      <c r="R37" s="21">
        <f t="shared" ca="1" si="14"/>
        <v>25126</v>
      </c>
      <c r="S37" s="308">
        <f t="shared" ca="1" si="5"/>
        <v>154</v>
      </c>
    </row>
    <row r="38" spans="1:19">
      <c r="A38" s="633" t="str">
        <f>'12.23面积'!M16</f>
        <v>12-115</v>
      </c>
      <c r="B38" s="633">
        <f>'12.23面积'!N16</f>
        <v>62.35</v>
      </c>
      <c r="C38" s="21">
        <f t="shared" si="6"/>
        <v>0.99</v>
      </c>
      <c r="D38" s="635"/>
      <c r="E38" s="21">
        <f t="shared" si="7"/>
        <v>1</v>
      </c>
      <c r="F38" s="635"/>
      <c r="G38" s="21">
        <f t="shared" si="8"/>
        <v>1</v>
      </c>
      <c r="H38" s="635"/>
      <c r="I38" s="21">
        <f t="shared" si="9"/>
        <v>1</v>
      </c>
      <c r="J38" s="635"/>
      <c r="K38" s="21">
        <f t="shared" si="10"/>
        <v>1</v>
      </c>
      <c r="L38" s="635"/>
      <c r="M38" s="21">
        <f t="shared" si="11"/>
        <v>1</v>
      </c>
      <c r="N38" s="635"/>
      <c r="O38" s="21">
        <f t="shared" si="12"/>
        <v>1</v>
      </c>
      <c r="P38" s="635"/>
      <c r="Q38" s="21">
        <f t="shared" si="13"/>
        <v>1</v>
      </c>
      <c r="R38" s="21">
        <f t="shared" ca="1" si="14"/>
        <v>25126</v>
      </c>
      <c r="S38" s="308">
        <f t="shared" ca="1" si="5"/>
        <v>157</v>
      </c>
    </row>
    <row r="39" spans="1:19">
      <c r="A39" s="633" t="str">
        <f>'12.23面积'!M17</f>
        <v>12-116</v>
      </c>
      <c r="B39" s="633">
        <f>'12.23面积'!N17</f>
        <v>47.18</v>
      </c>
      <c r="C39" s="21">
        <f t="shared" si="6"/>
        <v>1</v>
      </c>
      <c r="D39" s="635"/>
      <c r="E39" s="21">
        <f t="shared" si="7"/>
        <v>1</v>
      </c>
      <c r="F39" s="635"/>
      <c r="G39" s="21">
        <f t="shared" si="8"/>
        <v>1</v>
      </c>
      <c r="H39" s="635"/>
      <c r="I39" s="21">
        <f t="shared" si="9"/>
        <v>1</v>
      </c>
      <c r="J39" s="635"/>
      <c r="K39" s="21">
        <f t="shared" si="10"/>
        <v>1</v>
      </c>
      <c r="L39" s="635"/>
      <c r="M39" s="21">
        <f t="shared" si="11"/>
        <v>1</v>
      </c>
      <c r="N39" s="635"/>
      <c r="O39" s="21">
        <f t="shared" si="12"/>
        <v>1</v>
      </c>
      <c r="P39" s="635"/>
      <c r="Q39" s="21">
        <f t="shared" si="13"/>
        <v>1</v>
      </c>
      <c r="R39" s="21">
        <f t="shared" ca="1" si="14"/>
        <v>25380</v>
      </c>
      <c r="S39" s="308">
        <f t="shared" ca="1" si="5"/>
        <v>120</v>
      </c>
    </row>
    <row r="40" spans="1:19">
      <c r="A40" s="633" t="str">
        <f>'12.23面积'!M18</f>
        <v>12-117</v>
      </c>
      <c r="B40" s="633">
        <f>'12.23面积'!N18</f>
        <v>54.43</v>
      </c>
      <c r="C40" s="21">
        <f t="shared" si="6"/>
        <v>1</v>
      </c>
      <c r="D40" s="635"/>
      <c r="E40" s="21">
        <f t="shared" si="7"/>
        <v>1</v>
      </c>
      <c r="F40" s="635"/>
      <c r="G40" s="21">
        <f t="shared" si="8"/>
        <v>1</v>
      </c>
      <c r="H40" s="635"/>
      <c r="I40" s="21">
        <f t="shared" si="9"/>
        <v>1</v>
      </c>
      <c r="J40" s="635"/>
      <c r="K40" s="21">
        <f t="shared" si="10"/>
        <v>1</v>
      </c>
      <c r="L40" s="635"/>
      <c r="M40" s="21">
        <f t="shared" si="11"/>
        <v>1</v>
      </c>
      <c r="N40" s="635"/>
      <c r="O40" s="21">
        <f t="shared" si="12"/>
        <v>1</v>
      </c>
      <c r="P40" s="635"/>
      <c r="Q40" s="21">
        <f t="shared" si="13"/>
        <v>1</v>
      </c>
      <c r="R40" s="21">
        <f t="shared" ca="1" si="14"/>
        <v>25380</v>
      </c>
      <c r="S40" s="308">
        <f t="shared" ca="1" si="5"/>
        <v>138</v>
      </c>
    </row>
    <row r="41" spans="1:19">
      <c r="A41" s="633" t="str">
        <f>'12.23面积'!M19</f>
        <v>12-118</v>
      </c>
      <c r="B41" s="633">
        <f>'12.23面积'!N19</f>
        <v>15.15</v>
      </c>
      <c r="C41" s="21">
        <f t="shared" si="6"/>
        <v>1.01</v>
      </c>
      <c r="D41" s="635"/>
      <c r="E41" s="21">
        <f t="shared" si="7"/>
        <v>1</v>
      </c>
      <c r="F41" s="635"/>
      <c r="G41" s="21">
        <f t="shared" si="8"/>
        <v>1</v>
      </c>
      <c r="H41" s="635"/>
      <c r="I41" s="21">
        <f t="shared" si="9"/>
        <v>1</v>
      </c>
      <c r="J41" s="635"/>
      <c r="K41" s="21">
        <f t="shared" si="10"/>
        <v>1</v>
      </c>
      <c r="L41" s="635"/>
      <c r="M41" s="21">
        <f t="shared" si="11"/>
        <v>1</v>
      </c>
      <c r="N41" s="635"/>
      <c r="O41" s="21">
        <f t="shared" si="12"/>
        <v>1</v>
      </c>
      <c r="P41" s="635"/>
      <c r="Q41" s="21">
        <f t="shared" si="13"/>
        <v>1</v>
      </c>
      <c r="R41" s="21">
        <f t="shared" ca="1" si="14"/>
        <v>25634</v>
      </c>
      <c r="S41" s="308">
        <f t="shared" ca="1" si="5"/>
        <v>39</v>
      </c>
    </row>
    <row r="42" spans="1:19">
      <c r="A42" s="633" t="str">
        <f>'12.23面积'!M20</f>
        <v>12-201</v>
      </c>
      <c r="B42" s="633">
        <f>'12.23面积'!N20</f>
        <v>22.9</v>
      </c>
      <c r="C42" s="21">
        <f t="shared" si="6"/>
        <v>1.01</v>
      </c>
      <c r="D42" s="635"/>
      <c r="E42" s="21">
        <f t="shared" si="7"/>
        <v>1</v>
      </c>
      <c r="F42" s="635"/>
      <c r="G42" s="21">
        <f t="shared" si="8"/>
        <v>1</v>
      </c>
      <c r="H42" s="635"/>
      <c r="I42" s="21">
        <f t="shared" si="9"/>
        <v>1</v>
      </c>
      <c r="J42" s="635"/>
      <c r="K42" s="21">
        <f t="shared" si="10"/>
        <v>1</v>
      </c>
      <c r="L42" s="635"/>
      <c r="M42" s="21">
        <f t="shared" si="11"/>
        <v>1</v>
      </c>
      <c r="N42" s="635"/>
      <c r="O42" s="21">
        <f t="shared" si="12"/>
        <v>1</v>
      </c>
      <c r="P42" s="635"/>
      <c r="Q42" s="21">
        <f t="shared" si="13"/>
        <v>1</v>
      </c>
      <c r="R42" s="21">
        <f t="shared" ca="1" si="14"/>
        <v>25634</v>
      </c>
      <c r="S42" s="308">
        <f t="shared" ca="1" si="5"/>
        <v>59</v>
      </c>
    </row>
    <row r="43" spans="1:19">
      <c r="A43" s="633" t="str">
        <f>'12.23面积'!M21</f>
        <v>12-202</v>
      </c>
      <c r="B43" s="633">
        <f>'12.23面积'!N21</f>
        <v>22.9</v>
      </c>
      <c r="C43" s="21">
        <f t="shared" si="6"/>
        <v>1.01</v>
      </c>
      <c r="D43" s="635"/>
      <c r="E43" s="21">
        <f t="shared" si="7"/>
        <v>1</v>
      </c>
      <c r="F43" s="635"/>
      <c r="G43" s="21">
        <f t="shared" si="8"/>
        <v>1</v>
      </c>
      <c r="H43" s="635"/>
      <c r="I43" s="21">
        <f t="shared" si="9"/>
        <v>1</v>
      </c>
      <c r="J43" s="635"/>
      <c r="K43" s="21">
        <f t="shared" si="10"/>
        <v>1</v>
      </c>
      <c r="L43" s="635"/>
      <c r="M43" s="21">
        <f t="shared" si="11"/>
        <v>1</v>
      </c>
      <c r="N43" s="635"/>
      <c r="O43" s="21">
        <f t="shared" si="12"/>
        <v>1</v>
      </c>
      <c r="P43" s="635"/>
      <c r="Q43" s="21">
        <f t="shared" si="13"/>
        <v>1</v>
      </c>
      <c r="R43" s="21">
        <f t="shared" ca="1" si="14"/>
        <v>25634</v>
      </c>
      <c r="S43" s="308">
        <f t="shared" ca="1" si="5"/>
        <v>59</v>
      </c>
    </row>
    <row r="44" spans="1:19">
      <c r="A44" s="633" t="str">
        <f>'12.23面积'!M22</f>
        <v>12-203</v>
      </c>
      <c r="B44" s="633">
        <f>'12.23面积'!N22</f>
        <v>22.9</v>
      </c>
      <c r="C44" s="21">
        <f t="shared" si="6"/>
        <v>1.01</v>
      </c>
      <c r="D44" s="635"/>
      <c r="E44" s="21">
        <f t="shared" si="7"/>
        <v>1</v>
      </c>
      <c r="F44" s="635"/>
      <c r="G44" s="21">
        <f t="shared" si="8"/>
        <v>1</v>
      </c>
      <c r="H44" s="635"/>
      <c r="I44" s="21">
        <f t="shared" si="9"/>
        <v>1</v>
      </c>
      <c r="J44" s="635"/>
      <c r="K44" s="21">
        <f t="shared" si="10"/>
        <v>1</v>
      </c>
      <c r="L44" s="635"/>
      <c r="M44" s="21">
        <f t="shared" si="11"/>
        <v>1</v>
      </c>
      <c r="N44" s="635"/>
      <c r="O44" s="21">
        <f t="shared" si="12"/>
        <v>1</v>
      </c>
      <c r="P44" s="635"/>
      <c r="Q44" s="21">
        <f t="shared" si="13"/>
        <v>1</v>
      </c>
      <c r="R44" s="21">
        <f t="shared" ca="1" si="14"/>
        <v>25634</v>
      </c>
      <c r="S44" s="308">
        <f t="shared" ca="1" si="5"/>
        <v>59</v>
      </c>
    </row>
    <row r="45" spans="1:19">
      <c r="A45" s="633" t="str">
        <f>'12.23面积'!M23</f>
        <v>12-204</v>
      </c>
      <c r="B45" s="633">
        <f>'12.23面积'!N23</f>
        <v>21.51</v>
      </c>
      <c r="C45" s="21">
        <f t="shared" si="6"/>
        <v>1.01</v>
      </c>
      <c r="D45" s="635"/>
      <c r="E45" s="21">
        <f t="shared" si="7"/>
        <v>1</v>
      </c>
      <c r="F45" s="635"/>
      <c r="G45" s="21">
        <f t="shared" si="8"/>
        <v>1</v>
      </c>
      <c r="H45" s="635"/>
      <c r="I45" s="21">
        <f t="shared" si="9"/>
        <v>1</v>
      </c>
      <c r="J45" s="635"/>
      <c r="K45" s="21">
        <f t="shared" si="10"/>
        <v>1</v>
      </c>
      <c r="L45" s="635"/>
      <c r="M45" s="21">
        <f t="shared" si="11"/>
        <v>1</v>
      </c>
      <c r="N45" s="635"/>
      <c r="O45" s="21">
        <f t="shared" si="12"/>
        <v>1</v>
      </c>
      <c r="P45" s="635"/>
      <c r="Q45" s="21">
        <f t="shared" si="13"/>
        <v>1</v>
      </c>
      <c r="R45" s="21">
        <f t="shared" ca="1" si="14"/>
        <v>25634</v>
      </c>
      <c r="S45" s="308">
        <f t="shared" ca="1" si="5"/>
        <v>55</v>
      </c>
    </row>
    <row r="46" spans="1:19">
      <c r="A46" s="633" t="str">
        <f>'12.23面积'!M24</f>
        <v>11-202</v>
      </c>
      <c r="B46" s="633">
        <f>'12.23面积'!N24</f>
        <v>30.17</v>
      </c>
      <c r="C46" s="21">
        <f t="shared" si="6"/>
        <v>1</v>
      </c>
      <c r="D46" s="635"/>
      <c r="E46" s="21">
        <f t="shared" si="7"/>
        <v>1</v>
      </c>
      <c r="F46" s="635"/>
      <c r="G46" s="21">
        <f t="shared" si="8"/>
        <v>1</v>
      </c>
      <c r="H46" s="635"/>
      <c r="I46" s="21">
        <f t="shared" si="9"/>
        <v>1</v>
      </c>
      <c r="J46" s="635"/>
      <c r="K46" s="21">
        <f t="shared" si="10"/>
        <v>1</v>
      </c>
      <c r="L46" s="635"/>
      <c r="M46" s="21">
        <f t="shared" si="11"/>
        <v>1</v>
      </c>
      <c r="N46" s="635"/>
      <c r="O46" s="21">
        <f t="shared" si="12"/>
        <v>1</v>
      </c>
      <c r="P46" s="635"/>
      <c r="Q46" s="21">
        <f t="shared" si="13"/>
        <v>1</v>
      </c>
      <c r="R46" s="21">
        <f t="shared" ca="1" si="14"/>
        <v>25380</v>
      </c>
      <c r="S46" s="308">
        <f t="shared" ca="1" si="5"/>
        <v>77</v>
      </c>
    </row>
    <row r="47" spans="1:19">
      <c r="A47" s="633" t="str">
        <f>'12.23面积'!M25</f>
        <v>14-106</v>
      </c>
      <c r="B47" s="633">
        <f>'12.23面积'!N25</f>
        <v>61.69</v>
      </c>
      <c r="C47" s="21">
        <f t="shared" si="6"/>
        <v>0.99</v>
      </c>
      <c r="D47" s="635"/>
      <c r="E47" s="21">
        <f t="shared" si="7"/>
        <v>1</v>
      </c>
      <c r="F47" s="635"/>
      <c r="G47" s="21">
        <f t="shared" si="8"/>
        <v>1</v>
      </c>
      <c r="H47" s="635"/>
      <c r="I47" s="21">
        <f t="shared" si="9"/>
        <v>1</v>
      </c>
      <c r="J47" s="635"/>
      <c r="K47" s="21">
        <f t="shared" si="10"/>
        <v>1</v>
      </c>
      <c r="L47" s="635"/>
      <c r="M47" s="21">
        <f t="shared" si="11"/>
        <v>1</v>
      </c>
      <c r="N47" s="635"/>
      <c r="O47" s="21">
        <f t="shared" si="12"/>
        <v>1</v>
      </c>
      <c r="P47" s="635"/>
      <c r="Q47" s="21">
        <f t="shared" si="13"/>
        <v>1</v>
      </c>
      <c r="R47" s="21">
        <f t="shared" ca="1" si="14"/>
        <v>25126</v>
      </c>
      <c r="S47" s="308">
        <f t="shared" ca="1" si="5"/>
        <v>155</v>
      </c>
    </row>
    <row r="48" spans="1:19">
      <c r="A48" s="633" t="str">
        <f>'12.23面积'!M26</f>
        <v>14-107</v>
      </c>
      <c r="B48" s="633">
        <f>'12.23面积'!N26</f>
        <v>62.66</v>
      </c>
      <c r="C48" s="21">
        <f t="shared" si="6"/>
        <v>0.99</v>
      </c>
      <c r="D48" s="635"/>
      <c r="E48" s="21">
        <f t="shared" si="7"/>
        <v>1</v>
      </c>
      <c r="F48" s="635"/>
      <c r="G48" s="21">
        <f t="shared" si="8"/>
        <v>1</v>
      </c>
      <c r="H48" s="635"/>
      <c r="I48" s="21">
        <f t="shared" si="9"/>
        <v>1</v>
      </c>
      <c r="J48" s="635"/>
      <c r="K48" s="21">
        <f t="shared" si="10"/>
        <v>1</v>
      </c>
      <c r="L48" s="635"/>
      <c r="M48" s="21">
        <f t="shared" si="11"/>
        <v>1</v>
      </c>
      <c r="N48" s="635"/>
      <c r="O48" s="21">
        <f t="shared" si="12"/>
        <v>1</v>
      </c>
      <c r="P48" s="635"/>
      <c r="Q48" s="21">
        <f t="shared" si="13"/>
        <v>1</v>
      </c>
      <c r="R48" s="21">
        <f t="shared" ca="1" si="14"/>
        <v>25126</v>
      </c>
      <c r="S48" s="308">
        <f t="shared" ca="1" si="5"/>
        <v>157</v>
      </c>
    </row>
    <row r="49" spans="1:19">
      <c r="A49" s="633" t="str">
        <f>'12.23面积'!M27</f>
        <v>14-108</v>
      </c>
      <c r="B49" s="633">
        <f>'12.23面积'!N27</f>
        <v>47.41</v>
      </c>
      <c r="C49" s="21">
        <f t="shared" si="6"/>
        <v>1</v>
      </c>
      <c r="D49" s="635"/>
      <c r="E49" s="21">
        <f t="shared" si="7"/>
        <v>1</v>
      </c>
      <c r="F49" s="635"/>
      <c r="G49" s="21">
        <f t="shared" si="8"/>
        <v>1</v>
      </c>
      <c r="H49" s="635"/>
      <c r="I49" s="21">
        <f t="shared" si="9"/>
        <v>1</v>
      </c>
      <c r="J49" s="635"/>
      <c r="K49" s="21">
        <f t="shared" si="10"/>
        <v>1</v>
      </c>
      <c r="L49" s="635"/>
      <c r="M49" s="21">
        <f t="shared" si="11"/>
        <v>1</v>
      </c>
      <c r="N49" s="635"/>
      <c r="O49" s="21">
        <f t="shared" si="12"/>
        <v>1</v>
      </c>
      <c r="P49" s="635"/>
      <c r="Q49" s="21">
        <f t="shared" si="13"/>
        <v>1</v>
      </c>
      <c r="R49" s="21">
        <f t="shared" ca="1" si="14"/>
        <v>25380</v>
      </c>
      <c r="S49" s="308">
        <f t="shared" ca="1" si="5"/>
        <v>120</v>
      </c>
    </row>
    <row r="50" spans="1:19">
      <c r="A50" s="633" t="str">
        <f>'12.23面积'!M28</f>
        <v>14-109</v>
      </c>
      <c r="B50" s="633">
        <f>'12.23面积'!N28</f>
        <v>42.6</v>
      </c>
      <c r="C50" s="21">
        <f t="shared" si="6"/>
        <v>1</v>
      </c>
      <c r="D50" s="635"/>
      <c r="E50" s="21">
        <f t="shared" si="7"/>
        <v>1</v>
      </c>
      <c r="F50" s="635"/>
      <c r="G50" s="21">
        <f t="shared" si="8"/>
        <v>1</v>
      </c>
      <c r="H50" s="635"/>
      <c r="I50" s="21">
        <f t="shared" si="9"/>
        <v>1</v>
      </c>
      <c r="J50" s="635"/>
      <c r="K50" s="21">
        <f t="shared" si="10"/>
        <v>1</v>
      </c>
      <c r="L50" s="635"/>
      <c r="M50" s="21">
        <f t="shared" si="11"/>
        <v>1</v>
      </c>
      <c r="N50" s="635"/>
      <c r="O50" s="21">
        <f t="shared" si="12"/>
        <v>1</v>
      </c>
      <c r="P50" s="635"/>
      <c r="Q50" s="21">
        <f t="shared" si="13"/>
        <v>1</v>
      </c>
      <c r="R50" s="21">
        <f t="shared" ca="1" si="14"/>
        <v>25380</v>
      </c>
      <c r="S50" s="308">
        <f t="shared" ca="1" si="5"/>
        <v>108</v>
      </c>
    </row>
    <row r="51" spans="1:19">
      <c r="A51" s="633" t="str">
        <f>'12.23面积'!M29</f>
        <v>14-202</v>
      </c>
      <c r="B51" s="633">
        <f>'12.23面积'!N29</f>
        <v>23.01</v>
      </c>
      <c r="C51" s="21">
        <f t="shared" si="6"/>
        <v>1.01</v>
      </c>
      <c r="D51" s="635"/>
      <c r="E51" s="21">
        <f t="shared" si="7"/>
        <v>1</v>
      </c>
      <c r="F51" s="635"/>
      <c r="G51" s="21">
        <f t="shared" si="8"/>
        <v>1</v>
      </c>
      <c r="H51" s="635"/>
      <c r="I51" s="21">
        <f t="shared" si="9"/>
        <v>1</v>
      </c>
      <c r="J51" s="635"/>
      <c r="K51" s="21">
        <f t="shared" si="10"/>
        <v>1</v>
      </c>
      <c r="L51" s="635"/>
      <c r="M51" s="21">
        <f t="shared" si="11"/>
        <v>1</v>
      </c>
      <c r="N51" s="635"/>
      <c r="O51" s="21">
        <f t="shared" si="12"/>
        <v>1</v>
      </c>
      <c r="P51" s="635"/>
      <c r="Q51" s="21">
        <f t="shared" si="13"/>
        <v>1</v>
      </c>
      <c r="R51" s="21">
        <f t="shared" ca="1" si="14"/>
        <v>25634</v>
      </c>
      <c r="S51" s="308">
        <f t="shared" ca="1" si="5"/>
        <v>59</v>
      </c>
    </row>
    <row r="52" spans="1:19">
      <c r="A52" s="633"/>
      <c r="B52" s="633"/>
      <c r="C52" s="21">
        <f t="shared" si="6"/>
        <v>1</v>
      </c>
      <c r="D52" s="635"/>
      <c r="E52" s="21">
        <f t="shared" si="7"/>
        <v>1</v>
      </c>
      <c r="F52" s="635"/>
      <c r="G52" s="21">
        <f t="shared" si="8"/>
        <v>1</v>
      </c>
      <c r="H52" s="635"/>
      <c r="I52" s="21">
        <f t="shared" si="9"/>
        <v>1</v>
      </c>
      <c r="J52" s="635"/>
      <c r="K52" s="21">
        <f t="shared" si="10"/>
        <v>1</v>
      </c>
      <c r="L52" s="635"/>
      <c r="M52" s="21">
        <f t="shared" si="11"/>
        <v>1</v>
      </c>
      <c r="N52" s="635"/>
      <c r="O52" s="21">
        <f t="shared" si="12"/>
        <v>1</v>
      </c>
      <c r="P52" s="635"/>
      <c r="Q52" s="21">
        <f t="shared" si="13"/>
        <v>1</v>
      </c>
      <c r="R52" s="21">
        <f t="shared" si="14"/>
        <v>0</v>
      </c>
      <c r="S52" s="308">
        <f t="shared" si="5"/>
        <v>0</v>
      </c>
    </row>
    <row r="53" spans="1:19">
      <c r="A53" s="633"/>
      <c r="B53" s="633"/>
      <c r="C53" s="21">
        <f t="shared" si="6"/>
        <v>1</v>
      </c>
      <c r="D53" s="635"/>
      <c r="E53" s="21">
        <f t="shared" si="7"/>
        <v>1</v>
      </c>
      <c r="F53" s="635"/>
      <c r="G53" s="21">
        <f t="shared" si="8"/>
        <v>1</v>
      </c>
      <c r="H53" s="635"/>
      <c r="I53" s="21">
        <f t="shared" si="9"/>
        <v>1</v>
      </c>
      <c r="J53" s="635"/>
      <c r="K53" s="21">
        <f t="shared" si="10"/>
        <v>1</v>
      </c>
      <c r="L53" s="635"/>
      <c r="M53" s="21">
        <f t="shared" si="11"/>
        <v>1</v>
      </c>
      <c r="N53" s="635"/>
      <c r="O53" s="21">
        <f t="shared" si="12"/>
        <v>1</v>
      </c>
      <c r="P53" s="635"/>
      <c r="Q53" s="21">
        <f t="shared" si="13"/>
        <v>1</v>
      </c>
      <c r="R53" s="21">
        <f t="shared" si="14"/>
        <v>0</v>
      </c>
      <c r="S53" s="308">
        <f t="shared" si="5"/>
        <v>0</v>
      </c>
    </row>
    <row r="54" spans="1:19">
      <c r="A54" s="633"/>
      <c r="B54" s="633"/>
      <c r="C54" s="21">
        <f t="shared" si="6"/>
        <v>1</v>
      </c>
      <c r="D54" s="635"/>
      <c r="E54" s="21">
        <f t="shared" si="7"/>
        <v>1</v>
      </c>
      <c r="F54" s="635"/>
      <c r="G54" s="21">
        <f t="shared" si="8"/>
        <v>1</v>
      </c>
      <c r="H54" s="635"/>
      <c r="I54" s="21">
        <f t="shared" si="9"/>
        <v>1</v>
      </c>
      <c r="J54" s="635"/>
      <c r="K54" s="21">
        <f t="shared" si="10"/>
        <v>1</v>
      </c>
      <c r="L54" s="635"/>
      <c r="M54" s="21">
        <f t="shared" si="11"/>
        <v>1</v>
      </c>
      <c r="N54" s="635"/>
      <c r="O54" s="21">
        <f t="shared" si="12"/>
        <v>1</v>
      </c>
      <c r="P54" s="635"/>
      <c r="Q54" s="21">
        <f t="shared" si="13"/>
        <v>1</v>
      </c>
      <c r="R54" s="21">
        <f t="shared" si="14"/>
        <v>0</v>
      </c>
      <c r="S54" s="308">
        <f t="shared" si="5"/>
        <v>0</v>
      </c>
    </row>
    <row r="55" spans="1:19">
      <c r="A55" s="633"/>
      <c r="B55" s="633"/>
      <c r="C55" s="21">
        <f t="shared" si="6"/>
        <v>1</v>
      </c>
      <c r="D55" s="635"/>
      <c r="E55" s="21">
        <f t="shared" si="7"/>
        <v>1</v>
      </c>
      <c r="F55" s="635"/>
      <c r="G55" s="21">
        <f t="shared" si="8"/>
        <v>1</v>
      </c>
      <c r="H55" s="635"/>
      <c r="I55" s="21">
        <f t="shared" si="9"/>
        <v>1</v>
      </c>
      <c r="J55" s="635"/>
      <c r="K55" s="21">
        <f t="shared" si="10"/>
        <v>1</v>
      </c>
      <c r="L55" s="635"/>
      <c r="M55" s="21">
        <f t="shared" si="11"/>
        <v>1</v>
      </c>
      <c r="N55" s="635"/>
      <c r="O55" s="21">
        <f t="shared" si="12"/>
        <v>1</v>
      </c>
      <c r="P55" s="635"/>
      <c r="Q55" s="21">
        <f t="shared" si="13"/>
        <v>1</v>
      </c>
      <c r="R55" s="21">
        <f t="shared" si="14"/>
        <v>0</v>
      </c>
      <c r="S55" s="308">
        <f t="shared" si="5"/>
        <v>0</v>
      </c>
    </row>
    <row r="56" spans="1:19">
      <c r="A56" s="633"/>
      <c r="B56" s="633"/>
      <c r="C56" s="21">
        <f t="shared" si="6"/>
        <v>1</v>
      </c>
      <c r="D56" s="635"/>
      <c r="E56" s="21">
        <f t="shared" si="7"/>
        <v>1</v>
      </c>
      <c r="F56" s="635"/>
      <c r="G56" s="21">
        <f t="shared" si="8"/>
        <v>1</v>
      </c>
      <c r="H56" s="635"/>
      <c r="I56" s="21">
        <f t="shared" si="9"/>
        <v>1</v>
      </c>
      <c r="J56" s="635"/>
      <c r="K56" s="21">
        <f t="shared" si="10"/>
        <v>1</v>
      </c>
      <c r="L56" s="635"/>
      <c r="M56" s="21">
        <f t="shared" si="11"/>
        <v>1</v>
      </c>
      <c r="N56" s="635"/>
      <c r="O56" s="21">
        <f t="shared" si="12"/>
        <v>1</v>
      </c>
      <c r="P56" s="635"/>
      <c r="Q56" s="21">
        <f t="shared" si="13"/>
        <v>1</v>
      </c>
      <c r="R56" s="21">
        <f t="shared" si="14"/>
        <v>0</v>
      </c>
      <c r="S56" s="308">
        <f t="shared" si="5"/>
        <v>0</v>
      </c>
    </row>
    <row r="57" spans="1:19">
      <c r="A57" s="633"/>
      <c r="B57" s="633"/>
      <c r="C57" s="21">
        <f t="shared" si="6"/>
        <v>1</v>
      </c>
      <c r="D57" s="635"/>
      <c r="E57" s="21">
        <f t="shared" si="7"/>
        <v>1</v>
      </c>
      <c r="F57" s="635"/>
      <c r="G57" s="21">
        <f t="shared" si="8"/>
        <v>1</v>
      </c>
      <c r="H57" s="635"/>
      <c r="I57" s="21">
        <f t="shared" si="9"/>
        <v>1</v>
      </c>
      <c r="J57" s="635"/>
      <c r="K57" s="21">
        <f t="shared" si="10"/>
        <v>1</v>
      </c>
      <c r="L57" s="635"/>
      <c r="M57" s="21">
        <f t="shared" si="11"/>
        <v>1</v>
      </c>
      <c r="N57" s="635"/>
      <c r="O57" s="21">
        <f t="shared" si="12"/>
        <v>1</v>
      </c>
      <c r="P57" s="635"/>
      <c r="Q57" s="21">
        <f t="shared" si="13"/>
        <v>1</v>
      </c>
      <c r="R57" s="21">
        <f t="shared" si="14"/>
        <v>0</v>
      </c>
      <c r="S57" s="308">
        <f t="shared" si="5"/>
        <v>0</v>
      </c>
    </row>
    <row r="58" spans="1:19">
      <c r="A58" s="633"/>
      <c r="B58" s="633"/>
      <c r="C58" s="21">
        <f t="shared" si="6"/>
        <v>1</v>
      </c>
      <c r="D58" s="635"/>
      <c r="E58" s="21">
        <f t="shared" si="7"/>
        <v>1</v>
      </c>
      <c r="F58" s="635"/>
      <c r="G58" s="21">
        <f t="shared" si="8"/>
        <v>1</v>
      </c>
      <c r="H58" s="635"/>
      <c r="I58" s="21">
        <f t="shared" si="9"/>
        <v>1</v>
      </c>
      <c r="J58" s="635"/>
      <c r="K58" s="21">
        <f t="shared" si="10"/>
        <v>1</v>
      </c>
      <c r="L58" s="635"/>
      <c r="M58" s="21">
        <f t="shared" si="11"/>
        <v>1</v>
      </c>
      <c r="N58" s="635"/>
      <c r="O58" s="21">
        <f t="shared" si="12"/>
        <v>1</v>
      </c>
      <c r="P58" s="635"/>
      <c r="Q58" s="21">
        <f t="shared" si="13"/>
        <v>1</v>
      </c>
      <c r="R58" s="21">
        <f t="shared" si="14"/>
        <v>0</v>
      </c>
      <c r="S58" s="308">
        <f t="shared" si="5"/>
        <v>0</v>
      </c>
    </row>
    <row r="59" spans="1:19">
      <c r="A59" s="633"/>
      <c r="B59" s="633"/>
      <c r="C59" s="21">
        <f t="shared" si="6"/>
        <v>1</v>
      </c>
      <c r="D59" s="635"/>
      <c r="E59" s="21">
        <f t="shared" si="7"/>
        <v>1</v>
      </c>
      <c r="F59" s="635"/>
      <c r="G59" s="21">
        <f t="shared" si="8"/>
        <v>1</v>
      </c>
      <c r="H59" s="635"/>
      <c r="I59" s="21">
        <f t="shared" si="9"/>
        <v>1</v>
      </c>
      <c r="J59" s="635"/>
      <c r="K59" s="21">
        <f t="shared" si="10"/>
        <v>1</v>
      </c>
      <c r="L59" s="635"/>
      <c r="M59" s="21">
        <f t="shared" si="11"/>
        <v>1</v>
      </c>
      <c r="N59" s="635"/>
      <c r="O59" s="21">
        <f t="shared" si="12"/>
        <v>1</v>
      </c>
      <c r="P59" s="635"/>
      <c r="Q59" s="21">
        <f t="shared" si="13"/>
        <v>1</v>
      </c>
      <c r="R59" s="21">
        <f t="shared" si="14"/>
        <v>0</v>
      </c>
      <c r="S59" s="308">
        <f t="shared" si="5"/>
        <v>0</v>
      </c>
    </row>
    <row r="60" spans="1:19">
      <c r="A60" s="633"/>
      <c r="B60" s="633"/>
      <c r="C60" s="21">
        <f t="shared" si="6"/>
        <v>1</v>
      </c>
      <c r="D60" s="635"/>
      <c r="E60" s="21">
        <f t="shared" si="7"/>
        <v>1</v>
      </c>
      <c r="F60" s="635"/>
      <c r="G60" s="21">
        <f t="shared" si="8"/>
        <v>1</v>
      </c>
      <c r="H60" s="635"/>
      <c r="I60" s="21">
        <f t="shared" si="9"/>
        <v>1</v>
      </c>
      <c r="J60" s="635"/>
      <c r="K60" s="21">
        <f t="shared" si="10"/>
        <v>1</v>
      </c>
      <c r="L60" s="635"/>
      <c r="M60" s="21">
        <f t="shared" si="11"/>
        <v>1</v>
      </c>
      <c r="N60" s="635"/>
      <c r="O60" s="21">
        <f t="shared" si="12"/>
        <v>1</v>
      </c>
      <c r="P60" s="635"/>
      <c r="Q60" s="21">
        <f t="shared" si="13"/>
        <v>1</v>
      </c>
      <c r="R60" s="21">
        <f t="shared" si="14"/>
        <v>0</v>
      </c>
      <c r="S60" s="308">
        <f t="shared" si="5"/>
        <v>0</v>
      </c>
    </row>
    <row r="61" spans="1:19">
      <c r="A61" s="633"/>
      <c r="B61" s="633"/>
      <c r="C61" s="21">
        <f t="shared" si="6"/>
        <v>1</v>
      </c>
      <c r="D61" s="635"/>
      <c r="E61" s="21">
        <f t="shared" si="7"/>
        <v>1</v>
      </c>
      <c r="F61" s="635"/>
      <c r="G61" s="21">
        <f t="shared" si="8"/>
        <v>1</v>
      </c>
      <c r="H61" s="635"/>
      <c r="I61" s="21">
        <f t="shared" si="9"/>
        <v>1</v>
      </c>
      <c r="J61" s="635"/>
      <c r="K61" s="21">
        <f t="shared" si="10"/>
        <v>1</v>
      </c>
      <c r="L61" s="635"/>
      <c r="M61" s="21">
        <f t="shared" si="11"/>
        <v>1</v>
      </c>
      <c r="N61" s="635"/>
      <c r="O61" s="21">
        <f t="shared" si="12"/>
        <v>1</v>
      </c>
      <c r="P61" s="635"/>
      <c r="Q61" s="21">
        <f t="shared" si="13"/>
        <v>1</v>
      </c>
      <c r="R61" s="21">
        <f t="shared" si="14"/>
        <v>0</v>
      </c>
      <c r="S61" s="308">
        <f t="shared" si="5"/>
        <v>0</v>
      </c>
    </row>
    <row r="62" spans="1:19">
      <c r="A62" s="633"/>
      <c r="B62" s="633"/>
      <c r="C62" s="21">
        <f t="shared" si="6"/>
        <v>1</v>
      </c>
      <c r="D62" s="635"/>
      <c r="E62" s="21">
        <f t="shared" si="7"/>
        <v>1</v>
      </c>
      <c r="F62" s="635"/>
      <c r="G62" s="21">
        <f t="shared" si="8"/>
        <v>1</v>
      </c>
      <c r="H62" s="635"/>
      <c r="I62" s="21">
        <f t="shared" si="9"/>
        <v>1</v>
      </c>
      <c r="J62" s="635"/>
      <c r="K62" s="21">
        <f t="shared" si="10"/>
        <v>1</v>
      </c>
      <c r="L62" s="635"/>
      <c r="M62" s="21">
        <f t="shared" si="11"/>
        <v>1</v>
      </c>
      <c r="N62" s="635"/>
      <c r="O62" s="21">
        <f t="shared" si="12"/>
        <v>1</v>
      </c>
      <c r="P62" s="635"/>
      <c r="Q62" s="21">
        <f t="shared" si="13"/>
        <v>1</v>
      </c>
      <c r="R62" s="21">
        <f t="shared" si="14"/>
        <v>0</v>
      </c>
      <c r="S62" s="308">
        <f t="shared" si="5"/>
        <v>0</v>
      </c>
    </row>
    <row r="63" spans="1:19">
      <c r="A63" s="633"/>
      <c r="B63" s="633"/>
      <c r="C63" s="21">
        <f t="shared" si="6"/>
        <v>1</v>
      </c>
      <c r="D63" s="635"/>
      <c r="E63" s="21">
        <f t="shared" si="7"/>
        <v>1</v>
      </c>
      <c r="F63" s="635"/>
      <c r="G63" s="21">
        <f t="shared" si="8"/>
        <v>1</v>
      </c>
      <c r="H63" s="635"/>
      <c r="I63" s="21">
        <f t="shared" si="9"/>
        <v>1</v>
      </c>
      <c r="J63" s="635"/>
      <c r="K63" s="21">
        <f t="shared" si="10"/>
        <v>1</v>
      </c>
      <c r="L63" s="635"/>
      <c r="M63" s="21">
        <f t="shared" si="11"/>
        <v>1</v>
      </c>
      <c r="N63" s="635"/>
      <c r="O63" s="21">
        <f t="shared" si="12"/>
        <v>1</v>
      </c>
      <c r="P63" s="635"/>
      <c r="Q63" s="21">
        <f t="shared" si="13"/>
        <v>1</v>
      </c>
      <c r="R63" s="21">
        <f t="shared" si="14"/>
        <v>0</v>
      </c>
      <c r="S63" s="308">
        <f t="shared" si="5"/>
        <v>0</v>
      </c>
    </row>
    <row r="64" spans="1:19">
      <c r="A64" s="633"/>
      <c r="B64" s="633"/>
      <c r="C64" s="21">
        <f t="shared" si="6"/>
        <v>1</v>
      </c>
      <c r="D64" s="635"/>
      <c r="E64" s="21">
        <f t="shared" si="7"/>
        <v>1</v>
      </c>
      <c r="F64" s="635"/>
      <c r="G64" s="21">
        <f t="shared" si="8"/>
        <v>1</v>
      </c>
      <c r="H64" s="635"/>
      <c r="I64" s="21">
        <f t="shared" si="9"/>
        <v>1</v>
      </c>
      <c r="J64" s="635"/>
      <c r="K64" s="21">
        <f t="shared" si="10"/>
        <v>1</v>
      </c>
      <c r="L64" s="635"/>
      <c r="M64" s="21">
        <f t="shared" si="11"/>
        <v>1</v>
      </c>
      <c r="N64" s="635"/>
      <c r="O64" s="21">
        <f t="shared" si="12"/>
        <v>1</v>
      </c>
      <c r="P64" s="635"/>
      <c r="Q64" s="21">
        <f t="shared" si="13"/>
        <v>1</v>
      </c>
      <c r="R64" s="21">
        <f t="shared" si="14"/>
        <v>0</v>
      </c>
      <c r="S64" s="308">
        <f t="shared" si="5"/>
        <v>0</v>
      </c>
    </row>
    <row r="65" spans="1:19">
      <c r="A65" s="633"/>
      <c r="B65" s="633"/>
      <c r="C65" s="21">
        <f t="shared" si="6"/>
        <v>1</v>
      </c>
      <c r="D65" s="635"/>
      <c r="E65" s="21">
        <f t="shared" si="7"/>
        <v>1</v>
      </c>
      <c r="F65" s="635"/>
      <c r="G65" s="21">
        <f t="shared" si="8"/>
        <v>1</v>
      </c>
      <c r="H65" s="635"/>
      <c r="I65" s="21">
        <f t="shared" si="9"/>
        <v>1</v>
      </c>
      <c r="J65" s="635"/>
      <c r="K65" s="21">
        <f t="shared" si="10"/>
        <v>1</v>
      </c>
      <c r="L65" s="635"/>
      <c r="M65" s="21">
        <f t="shared" si="11"/>
        <v>1</v>
      </c>
      <c r="N65" s="635"/>
      <c r="O65" s="21">
        <f t="shared" si="12"/>
        <v>1</v>
      </c>
      <c r="P65" s="635"/>
      <c r="Q65" s="21">
        <f t="shared" si="13"/>
        <v>1</v>
      </c>
      <c r="R65" s="21">
        <f t="shared" si="14"/>
        <v>0</v>
      </c>
      <c r="S65" s="308">
        <f t="shared" si="5"/>
        <v>0</v>
      </c>
    </row>
    <row r="66" spans="1:19">
      <c r="A66" s="633"/>
      <c r="B66" s="633"/>
      <c r="C66" s="21">
        <f t="shared" si="6"/>
        <v>1</v>
      </c>
      <c r="D66" s="635"/>
      <c r="E66" s="21">
        <f t="shared" si="7"/>
        <v>1</v>
      </c>
      <c r="F66" s="635"/>
      <c r="G66" s="21">
        <f t="shared" si="8"/>
        <v>1</v>
      </c>
      <c r="H66" s="635"/>
      <c r="I66" s="21">
        <f t="shared" si="9"/>
        <v>1</v>
      </c>
      <c r="J66" s="635"/>
      <c r="K66" s="21">
        <f t="shared" si="10"/>
        <v>1</v>
      </c>
      <c r="L66" s="635"/>
      <c r="M66" s="21">
        <f t="shared" si="11"/>
        <v>1</v>
      </c>
      <c r="N66" s="635"/>
      <c r="O66" s="21">
        <f t="shared" si="12"/>
        <v>1</v>
      </c>
      <c r="P66" s="635"/>
      <c r="Q66" s="21">
        <f t="shared" si="13"/>
        <v>1</v>
      </c>
      <c r="R66" s="21">
        <f t="shared" si="14"/>
        <v>0</v>
      </c>
      <c r="S66" s="308">
        <f t="shared" si="5"/>
        <v>0</v>
      </c>
    </row>
    <row r="67" spans="1:19">
      <c r="A67" s="142"/>
      <c r="B67" s="52"/>
      <c r="C67" s="21">
        <f t="shared" si="6"/>
        <v>1</v>
      </c>
      <c r="D67" s="635"/>
      <c r="E67" s="21">
        <f t="shared" si="7"/>
        <v>1</v>
      </c>
      <c r="F67" s="635"/>
      <c r="G67" s="21">
        <f t="shared" si="8"/>
        <v>1</v>
      </c>
      <c r="H67" s="635"/>
      <c r="I67" s="21">
        <f t="shared" si="9"/>
        <v>1</v>
      </c>
      <c r="J67" s="635"/>
      <c r="K67" s="21">
        <f t="shared" si="10"/>
        <v>1</v>
      </c>
      <c r="L67" s="635"/>
      <c r="M67" s="21">
        <f t="shared" si="11"/>
        <v>1</v>
      </c>
      <c r="N67" s="635"/>
      <c r="O67" s="21">
        <f t="shared" si="12"/>
        <v>1</v>
      </c>
      <c r="P67" s="635"/>
      <c r="Q67" s="21">
        <f t="shared" si="13"/>
        <v>1</v>
      </c>
      <c r="R67" s="21">
        <f t="shared" si="14"/>
        <v>0</v>
      </c>
      <c r="S67" s="308">
        <f t="shared" si="5"/>
        <v>0</v>
      </c>
    </row>
    <row r="68" spans="1:19">
      <c r="A68" s="142"/>
      <c r="B68" s="52"/>
      <c r="C68" s="21">
        <f t="shared" si="6"/>
        <v>1</v>
      </c>
      <c r="D68" s="635"/>
      <c r="E68" s="21">
        <f t="shared" si="7"/>
        <v>1</v>
      </c>
      <c r="F68" s="635"/>
      <c r="G68" s="21">
        <f t="shared" si="8"/>
        <v>1</v>
      </c>
      <c r="H68" s="635"/>
      <c r="I68" s="21">
        <f t="shared" si="9"/>
        <v>1</v>
      </c>
      <c r="J68" s="635"/>
      <c r="K68" s="21">
        <f t="shared" si="10"/>
        <v>1</v>
      </c>
      <c r="L68" s="635"/>
      <c r="M68" s="21">
        <f t="shared" si="11"/>
        <v>1</v>
      </c>
      <c r="N68" s="635"/>
      <c r="O68" s="21">
        <f t="shared" si="12"/>
        <v>1</v>
      </c>
      <c r="P68" s="635"/>
      <c r="Q68" s="21">
        <f t="shared" si="13"/>
        <v>1</v>
      </c>
      <c r="R68" s="21">
        <f t="shared" si="14"/>
        <v>0</v>
      </c>
      <c r="S68" s="308">
        <f t="shared" si="5"/>
        <v>0</v>
      </c>
    </row>
    <row r="69" spans="1:19">
      <c r="A69" s="142"/>
      <c r="B69" s="52"/>
      <c r="C69" s="21">
        <f t="shared" si="6"/>
        <v>1</v>
      </c>
      <c r="D69" s="635"/>
      <c r="E69" s="21">
        <f t="shared" si="7"/>
        <v>1</v>
      </c>
      <c r="F69" s="635"/>
      <c r="G69" s="21">
        <f t="shared" si="8"/>
        <v>1</v>
      </c>
      <c r="H69" s="635"/>
      <c r="I69" s="21">
        <f t="shared" si="9"/>
        <v>1</v>
      </c>
      <c r="J69" s="635"/>
      <c r="K69" s="21">
        <f t="shared" si="10"/>
        <v>1</v>
      </c>
      <c r="L69" s="635"/>
      <c r="M69" s="21">
        <f t="shared" si="11"/>
        <v>1</v>
      </c>
      <c r="N69" s="635"/>
      <c r="O69" s="21">
        <f t="shared" si="12"/>
        <v>1</v>
      </c>
      <c r="P69" s="635"/>
      <c r="Q69" s="21">
        <f t="shared" si="13"/>
        <v>1</v>
      </c>
      <c r="R69" s="21">
        <f t="shared" si="14"/>
        <v>0</v>
      </c>
      <c r="S69" s="308">
        <f t="shared" si="5"/>
        <v>0</v>
      </c>
    </row>
    <row r="70" spans="1:19">
      <c r="A70" s="142"/>
      <c r="B70" s="52"/>
      <c r="C70" s="21">
        <f t="shared" si="6"/>
        <v>1</v>
      </c>
      <c r="D70" s="635"/>
      <c r="E70" s="21">
        <f t="shared" si="7"/>
        <v>1</v>
      </c>
      <c r="F70" s="635"/>
      <c r="G70" s="21">
        <f t="shared" si="8"/>
        <v>1</v>
      </c>
      <c r="H70" s="635"/>
      <c r="I70" s="21">
        <f t="shared" si="9"/>
        <v>1</v>
      </c>
      <c r="J70" s="635"/>
      <c r="K70" s="21">
        <f t="shared" si="10"/>
        <v>1</v>
      </c>
      <c r="L70" s="635"/>
      <c r="M70" s="21">
        <f t="shared" si="11"/>
        <v>1</v>
      </c>
      <c r="N70" s="635"/>
      <c r="O70" s="21">
        <f t="shared" si="12"/>
        <v>1</v>
      </c>
      <c r="P70" s="635"/>
      <c r="Q70" s="21">
        <f t="shared" si="13"/>
        <v>1</v>
      </c>
      <c r="R70" s="21">
        <f t="shared" si="14"/>
        <v>0</v>
      </c>
      <c r="S70" s="308">
        <f t="shared" si="5"/>
        <v>0</v>
      </c>
    </row>
    <row r="71" spans="1:19">
      <c r="A71" s="142"/>
      <c r="B71" s="52"/>
      <c r="C71" s="21">
        <f t="shared" si="6"/>
        <v>1</v>
      </c>
      <c r="D71" s="635"/>
      <c r="E71" s="21">
        <f t="shared" si="7"/>
        <v>1</v>
      </c>
      <c r="F71" s="635"/>
      <c r="G71" s="21">
        <f t="shared" si="8"/>
        <v>1</v>
      </c>
      <c r="H71" s="635"/>
      <c r="I71" s="21">
        <f t="shared" si="9"/>
        <v>1</v>
      </c>
      <c r="J71" s="635"/>
      <c r="K71" s="21">
        <f t="shared" si="10"/>
        <v>1</v>
      </c>
      <c r="L71" s="635"/>
      <c r="M71" s="21">
        <f t="shared" si="11"/>
        <v>1</v>
      </c>
      <c r="N71" s="635"/>
      <c r="O71" s="21">
        <f t="shared" si="12"/>
        <v>1</v>
      </c>
      <c r="P71" s="635"/>
      <c r="Q71" s="21">
        <f t="shared" si="13"/>
        <v>1</v>
      </c>
      <c r="R71" s="21">
        <f t="shared" si="14"/>
        <v>0</v>
      </c>
      <c r="S71" s="308">
        <f t="shared" si="5"/>
        <v>0</v>
      </c>
    </row>
    <row r="72" spans="1:19">
      <c r="A72" s="142"/>
      <c r="B72" s="52"/>
      <c r="C72" s="21">
        <f t="shared" si="6"/>
        <v>1</v>
      </c>
      <c r="D72" s="635"/>
      <c r="E72" s="21">
        <f t="shared" si="7"/>
        <v>1</v>
      </c>
      <c r="F72" s="635"/>
      <c r="G72" s="21">
        <f t="shared" si="8"/>
        <v>1</v>
      </c>
      <c r="H72" s="635"/>
      <c r="I72" s="21">
        <f t="shared" si="9"/>
        <v>1</v>
      </c>
      <c r="J72" s="635"/>
      <c r="K72" s="21">
        <f t="shared" si="10"/>
        <v>1</v>
      </c>
      <c r="L72" s="635"/>
      <c r="M72" s="21">
        <f t="shared" si="11"/>
        <v>1</v>
      </c>
      <c r="N72" s="635"/>
      <c r="O72" s="21">
        <f t="shared" si="12"/>
        <v>1</v>
      </c>
      <c r="P72" s="635"/>
      <c r="Q72" s="21">
        <f t="shared" si="13"/>
        <v>1</v>
      </c>
      <c r="R72" s="21">
        <f t="shared" si="14"/>
        <v>0</v>
      </c>
      <c r="S72" s="308">
        <f t="shared" si="5"/>
        <v>0</v>
      </c>
    </row>
    <row r="73" spans="1:19">
      <c r="A73" s="142"/>
      <c r="B73" s="52"/>
      <c r="C73" s="21">
        <f t="shared" si="6"/>
        <v>1</v>
      </c>
      <c r="D73" s="635"/>
      <c r="E73" s="21">
        <f t="shared" si="7"/>
        <v>1</v>
      </c>
      <c r="F73" s="635"/>
      <c r="G73" s="21">
        <f t="shared" si="8"/>
        <v>1</v>
      </c>
      <c r="H73" s="635"/>
      <c r="I73" s="21">
        <f t="shared" si="9"/>
        <v>1</v>
      </c>
      <c r="J73" s="635"/>
      <c r="K73" s="21">
        <f t="shared" si="10"/>
        <v>1</v>
      </c>
      <c r="L73" s="635"/>
      <c r="M73" s="21">
        <f t="shared" si="11"/>
        <v>1</v>
      </c>
      <c r="N73" s="635"/>
      <c r="O73" s="21">
        <f t="shared" si="12"/>
        <v>1</v>
      </c>
      <c r="P73" s="635"/>
      <c r="Q73" s="21">
        <f t="shared" si="13"/>
        <v>1</v>
      </c>
      <c r="R73" s="21">
        <f t="shared" si="14"/>
        <v>0</v>
      </c>
      <c r="S73" s="308">
        <f t="shared" si="5"/>
        <v>0</v>
      </c>
    </row>
    <row r="74" spans="1:19">
      <c r="A74" s="142"/>
      <c r="B74" s="52"/>
      <c r="C74" s="21">
        <f t="shared" si="6"/>
        <v>1</v>
      </c>
      <c r="D74" s="635"/>
      <c r="E74" s="21">
        <f t="shared" si="7"/>
        <v>1</v>
      </c>
      <c r="F74" s="635"/>
      <c r="G74" s="21">
        <f t="shared" si="8"/>
        <v>1</v>
      </c>
      <c r="H74" s="635"/>
      <c r="I74" s="21">
        <f t="shared" si="9"/>
        <v>1</v>
      </c>
      <c r="J74" s="635"/>
      <c r="K74" s="21">
        <f t="shared" si="10"/>
        <v>1</v>
      </c>
      <c r="L74" s="635"/>
      <c r="M74" s="21">
        <f t="shared" si="11"/>
        <v>1</v>
      </c>
      <c r="N74" s="635"/>
      <c r="O74" s="21">
        <f t="shared" si="12"/>
        <v>1</v>
      </c>
      <c r="P74" s="635"/>
      <c r="Q74" s="21">
        <f t="shared" si="13"/>
        <v>1</v>
      </c>
      <c r="R74" s="21">
        <f t="shared" si="14"/>
        <v>0</v>
      </c>
      <c r="S74" s="308">
        <f t="shared" si="5"/>
        <v>0</v>
      </c>
    </row>
    <row r="75" spans="1:19">
      <c r="A75" s="142"/>
      <c r="B75" s="52"/>
      <c r="C75" s="21">
        <f t="shared" si="6"/>
        <v>1</v>
      </c>
      <c r="D75" s="635"/>
      <c r="E75" s="21">
        <f t="shared" si="7"/>
        <v>1</v>
      </c>
      <c r="F75" s="635"/>
      <c r="G75" s="21">
        <f t="shared" si="8"/>
        <v>1</v>
      </c>
      <c r="H75" s="635"/>
      <c r="I75" s="21">
        <f t="shared" si="9"/>
        <v>1</v>
      </c>
      <c r="J75" s="635"/>
      <c r="K75" s="21">
        <f t="shared" si="10"/>
        <v>1</v>
      </c>
      <c r="L75" s="635"/>
      <c r="M75" s="21">
        <f t="shared" si="11"/>
        <v>1</v>
      </c>
      <c r="N75" s="635"/>
      <c r="O75" s="21">
        <f t="shared" si="12"/>
        <v>1</v>
      </c>
      <c r="P75" s="635"/>
      <c r="Q75" s="21">
        <f t="shared" si="13"/>
        <v>1</v>
      </c>
      <c r="R75" s="21">
        <f t="shared" si="14"/>
        <v>0</v>
      </c>
      <c r="S75" s="308">
        <f t="shared" si="5"/>
        <v>0</v>
      </c>
    </row>
    <row r="76" spans="1:19">
      <c r="A76" s="142"/>
      <c r="B76" s="52"/>
      <c r="C76" s="21">
        <f t="shared" si="6"/>
        <v>1</v>
      </c>
      <c r="D76" s="635"/>
      <c r="E76" s="21">
        <f t="shared" si="7"/>
        <v>1</v>
      </c>
      <c r="F76" s="635"/>
      <c r="G76" s="21">
        <f t="shared" si="8"/>
        <v>1</v>
      </c>
      <c r="H76" s="635"/>
      <c r="I76" s="21">
        <f t="shared" si="9"/>
        <v>1</v>
      </c>
      <c r="J76" s="635"/>
      <c r="K76" s="21">
        <f t="shared" si="10"/>
        <v>1</v>
      </c>
      <c r="L76" s="635"/>
      <c r="M76" s="21">
        <f t="shared" si="11"/>
        <v>1</v>
      </c>
      <c r="N76" s="635"/>
      <c r="O76" s="21">
        <f t="shared" si="12"/>
        <v>1</v>
      </c>
      <c r="P76" s="635"/>
      <c r="Q76" s="21">
        <f t="shared" si="13"/>
        <v>1</v>
      </c>
      <c r="R76" s="21">
        <f t="shared" si="14"/>
        <v>0</v>
      </c>
      <c r="S76" s="308">
        <f t="shared" si="5"/>
        <v>0</v>
      </c>
    </row>
    <row r="77" spans="1:19">
      <c r="A77" s="142"/>
      <c r="B77" s="52"/>
      <c r="C77" s="21">
        <f t="shared" si="6"/>
        <v>1</v>
      </c>
      <c r="D77" s="635"/>
      <c r="E77" s="21">
        <f t="shared" si="7"/>
        <v>1</v>
      </c>
      <c r="F77" s="635"/>
      <c r="G77" s="21">
        <f t="shared" si="8"/>
        <v>1</v>
      </c>
      <c r="H77" s="635"/>
      <c r="I77" s="21">
        <f t="shared" si="9"/>
        <v>1</v>
      </c>
      <c r="J77" s="635"/>
      <c r="K77" s="21">
        <f t="shared" si="10"/>
        <v>1</v>
      </c>
      <c r="L77" s="635"/>
      <c r="M77" s="21">
        <f t="shared" si="11"/>
        <v>1</v>
      </c>
      <c r="N77" s="635"/>
      <c r="O77" s="21">
        <f t="shared" si="12"/>
        <v>1</v>
      </c>
      <c r="P77" s="635"/>
      <c r="Q77" s="21">
        <f t="shared" si="13"/>
        <v>1</v>
      </c>
      <c r="R77" s="21">
        <f t="shared" si="14"/>
        <v>0</v>
      </c>
      <c r="S77" s="308">
        <f t="shared" si="5"/>
        <v>0</v>
      </c>
    </row>
    <row r="78" spans="1:19">
      <c r="A78" s="142"/>
      <c r="B78" s="52"/>
      <c r="C78" s="21">
        <f t="shared" si="6"/>
        <v>1</v>
      </c>
      <c r="D78" s="635"/>
      <c r="E78" s="21">
        <f t="shared" si="7"/>
        <v>1</v>
      </c>
      <c r="F78" s="635"/>
      <c r="G78" s="21">
        <f t="shared" si="8"/>
        <v>1</v>
      </c>
      <c r="H78" s="635"/>
      <c r="I78" s="21">
        <f t="shared" si="9"/>
        <v>1</v>
      </c>
      <c r="J78" s="635"/>
      <c r="K78" s="21">
        <f t="shared" si="10"/>
        <v>1</v>
      </c>
      <c r="L78" s="635"/>
      <c r="M78" s="21">
        <f t="shared" si="11"/>
        <v>1</v>
      </c>
      <c r="N78" s="635"/>
      <c r="O78" s="21">
        <f t="shared" si="12"/>
        <v>1</v>
      </c>
      <c r="P78" s="635"/>
      <c r="Q78" s="21">
        <f t="shared" si="13"/>
        <v>1</v>
      </c>
      <c r="R78" s="21">
        <f t="shared" si="14"/>
        <v>0</v>
      </c>
      <c r="S78" s="308">
        <f t="shared" si="5"/>
        <v>0</v>
      </c>
    </row>
    <row r="79" spans="1:19">
      <c r="A79" s="142"/>
      <c r="B79" s="52"/>
      <c r="C79" s="21">
        <f t="shared" si="6"/>
        <v>1</v>
      </c>
      <c r="D79" s="635"/>
      <c r="E79" s="21">
        <f t="shared" si="7"/>
        <v>1</v>
      </c>
      <c r="F79" s="635"/>
      <c r="G79" s="21">
        <f t="shared" si="8"/>
        <v>1</v>
      </c>
      <c r="H79" s="635"/>
      <c r="I79" s="21">
        <f t="shared" si="9"/>
        <v>1</v>
      </c>
      <c r="J79" s="635"/>
      <c r="K79" s="21">
        <f t="shared" si="10"/>
        <v>1</v>
      </c>
      <c r="L79" s="635"/>
      <c r="M79" s="21">
        <f t="shared" si="11"/>
        <v>1</v>
      </c>
      <c r="N79" s="635"/>
      <c r="O79" s="21">
        <f t="shared" si="12"/>
        <v>1</v>
      </c>
      <c r="P79" s="635"/>
      <c r="Q79" s="21">
        <f t="shared" si="13"/>
        <v>1</v>
      </c>
      <c r="R79" s="21">
        <f t="shared" si="14"/>
        <v>0</v>
      </c>
      <c r="S79" s="308">
        <f t="shared" si="5"/>
        <v>0</v>
      </c>
    </row>
    <row r="80" spans="1:19">
      <c r="A80" s="142"/>
      <c r="B80" s="52"/>
      <c r="C80" s="21">
        <f t="shared" si="6"/>
        <v>1</v>
      </c>
      <c r="D80" s="635"/>
      <c r="E80" s="21">
        <f t="shared" si="7"/>
        <v>1</v>
      </c>
      <c r="F80" s="635"/>
      <c r="G80" s="21">
        <f t="shared" si="8"/>
        <v>1</v>
      </c>
      <c r="H80" s="635"/>
      <c r="I80" s="21">
        <f t="shared" si="9"/>
        <v>1</v>
      </c>
      <c r="J80" s="635"/>
      <c r="K80" s="21">
        <f t="shared" si="10"/>
        <v>1</v>
      </c>
      <c r="L80" s="635"/>
      <c r="M80" s="21">
        <f t="shared" si="11"/>
        <v>1</v>
      </c>
      <c r="N80" s="635"/>
      <c r="O80" s="21">
        <f t="shared" si="12"/>
        <v>1</v>
      </c>
      <c r="P80" s="635"/>
      <c r="Q80" s="21">
        <f t="shared" si="13"/>
        <v>1</v>
      </c>
      <c r="R80" s="21">
        <f t="shared" si="14"/>
        <v>0</v>
      </c>
      <c r="S80" s="308">
        <f t="shared" si="5"/>
        <v>0</v>
      </c>
    </row>
    <row r="81" spans="1:19">
      <c r="A81" s="142"/>
      <c r="B81" s="52"/>
      <c r="C81" s="21">
        <f t="shared" si="6"/>
        <v>1</v>
      </c>
      <c r="D81" s="635"/>
      <c r="E81" s="21">
        <f t="shared" si="7"/>
        <v>1</v>
      </c>
      <c r="F81" s="635"/>
      <c r="G81" s="21">
        <f t="shared" si="8"/>
        <v>1</v>
      </c>
      <c r="H81" s="635"/>
      <c r="I81" s="21">
        <f t="shared" si="9"/>
        <v>1</v>
      </c>
      <c r="J81" s="635"/>
      <c r="K81" s="21">
        <f t="shared" si="10"/>
        <v>1</v>
      </c>
      <c r="L81" s="635"/>
      <c r="M81" s="21">
        <f t="shared" si="11"/>
        <v>1</v>
      </c>
      <c r="N81" s="635"/>
      <c r="O81" s="21">
        <f t="shared" si="12"/>
        <v>1</v>
      </c>
      <c r="P81" s="635"/>
      <c r="Q81" s="21">
        <f t="shared" si="13"/>
        <v>1</v>
      </c>
      <c r="R81" s="21">
        <f t="shared" si="14"/>
        <v>0</v>
      </c>
      <c r="S81" s="308">
        <f t="shared" si="5"/>
        <v>0</v>
      </c>
    </row>
    <row r="82" spans="1:19">
      <c r="A82" s="142"/>
      <c r="B82" s="52"/>
      <c r="C82" s="21">
        <f t="shared" si="6"/>
        <v>1</v>
      </c>
      <c r="D82" s="635"/>
      <c r="E82" s="21">
        <f t="shared" si="7"/>
        <v>1</v>
      </c>
      <c r="F82" s="635"/>
      <c r="G82" s="21">
        <f t="shared" si="8"/>
        <v>1</v>
      </c>
      <c r="H82" s="635"/>
      <c r="I82" s="21">
        <f t="shared" si="9"/>
        <v>1</v>
      </c>
      <c r="J82" s="635"/>
      <c r="K82" s="21">
        <f t="shared" si="10"/>
        <v>1</v>
      </c>
      <c r="L82" s="635"/>
      <c r="M82" s="21">
        <f t="shared" si="11"/>
        <v>1</v>
      </c>
      <c r="N82" s="635"/>
      <c r="O82" s="21">
        <f t="shared" si="12"/>
        <v>1</v>
      </c>
      <c r="P82" s="635"/>
      <c r="Q82" s="21">
        <f t="shared" si="13"/>
        <v>1</v>
      </c>
      <c r="R82" s="21">
        <f t="shared" si="14"/>
        <v>0</v>
      </c>
      <c r="S82" s="308">
        <f t="shared" si="5"/>
        <v>0</v>
      </c>
    </row>
    <row r="83" spans="1:19">
      <c r="A83" s="142"/>
      <c r="B83" s="52"/>
      <c r="C83" s="21">
        <f t="shared" si="6"/>
        <v>1</v>
      </c>
      <c r="D83" s="635"/>
      <c r="E83" s="21">
        <f t="shared" si="7"/>
        <v>1</v>
      </c>
      <c r="F83" s="635"/>
      <c r="G83" s="21">
        <f t="shared" si="8"/>
        <v>1</v>
      </c>
      <c r="H83" s="635"/>
      <c r="I83" s="21">
        <f t="shared" si="9"/>
        <v>1</v>
      </c>
      <c r="J83" s="635"/>
      <c r="K83" s="21">
        <f t="shared" si="10"/>
        <v>1</v>
      </c>
      <c r="L83" s="635"/>
      <c r="M83" s="21">
        <f t="shared" si="11"/>
        <v>1</v>
      </c>
      <c r="N83" s="635"/>
      <c r="O83" s="21">
        <f t="shared" si="12"/>
        <v>1</v>
      </c>
      <c r="P83" s="635"/>
      <c r="Q83" s="21">
        <f t="shared" si="13"/>
        <v>1</v>
      </c>
      <c r="R83" s="21">
        <f t="shared" si="14"/>
        <v>0</v>
      </c>
      <c r="S83" s="308">
        <f t="shared" si="5"/>
        <v>0</v>
      </c>
    </row>
    <row r="84" spans="1:19">
      <c r="A84" s="142"/>
      <c r="B84" s="52"/>
      <c r="C84" s="21">
        <f t="shared" si="6"/>
        <v>1</v>
      </c>
      <c r="D84" s="635"/>
      <c r="E84" s="21">
        <f t="shared" si="7"/>
        <v>1</v>
      </c>
      <c r="F84" s="635"/>
      <c r="G84" s="21">
        <f t="shared" si="8"/>
        <v>1</v>
      </c>
      <c r="H84" s="635"/>
      <c r="I84" s="21">
        <f t="shared" si="9"/>
        <v>1</v>
      </c>
      <c r="J84" s="635"/>
      <c r="K84" s="21">
        <f t="shared" si="10"/>
        <v>1</v>
      </c>
      <c r="L84" s="635"/>
      <c r="M84" s="21">
        <f t="shared" si="11"/>
        <v>1</v>
      </c>
      <c r="N84" s="635"/>
      <c r="O84" s="21">
        <f t="shared" si="12"/>
        <v>1</v>
      </c>
      <c r="P84" s="635"/>
      <c r="Q84" s="21">
        <f t="shared" si="13"/>
        <v>1</v>
      </c>
      <c r="R84" s="21">
        <f t="shared" si="14"/>
        <v>0</v>
      </c>
      <c r="S84" s="308">
        <f t="shared" si="5"/>
        <v>0</v>
      </c>
    </row>
    <row r="85" spans="1:19">
      <c r="A85" s="142"/>
      <c r="B85" s="52"/>
      <c r="C85" s="21">
        <f t="shared" si="6"/>
        <v>1</v>
      </c>
      <c r="D85" s="635"/>
      <c r="E85" s="21">
        <f t="shared" si="7"/>
        <v>1</v>
      </c>
      <c r="F85" s="635"/>
      <c r="G85" s="21">
        <f t="shared" si="8"/>
        <v>1</v>
      </c>
      <c r="H85" s="635"/>
      <c r="I85" s="21">
        <f t="shared" si="9"/>
        <v>1</v>
      </c>
      <c r="J85" s="635"/>
      <c r="K85" s="21">
        <f t="shared" si="10"/>
        <v>1</v>
      </c>
      <c r="L85" s="635"/>
      <c r="M85" s="21">
        <f t="shared" si="11"/>
        <v>1</v>
      </c>
      <c r="N85" s="635"/>
      <c r="O85" s="21">
        <f t="shared" si="12"/>
        <v>1</v>
      </c>
      <c r="P85" s="635"/>
      <c r="Q85" s="21">
        <f t="shared" si="13"/>
        <v>1</v>
      </c>
      <c r="R85" s="21">
        <f t="shared" si="14"/>
        <v>0</v>
      </c>
      <c r="S85" s="308">
        <f t="shared" si="5"/>
        <v>0</v>
      </c>
    </row>
    <row r="86" spans="1:19">
      <c r="A86" s="142"/>
      <c r="B86" s="52"/>
      <c r="C86" s="21">
        <f t="shared" si="6"/>
        <v>1</v>
      </c>
      <c r="D86" s="635"/>
      <c r="E86" s="21">
        <f t="shared" si="7"/>
        <v>1</v>
      </c>
      <c r="F86" s="635"/>
      <c r="G86" s="21">
        <f t="shared" si="8"/>
        <v>1</v>
      </c>
      <c r="H86" s="635"/>
      <c r="I86" s="21">
        <f t="shared" si="9"/>
        <v>1</v>
      </c>
      <c r="J86" s="635"/>
      <c r="K86" s="21">
        <f t="shared" si="10"/>
        <v>1</v>
      </c>
      <c r="L86" s="635"/>
      <c r="M86" s="21">
        <f t="shared" si="11"/>
        <v>1</v>
      </c>
      <c r="N86" s="635"/>
      <c r="O86" s="21">
        <f t="shared" si="12"/>
        <v>1</v>
      </c>
      <c r="P86" s="635"/>
      <c r="Q86" s="21">
        <f t="shared" si="13"/>
        <v>1</v>
      </c>
      <c r="R86" s="21">
        <f t="shared" si="14"/>
        <v>0</v>
      </c>
      <c r="S86" s="308">
        <f t="shared" si="5"/>
        <v>0</v>
      </c>
    </row>
    <row r="87" spans="1:19">
      <c r="A87" s="142"/>
      <c r="B87" s="52"/>
      <c r="C87" s="21">
        <f t="shared" si="6"/>
        <v>1</v>
      </c>
      <c r="D87" s="635"/>
      <c r="E87" s="21">
        <f t="shared" si="7"/>
        <v>1</v>
      </c>
      <c r="F87" s="635"/>
      <c r="G87" s="21">
        <f t="shared" si="8"/>
        <v>1</v>
      </c>
      <c r="H87" s="635"/>
      <c r="I87" s="21">
        <f t="shared" si="9"/>
        <v>1</v>
      </c>
      <c r="J87" s="635"/>
      <c r="K87" s="21">
        <f t="shared" si="10"/>
        <v>1</v>
      </c>
      <c r="L87" s="635"/>
      <c r="M87" s="21">
        <f t="shared" si="11"/>
        <v>1</v>
      </c>
      <c r="N87" s="635"/>
      <c r="O87" s="21">
        <f t="shared" si="12"/>
        <v>1</v>
      </c>
      <c r="P87" s="635"/>
      <c r="Q87" s="21">
        <f t="shared" si="13"/>
        <v>1</v>
      </c>
      <c r="R87" s="21">
        <f t="shared" si="14"/>
        <v>0</v>
      </c>
      <c r="S87" s="308">
        <f t="shared" si="5"/>
        <v>0</v>
      </c>
    </row>
    <row r="88" spans="1:19">
      <c r="A88" s="142"/>
      <c r="B88" s="52"/>
      <c r="C88" s="21">
        <f t="shared" si="6"/>
        <v>1</v>
      </c>
      <c r="D88" s="635"/>
      <c r="E88" s="21">
        <f t="shared" si="7"/>
        <v>1</v>
      </c>
      <c r="F88" s="635"/>
      <c r="G88" s="21">
        <f t="shared" si="8"/>
        <v>1</v>
      </c>
      <c r="H88" s="635"/>
      <c r="I88" s="21">
        <f t="shared" si="9"/>
        <v>1</v>
      </c>
      <c r="J88" s="635"/>
      <c r="K88" s="21">
        <f t="shared" si="10"/>
        <v>1</v>
      </c>
      <c r="L88" s="635"/>
      <c r="M88" s="21">
        <f t="shared" si="11"/>
        <v>1</v>
      </c>
      <c r="N88" s="635"/>
      <c r="O88" s="21">
        <f t="shared" si="12"/>
        <v>1</v>
      </c>
      <c r="P88" s="635"/>
      <c r="Q88" s="21">
        <f t="shared" si="13"/>
        <v>1</v>
      </c>
      <c r="R88" s="21">
        <f t="shared" si="14"/>
        <v>0</v>
      </c>
      <c r="S88" s="308">
        <f t="shared" ref="S88:S151" si="15">ROUND(R88*B88/10000,0)</f>
        <v>0</v>
      </c>
    </row>
    <row r="89" spans="1:19">
      <c r="A89" s="142"/>
      <c r="B89" s="52"/>
      <c r="C89" s="21">
        <f t="shared" si="6"/>
        <v>1</v>
      </c>
      <c r="D89" s="635"/>
      <c r="E89" s="21">
        <f t="shared" si="7"/>
        <v>1</v>
      </c>
      <c r="F89" s="635"/>
      <c r="G89" s="21">
        <f t="shared" si="8"/>
        <v>1</v>
      </c>
      <c r="H89" s="635"/>
      <c r="I89" s="21">
        <f t="shared" si="9"/>
        <v>1</v>
      </c>
      <c r="J89" s="635"/>
      <c r="K89" s="21">
        <f t="shared" si="10"/>
        <v>1</v>
      </c>
      <c r="L89" s="635"/>
      <c r="M89" s="21">
        <f t="shared" si="11"/>
        <v>1</v>
      </c>
      <c r="N89" s="635"/>
      <c r="O89" s="21">
        <f t="shared" si="12"/>
        <v>1</v>
      </c>
      <c r="P89" s="635"/>
      <c r="Q89" s="21">
        <f t="shared" si="13"/>
        <v>1</v>
      </c>
      <c r="R89" s="21">
        <f t="shared" si="14"/>
        <v>0</v>
      </c>
      <c r="S89" s="308">
        <f t="shared" si="15"/>
        <v>0</v>
      </c>
    </row>
    <row r="90" spans="1:19">
      <c r="A90" s="142"/>
      <c r="B90" s="52"/>
      <c r="C90" s="21">
        <f t="shared" ref="C90:C153" si="16">IF(B90="",1,(LOOKUP(B90,$3:$3,$4:$4)-LOOKUP($B$24,$3:$3,$4:$4)+100)/100)</f>
        <v>1</v>
      </c>
      <c r="D90" s="635"/>
      <c r="E90" s="21">
        <f t="shared" ref="E90:E153" si="17">(SUMIF($5:$5,D90,$6:$6)-SUMIF($5:$5,$D$24,$6:$6)+100)/100</f>
        <v>1</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c r="Q90" s="21">
        <f t="shared" ref="Q90:Q153" si="23">(SUMIF($17:$17,P90,$18:$18)-SUMIF($17:$17,$P$24,$18:$18)+100)/100</f>
        <v>1</v>
      </c>
      <c r="R90" s="21">
        <f t="shared" ref="R90:R153" si="24">IF(B90="",0,ROUND($R$24*C90*E90*G90*I90*K90*M90*O90*Q90,0))</f>
        <v>0</v>
      </c>
      <c r="S90" s="308">
        <f t="shared" si="15"/>
        <v>0</v>
      </c>
    </row>
    <row r="91" spans="1:19">
      <c r="A91" s="142"/>
      <c r="B91" s="52"/>
      <c r="C91" s="21">
        <f t="shared" si="16"/>
        <v>1</v>
      </c>
      <c r="D91" s="635"/>
      <c r="E91" s="21">
        <f t="shared" si="17"/>
        <v>1</v>
      </c>
      <c r="F91" s="635"/>
      <c r="G91" s="21">
        <f t="shared" si="18"/>
        <v>1</v>
      </c>
      <c r="H91" s="635"/>
      <c r="I91" s="21">
        <f t="shared" si="19"/>
        <v>1</v>
      </c>
      <c r="J91" s="635"/>
      <c r="K91" s="21">
        <f t="shared" si="20"/>
        <v>1</v>
      </c>
      <c r="L91" s="635"/>
      <c r="M91" s="21">
        <f t="shared" si="21"/>
        <v>1</v>
      </c>
      <c r="N91" s="635"/>
      <c r="O91" s="21">
        <f t="shared" si="22"/>
        <v>1</v>
      </c>
      <c r="P91" s="635"/>
      <c r="Q91" s="21">
        <f t="shared" si="23"/>
        <v>1</v>
      </c>
      <c r="R91" s="21">
        <f t="shared" si="24"/>
        <v>0</v>
      </c>
      <c r="S91" s="308">
        <f t="shared" si="15"/>
        <v>0</v>
      </c>
    </row>
    <row r="92" spans="1:19">
      <c r="A92" s="142"/>
      <c r="B92" s="52"/>
      <c r="C92" s="21">
        <f t="shared" si="16"/>
        <v>1</v>
      </c>
      <c r="D92" s="635"/>
      <c r="E92" s="21">
        <f t="shared" si="17"/>
        <v>1</v>
      </c>
      <c r="F92" s="635"/>
      <c r="G92" s="21">
        <f t="shared" si="18"/>
        <v>1</v>
      </c>
      <c r="H92" s="635"/>
      <c r="I92" s="21">
        <f t="shared" si="19"/>
        <v>1</v>
      </c>
      <c r="J92" s="635"/>
      <c r="K92" s="21">
        <f t="shared" si="20"/>
        <v>1</v>
      </c>
      <c r="L92" s="635"/>
      <c r="M92" s="21">
        <f t="shared" si="21"/>
        <v>1</v>
      </c>
      <c r="N92" s="635"/>
      <c r="O92" s="21">
        <f t="shared" si="22"/>
        <v>1</v>
      </c>
      <c r="P92" s="635"/>
      <c r="Q92" s="21">
        <f t="shared" si="23"/>
        <v>1</v>
      </c>
      <c r="R92" s="21">
        <f t="shared" si="24"/>
        <v>0</v>
      </c>
      <c r="S92" s="308">
        <f t="shared" si="15"/>
        <v>0</v>
      </c>
    </row>
    <row r="93" spans="1:19">
      <c r="A93" s="142"/>
      <c r="B93" s="52"/>
      <c r="C93" s="21">
        <f t="shared" si="16"/>
        <v>1</v>
      </c>
      <c r="D93" s="635"/>
      <c r="E93" s="21">
        <f t="shared" si="17"/>
        <v>1</v>
      </c>
      <c r="F93" s="635"/>
      <c r="G93" s="21">
        <f t="shared" si="18"/>
        <v>1</v>
      </c>
      <c r="H93" s="635"/>
      <c r="I93" s="21">
        <f t="shared" si="19"/>
        <v>1</v>
      </c>
      <c r="J93" s="635"/>
      <c r="K93" s="21">
        <f t="shared" si="20"/>
        <v>1</v>
      </c>
      <c r="L93" s="635"/>
      <c r="M93" s="21">
        <f t="shared" si="21"/>
        <v>1</v>
      </c>
      <c r="N93" s="635"/>
      <c r="O93" s="21">
        <f t="shared" si="22"/>
        <v>1</v>
      </c>
      <c r="P93" s="635"/>
      <c r="Q93" s="21">
        <f t="shared" si="23"/>
        <v>1</v>
      </c>
      <c r="R93" s="21">
        <f t="shared" si="24"/>
        <v>0</v>
      </c>
      <c r="S93" s="308">
        <f t="shared" si="15"/>
        <v>0</v>
      </c>
    </row>
    <row r="94" spans="1:19">
      <c r="A94" s="142"/>
      <c r="B94" s="52"/>
      <c r="C94" s="21">
        <f t="shared" si="16"/>
        <v>1</v>
      </c>
      <c r="D94" s="635"/>
      <c r="E94" s="21">
        <f t="shared" si="17"/>
        <v>1</v>
      </c>
      <c r="F94" s="635"/>
      <c r="G94" s="21">
        <f t="shared" si="18"/>
        <v>1</v>
      </c>
      <c r="H94" s="635"/>
      <c r="I94" s="21">
        <f t="shared" si="19"/>
        <v>1</v>
      </c>
      <c r="J94" s="635"/>
      <c r="K94" s="21">
        <f t="shared" si="20"/>
        <v>1</v>
      </c>
      <c r="L94" s="635"/>
      <c r="M94" s="21">
        <f t="shared" si="21"/>
        <v>1</v>
      </c>
      <c r="N94" s="635"/>
      <c r="O94" s="21">
        <f t="shared" si="22"/>
        <v>1</v>
      </c>
      <c r="P94" s="635"/>
      <c r="Q94" s="21">
        <f t="shared" si="23"/>
        <v>1</v>
      </c>
      <c r="R94" s="21">
        <f t="shared" si="24"/>
        <v>0</v>
      </c>
      <c r="S94" s="308">
        <f t="shared" si="15"/>
        <v>0</v>
      </c>
    </row>
    <row r="95" spans="1:19">
      <c r="A95" s="142"/>
      <c r="B95" s="52"/>
      <c r="C95" s="21">
        <f t="shared" si="16"/>
        <v>1</v>
      </c>
      <c r="D95" s="635"/>
      <c r="E95" s="21">
        <f t="shared" si="17"/>
        <v>1</v>
      </c>
      <c r="F95" s="635"/>
      <c r="G95" s="21">
        <f t="shared" si="18"/>
        <v>1</v>
      </c>
      <c r="H95" s="635"/>
      <c r="I95" s="21">
        <f t="shared" si="19"/>
        <v>1</v>
      </c>
      <c r="J95" s="635"/>
      <c r="K95" s="21">
        <f t="shared" si="20"/>
        <v>1</v>
      </c>
      <c r="L95" s="635"/>
      <c r="M95" s="21">
        <f t="shared" si="21"/>
        <v>1</v>
      </c>
      <c r="N95" s="635"/>
      <c r="O95" s="21">
        <f t="shared" si="22"/>
        <v>1</v>
      </c>
      <c r="P95" s="635"/>
      <c r="Q95" s="21">
        <f t="shared" si="23"/>
        <v>1</v>
      </c>
      <c r="R95" s="21">
        <f t="shared" si="24"/>
        <v>0</v>
      </c>
      <c r="S95" s="308">
        <f t="shared" si="15"/>
        <v>0</v>
      </c>
    </row>
    <row r="96" spans="1:19">
      <c r="A96" s="142"/>
      <c r="B96" s="52"/>
      <c r="C96" s="21">
        <f t="shared" si="16"/>
        <v>1</v>
      </c>
      <c r="D96" s="635"/>
      <c r="E96" s="21">
        <f t="shared" si="17"/>
        <v>1</v>
      </c>
      <c r="F96" s="635"/>
      <c r="G96" s="21">
        <f t="shared" si="18"/>
        <v>1</v>
      </c>
      <c r="H96" s="635"/>
      <c r="I96" s="21">
        <f t="shared" si="19"/>
        <v>1</v>
      </c>
      <c r="J96" s="635"/>
      <c r="K96" s="21">
        <f t="shared" si="20"/>
        <v>1</v>
      </c>
      <c r="L96" s="635"/>
      <c r="M96" s="21">
        <f t="shared" si="21"/>
        <v>1</v>
      </c>
      <c r="N96" s="635"/>
      <c r="O96" s="21">
        <f t="shared" si="22"/>
        <v>1</v>
      </c>
      <c r="P96" s="635"/>
      <c r="Q96" s="21">
        <f t="shared" si="23"/>
        <v>1</v>
      </c>
      <c r="R96" s="21">
        <f t="shared" si="24"/>
        <v>0</v>
      </c>
      <c r="S96" s="308">
        <f t="shared" si="15"/>
        <v>0</v>
      </c>
    </row>
    <row r="97" spans="1:19">
      <c r="A97" s="142"/>
      <c r="B97" s="52"/>
      <c r="C97" s="21">
        <f t="shared" si="16"/>
        <v>1</v>
      </c>
      <c r="D97" s="635"/>
      <c r="E97" s="21">
        <f t="shared" si="17"/>
        <v>1</v>
      </c>
      <c r="F97" s="635"/>
      <c r="G97" s="21">
        <f t="shared" si="18"/>
        <v>1</v>
      </c>
      <c r="H97" s="635"/>
      <c r="I97" s="21">
        <f t="shared" si="19"/>
        <v>1</v>
      </c>
      <c r="J97" s="635"/>
      <c r="K97" s="21">
        <f t="shared" si="20"/>
        <v>1</v>
      </c>
      <c r="L97" s="635"/>
      <c r="M97" s="21">
        <f t="shared" si="21"/>
        <v>1</v>
      </c>
      <c r="N97" s="635"/>
      <c r="O97" s="21">
        <f t="shared" si="22"/>
        <v>1</v>
      </c>
      <c r="P97" s="635"/>
      <c r="Q97" s="21">
        <f t="shared" si="23"/>
        <v>1</v>
      </c>
      <c r="R97" s="21">
        <f t="shared" si="24"/>
        <v>0</v>
      </c>
      <c r="S97" s="308">
        <f t="shared" si="15"/>
        <v>0</v>
      </c>
    </row>
    <row r="98" spans="1:19">
      <c r="A98" s="142"/>
      <c r="B98" s="52"/>
      <c r="C98" s="21">
        <f t="shared" si="16"/>
        <v>1</v>
      </c>
      <c r="D98" s="635"/>
      <c r="E98" s="21">
        <f t="shared" si="17"/>
        <v>1</v>
      </c>
      <c r="F98" s="635"/>
      <c r="G98" s="21">
        <f t="shared" si="18"/>
        <v>1</v>
      </c>
      <c r="H98" s="635"/>
      <c r="I98" s="21">
        <f t="shared" si="19"/>
        <v>1</v>
      </c>
      <c r="J98" s="635"/>
      <c r="K98" s="21">
        <f t="shared" si="20"/>
        <v>1</v>
      </c>
      <c r="L98" s="635"/>
      <c r="M98" s="21">
        <f t="shared" si="21"/>
        <v>1</v>
      </c>
      <c r="N98" s="635"/>
      <c r="O98" s="21">
        <f t="shared" si="22"/>
        <v>1</v>
      </c>
      <c r="P98" s="635"/>
      <c r="Q98" s="21">
        <f t="shared" si="23"/>
        <v>1</v>
      </c>
      <c r="R98" s="21">
        <f t="shared" si="24"/>
        <v>0</v>
      </c>
      <c r="S98" s="308">
        <f t="shared" si="15"/>
        <v>0</v>
      </c>
    </row>
    <row r="99" spans="1:19">
      <c r="A99" s="142"/>
      <c r="B99" s="52"/>
      <c r="C99" s="21">
        <f t="shared" si="16"/>
        <v>1</v>
      </c>
      <c r="D99" s="635"/>
      <c r="E99" s="21">
        <f t="shared" si="17"/>
        <v>1</v>
      </c>
      <c r="F99" s="635"/>
      <c r="G99" s="21">
        <f t="shared" si="18"/>
        <v>1</v>
      </c>
      <c r="H99" s="635"/>
      <c r="I99" s="21">
        <f t="shared" si="19"/>
        <v>1</v>
      </c>
      <c r="J99" s="635"/>
      <c r="K99" s="21">
        <f t="shared" si="20"/>
        <v>1</v>
      </c>
      <c r="L99" s="635"/>
      <c r="M99" s="21">
        <f t="shared" si="21"/>
        <v>1</v>
      </c>
      <c r="N99" s="635"/>
      <c r="O99" s="21">
        <f t="shared" si="22"/>
        <v>1</v>
      </c>
      <c r="P99" s="635"/>
      <c r="Q99" s="21">
        <f t="shared" si="23"/>
        <v>1</v>
      </c>
      <c r="R99" s="21">
        <f t="shared" si="24"/>
        <v>0</v>
      </c>
      <c r="S99" s="308">
        <f t="shared" si="15"/>
        <v>0</v>
      </c>
    </row>
    <row r="100" spans="1:19">
      <c r="A100" s="142"/>
      <c r="B100" s="52"/>
      <c r="C100" s="21">
        <f t="shared" si="16"/>
        <v>1</v>
      </c>
      <c r="D100" s="635"/>
      <c r="E100" s="21">
        <f t="shared" si="17"/>
        <v>1</v>
      </c>
      <c r="F100" s="635"/>
      <c r="G100" s="21">
        <f t="shared" si="18"/>
        <v>1</v>
      </c>
      <c r="H100" s="635"/>
      <c r="I100" s="21">
        <f t="shared" si="19"/>
        <v>1</v>
      </c>
      <c r="J100" s="635"/>
      <c r="K100" s="21">
        <f t="shared" si="20"/>
        <v>1</v>
      </c>
      <c r="L100" s="635"/>
      <c r="M100" s="21">
        <f t="shared" si="21"/>
        <v>1</v>
      </c>
      <c r="N100" s="635"/>
      <c r="O100" s="21">
        <f t="shared" si="22"/>
        <v>1</v>
      </c>
      <c r="P100" s="635"/>
      <c r="Q100" s="21">
        <f t="shared" si="23"/>
        <v>1</v>
      </c>
      <c r="R100" s="21">
        <f t="shared" si="24"/>
        <v>0</v>
      </c>
      <c r="S100" s="308">
        <f t="shared" si="15"/>
        <v>0</v>
      </c>
    </row>
    <row r="101" spans="1:19">
      <c r="A101" s="142"/>
      <c r="B101" s="52"/>
      <c r="C101" s="21">
        <f t="shared" si="16"/>
        <v>1</v>
      </c>
      <c r="D101" s="635"/>
      <c r="E101" s="21">
        <f t="shared" si="17"/>
        <v>1</v>
      </c>
      <c r="F101" s="635"/>
      <c r="G101" s="21">
        <f t="shared" si="18"/>
        <v>1</v>
      </c>
      <c r="H101" s="635"/>
      <c r="I101" s="21">
        <f t="shared" si="19"/>
        <v>1</v>
      </c>
      <c r="J101" s="635"/>
      <c r="K101" s="21">
        <f t="shared" si="20"/>
        <v>1</v>
      </c>
      <c r="L101" s="635"/>
      <c r="M101" s="21">
        <f t="shared" si="21"/>
        <v>1</v>
      </c>
      <c r="N101" s="635"/>
      <c r="O101" s="21">
        <f t="shared" si="22"/>
        <v>1</v>
      </c>
      <c r="P101" s="635"/>
      <c r="Q101" s="21">
        <f t="shared" si="23"/>
        <v>1</v>
      </c>
      <c r="R101" s="21">
        <f t="shared" si="24"/>
        <v>0</v>
      </c>
      <c r="S101" s="308">
        <f t="shared" si="15"/>
        <v>0</v>
      </c>
    </row>
    <row r="102" spans="1:19">
      <c r="A102" s="142"/>
      <c r="B102" s="52"/>
      <c r="C102" s="21">
        <f t="shared" si="16"/>
        <v>1</v>
      </c>
      <c r="D102" s="635"/>
      <c r="E102" s="21">
        <f t="shared" si="17"/>
        <v>1</v>
      </c>
      <c r="F102" s="635"/>
      <c r="G102" s="21">
        <f t="shared" si="18"/>
        <v>1</v>
      </c>
      <c r="H102" s="635"/>
      <c r="I102" s="21">
        <f t="shared" si="19"/>
        <v>1</v>
      </c>
      <c r="J102" s="635"/>
      <c r="K102" s="21">
        <f t="shared" si="20"/>
        <v>1</v>
      </c>
      <c r="L102" s="635"/>
      <c r="M102" s="21">
        <f t="shared" si="21"/>
        <v>1</v>
      </c>
      <c r="N102" s="635"/>
      <c r="O102" s="21">
        <f t="shared" si="22"/>
        <v>1</v>
      </c>
      <c r="P102" s="635"/>
      <c r="Q102" s="21">
        <f t="shared" si="23"/>
        <v>1</v>
      </c>
      <c r="R102" s="21">
        <f t="shared" si="24"/>
        <v>0</v>
      </c>
      <c r="S102" s="308">
        <f t="shared" si="15"/>
        <v>0</v>
      </c>
    </row>
    <row r="103" spans="1:19">
      <c r="A103" s="142"/>
      <c r="B103" s="52"/>
      <c r="C103" s="21">
        <f t="shared" si="16"/>
        <v>1</v>
      </c>
      <c r="D103" s="635"/>
      <c r="E103" s="21">
        <f t="shared" si="17"/>
        <v>1</v>
      </c>
      <c r="F103" s="635"/>
      <c r="G103" s="21">
        <f t="shared" si="18"/>
        <v>1</v>
      </c>
      <c r="H103" s="635"/>
      <c r="I103" s="21">
        <f t="shared" si="19"/>
        <v>1</v>
      </c>
      <c r="J103" s="635"/>
      <c r="K103" s="21">
        <f t="shared" si="20"/>
        <v>1</v>
      </c>
      <c r="L103" s="635"/>
      <c r="M103" s="21">
        <f t="shared" si="21"/>
        <v>1</v>
      </c>
      <c r="N103" s="635"/>
      <c r="O103" s="21">
        <f t="shared" si="22"/>
        <v>1</v>
      </c>
      <c r="P103" s="635"/>
      <c r="Q103" s="21">
        <f t="shared" si="23"/>
        <v>1</v>
      </c>
      <c r="R103" s="21">
        <f t="shared" si="24"/>
        <v>0</v>
      </c>
      <c r="S103" s="308">
        <f t="shared" si="15"/>
        <v>0</v>
      </c>
    </row>
    <row r="104" spans="1:19">
      <c r="A104" s="142"/>
      <c r="B104" s="52"/>
      <c r="C104" s="21">
        <f t="shared" si="16"/>
        <v>1</v>
      </c>
      <c r="D104" s="635"/>
      <c r="E104" s="21">
        <f t="shared" si="17"/>
        <v>1</v>
      </c>
      <c r="F104" s="635"/>
      <c r="G104" s="21">
        <f t="shared" si="18"/>
        <v>1</v>
      </c>
      <c r="H104" s="635"/>
      <c r="I104" s="21">
        <f t="shared" si="19"/>
        <v>1</v>
      </c>
      <c r="J104" s="635"/>
      <c r="K104" s="21">
        <f t="shared" si="20"/>
        <v>1</v>
      </c>
      <c r="L104" s="635"/>
      <c r="M104" s="21">
        <f t="shared" si="21"/>
        <v>1</v>
      </c>
      <c r="N104" s="635"/>
      <c r="O104" s="21">
        <f t="shared" si="22"/>
        <v>1</v>
      </c>
      <c r="P104" s="635"/>
      <c r="Q104" s="21">
        <f t="shared" si="23"/>
        <v>1</v>
      </c>
      <c r="R104" s="21">
        <f t="shared" si="24"/>
        <v>0</v>
      </c>
      <c r="S104" s="308">
        <f t="shared" si="15"/>
        <v>0</v>
      </c>
    </row>
    <row r="105" spans="1:19">
      <c r="A105" s="142"/>
      <c r="B105" s="52"/>
      <c r="C105" s="21">
        <f t="shared" si="16"/>
        <v>1</v>
      </c>
      <c r="D105" s="635"/>
      <c r="E105" s="21">
        <f t="shared" si="17"/>
        <v>1</v>
      </c>
      <c r="F105" s="635"/>
      <c r="G105" s="21">
        <f t="shared" si="18"/>
        <v>1</v>
      </c>
      <c r="H105" s="635"/>
      <c r="I105" s="21">
        <f t="shared" si="19"/>
        <v>1</v>
      </c>
      <c r="J105" s="635"/>
      <c r="K105" s="21">
        <f t="shared" si="20"/>
        <v>1</v>
      </c>
      <c r="L105" s="635"/>
      <c r="M105" s="21">
        <f t="shared" si="21"/>
        <v>1</v>
      </c>
      <c r="N105" s="635"/>
      <c r="O105" s="21">
        <f t="shared" si="22"/>
        <v>1</v>
      </c>
      <c r="P105" s="635"/>
      <c r="Q105" s="21">
        <f t="shared" si="23"/>
        <v>1</v>
      </c>
      <c r="R105" s="21">
        <f t="shared" si="24"/>
        <v>0</v>
      </c>
      <c r="S105" s="308">
        <f t="shared" si="15"/>
        <v>0</v>
      </c>
    </row>
    <row r="106" spans="1:19">
      <c r="A106" s="142"/>
      <c r="B106" s="52"/>
      <c r="C106" s="21">
        <f t="shared" si="16"/>
        <v>1</v>
      </c>
      <c r="D106" s="635"/>
      <c r="E106" s="21">
        <f t="shared" si="17"/>
        <v>1</v>
      </c>
      <c r="F106" s="635"/>
      <c r="G106" s="21">
        <f t="shared" si="18"/>
        <v>1</v>
      </c>
      <c r="H106" s="635"/>
      <c r="I106" s="21">
        <f t="shared" si="19"/>
        <v>1</v>
      </c>
      <c r="J106" s="635"/>
      <c r="K106" s="21">
        <f t="shared" si="20"/>
        <v>1</v>
      </c>
      <c r="L106" s="635"/>
      <c r="M106" s="21">
        <f t="shared" si="21"/>
        <v>1</v>
      </c>
      <c r="N106" s="635"/>
      <c r="O106" s="21">
        <f t="shared" si="22"/>
        <v>1</v>
      </c>
      <c r="P106" s="635"/>
      <c r="Q106" s="21">
        <f t="shared" si="23"/>
        <v>1</v>
      </c>
      <c r="R106" s="21">
        <f t="shared" si="24"/>
        <v>0</v>
      </c>
      <c r="S106" s="308">
        <f t="shared" si="15"/>
        <v>0</v>
      </c>
    </row>
    <row r="107" spans="1:19">
      <c r="A107" s="142"/>
      <c r="B107" s="52"/>
      <c r="C107" s="21">
        <f t="shared" si="16"/>
        <v>1</v>
      </c>
      <c r="D107" s="635"/>
      <c r="E107" s="21">
        <f t="shared" si="17"/>
        <v>1</v>
      </c>
      <c r="F107" s="635"/>
      <c r="G107" s="21">
        <f t="shared" si="18"/>
        <v>1</v>
      </c>
      <c r="H107" s="635"/>
      <c r="I107" s="21">
        <f t="shared" si="19"/>
        <v>1</v>
      </c>
      <c r="J107" s="635"/>
      <c r="K107" s="21">
        <f t="shared" si="20"/>
        <v>1</v>
      </c>
      <c r="L107" s="635"/>
      <c r="M107" s="21">
        <f t="shared" si="21"/>
        <v>1</v>
      </c>
      <c r="N107" s="635"/>
      <c r="O107" s="21">
        <f t="shared" si="22"/>
        <v>1</v>
      </c>
      <c r="P107" s="635"/>
      <c r="Q107" s="21">
        <f t="shared" si="23"/>
        <v>1</v>
      </c>
      <c r="R107" s="21">
        <f t="shared" si="24"/>
        <v>0</v>
      </c>
      <c r="S107" s="308">
        <f t="shared" si="15"/>
        <v>0</v>
      </c>
    </row>
    <row r="108" spans="1:19">
      <c r="A108" s="142"/>
      <c r="B108" s="52"/>
      <c r="C108" s="21">
        <f t="shared" si="16"/>
        <v>1</v>
      </c>
      <c r="D108" s="635"/>
      <c r="E108" s="21">
        <f t="shared" si="17"/>
        <v>1</v>
      </c>
      <c r="F108" s="635"/>
      <c r="G108" s="21">
        <f t="shared" si="18"/>
        <v>1</v>
      </c>
      <c r="H108" s="635"/>
      <c r="I108" s="21">
        <f t="shared" si="19"/>
        <v>1</v>
      </c>
      <c r="J108" s="635"/>
      <c r="K108" s="21">
        <f t="shared" si="20"/>
        <v>1</v>
      </c>
      <c r="L108" s="635"/>
      <c r="M108" s="21">
        <f t="shared" si="21"/>
        <v>1</v>
      </c>
      <c r="N108" s="635"/>
      <c r="O108" s="21">
        <f t="shared" si="22"/>
        <v>1</v>
      </c>
      <c r="P108" s="635"/>
      <c r="Q108" s="21">
        <f t="shared" si="23"/>
        <v>1</v>
      </c>
      <c r="R108" s="21">
        <f t="shared" si="24"/>
        <v>0</v>
      </c>
      <c r="S108" s="308">
        <f t="shared" si="15"/>
        <v>0</v>
      </c>
    </row>
    <row r="109" spans="1:19">
      <c r="A109" s="142"/>
      <c r="B109" s="52"/>
      <c r="C109" s="21">
        <f t="shared" si="16"/>
        <v>1</v>
      </c>
      <c r="D109" s="635"/>
      <c r="E109" s="21">
        <f t="shared" si="17"/>
        <v>1</v>
      </c>
      <c r="F109" s="635"/>
      <c r="G109" s="21">
        <f t="shared" si="18"/>
        <v>1</v>
      </c>
      <c r="H109" s="635"/>
      <c r="I109" s="21">
        <f t="shared" si="19"/>
        <v>1</v>
      </c>
      <c r="J109" s="635"/>
      <c r="K109" s="21">
        <f t="shared" si="20"/>
        <v>1</v>
      </c>
      <c r="L109" s="635"/>
      <c r="M109" s="21">
        <f t="shared" si="21"/>
        <v>1</v>
      </c>
      <c r="N109" s="635"/>
      <c r="O109" s="21">
        <f t="shared" si="22"/>
        <v>1</v>
      </c>
      <c r="P109" s="635"/>
      <c r="Q109" s="21">
        <f t="shared" si="23"/>
        <v>1</v>
      </c>
      <c r="R109" s="21">
        <f t="shared" si="24"/>
        <v>0</v>
      </c>
      <c r="S109" s="308">
        <f t="shared" si="15"/>
        <v>0</v>
      </c>
    </row>
    <row r="110" spans="1:19">
      <c r="A110" s="142"/>
      <c r="B110" s="52"/>
      <c r="C110" s="21">
        <f t="shared" si="16"/>
        <v>1</v>
      </c>
      <c r="D110" s="635"/>
      <c r="E110" s="21">
        <f t="shared" si="17"/>
        <v>1</v>
      </c>
      <c r="F110" s="635"/>
      <c r="G110" s="21">
        <f t="shared" si="18"/>
        <v>1</v>
      </c>
      <c r="H110" s="635"/>
      <c r="I110" s="21">
        <f t="shared" si="19"/>
        <v>1</v>
      </c>
      <c r="J110" s="635"/>
      <c r="K110" s="21">
        <f t="shared" si="20"/>
        <v>1</v>
      </c>
      <c r="L110" s="635"/>
      <c r="M110" s="21">
        <f t="shared" si="21"/>
        <v>1</v>
      </c>
      <c r="N110" s="635"/>
      <c r="O110" s="21">
        <f t="shared" si="22"/>
        <v>1</v>
      </c>
      <c r="P110" s="635"/>
      <c r="Q110" s="21">
        <f t="shared" si="23"/>
        <v>1</v>
      </c>
      <c r="R110" s="21">
        <f t="shared" si="24"/>
        <v>0</v>
      </c>
      <c r="S110" s="308">
        <f t="shared" si="15"/>
        <v>0</v>
      </c>
    </row>
    <row r="111" spans="1:19">
      <c r="A111" s="142"/>
      <c r="B111" s="52"/>
      <c r="C111" s="21">
        <f t="shared" si="16"/>
        <v>1</v>
      </c>
      <c r="D111" s="635"/>
      <c r="E111" s="21">
        <f t="shared" si="17"/>
        <v>1</v>
      </c>
      <c r="F111" s="635"/>
      <c r="G111" s="21">
        <f t="shared" si="18"/>
        <v>1</v>
      </c>
      <c r="H111" s="635"/>
      <c r="I111" s="21">
        <f t="shared" si="19"/>
        <v>1</v>
      </c>
      <c r="J111" s="635"/>
      <c r="K111" s="21">
        <f t="shared" si="20"/>
        <v>1</v>
      </c>
      <c r="L111" s="635"/>
      <c r="M111" s="21">
        <f t="shared" si="21"/>
        <v>1</v>
      </c>
      <c r="N111" s="635"/>
      <c r="O111" s="21">
        <f t="shared" si="22"/>
        <v>1</v>
      </c>
      <c r="P111" s="635"/>
      <c r="Q111" s="21">
        <f t="shared" si="23"/>
        <v>1</v>
      </c>
      <c r="R111" s="21">
        <f t="shared" si="24"/>
        <v>0</v>
      </c>
      <c r="S111" s="308">
        <f t="shared" si="15"/>
        <v>0</v>
      </c>
    </row>
    <row r="112" spans="1:19">
      <c r="A112" s="142"/>
      <c r="B112" s="52"/>
      <c r="C112" s="21">
        <f t="shared" si="16"/>
        <v>1</v>
      </c>
      <c r="D112" s="635"/>
      <c r="E112" s="21">
        <f t="shared" si="17"/>
        <v>1</v>
      </c>
      <c r="F112" s="635"/>
      <c r="G112" s="21">
        <f t="shared" si="18"/>
        <v>1</v>
      </c>
      <c r="H112" s="635"/>
      <c r="I112" s="21">
        <f t="shared" si="19"/>
        <v>1</v>
      </c>
      <c r="J112" s="635"/>
      <c r="K112" s="21">
        <f t="shared" si="20"/>
        <v>1</v>
      </c>
      <c r="L112" s="635"/>
      <c r="M112" s="21">
        <f t="shared" si="21"/>
        <v>1</v>
      </c>
      <c r="N112" s="635"/>
      <c r="O112" s="21">
        <f t="shared" si="22"/>
        <v>1</v>
      </c>
      <c r="P112" s="635"/>
      <c r="Q112" s="21">
        <f t="shared" si="23"/>
        <v>1</v>
      </c>
      <c r="R112" s="21">
        <f t="shared" si="24"/>
        <v>0</v>
      </c>
      <c r="S112" s="308">
        <f t="shared" si="15"/>
        <v>0</v>
      </c>
    </row>
    <row r="113" spans="1:19">
      <c r="A113" s="142"/>
      <c r="B113" s="52"/>
      <c r="C113" s="21">
        <f t="shared" si="16"/>
        <v>1</v>
      </c>
      <c r="D113" s="635"/>
      <c r="E113" s="21">
        <f t="shared" si="17"/>
        <v>1</v>
      </c>
      <c r="F113" s="635"/>
      <c r="G113" s="21">
        <f t="shared" si="18"/>
        <v>1</v>
      </c>
      <c r="H113" s="635"/>
      <c r="I113" s="21">
        <f t="shared" si="19"/>
        <v>1</v>
      </c>
      <c r="J113" s="635"/>
      <c r="K113" s="21">
        <f t="shared" si="20"/>
        <v>1</v>
      </c>
      <c r="L113" s="635"/>
      <c r="M113" s="21">
        <f t="shared" si="21"/>
        <v>1</v>
      </c>
      <c r="N113" s="635"/>
      <c r="O113" s="21">
        <f t="shared" si="22"/>
        <v>1</v>
      </c>
      <c r="P113" s="635"/>
      <c r="Q113" s="21">
        <f t="shared" si="23"/>
        <v>1</v>
      </c>
      <c r="R113" s="21">
        <f t="shared" si="24"/>
        <v>0</v>
      </c>
      <c r="S113" s="308">
        <f t="shared" si="15"/>
        <v>0</v>
      </c>
    </row>
    <row r="114" spans="1:19">
      <c r="A114" s="142"/>
      <c r="B114" s="52"/>
      <c r="C114" s="21">
        <f t="shared" si="16"/>
        <v>1</v>
      </c>
      <c r="D114" s="635"/>
      <c r="E114" s="21">
        <f t="shared" si="17"/>
        <v>1</v>
      </c>
      <c r="F114" s="635"/>
      <c r="G114" s="21">
        <f t="shared" si="18"/>
        <v>1</v>
      </c>
      <c r="H114" s="635"/>
      <c r="I114" s="21">
        <f t="shared" si="19"/>
        <v>1</v>
      </c>
      <c r="J114" s="635"/>
      <c r="K114" s="21">
        <f t="shared" si="20"/>
        <v>1</v>
      </c>
      <c r="L114" s="635"/>
      <c r="M114" s="21">
        <f t="shared" si="21"/>
        <v>1</v>
      </c>
      <c r="N114" s="635"/>
      <c r="O114" s="21">
        <f t="shared" si="22"/>
        <v>1</v>
      </c>
      <c r="P114" s="635"/>
      <c r="Q114" s="21">
        <f t="shared" si="23"/>
        <v>1</v>
      </c>
      <c r="R114" s="21">
        <f t="shared" si="24"/>
        <v>0</v>
      </c>
      <c r="S114" s="308">
        <f t="shared" si="15"/>
        <v>0</v>
      </c>
    </row>
    <row r="115" spans="1:19">
      <c r="A115" s="142"/>
      <c r="B115" s="52"/>
      <c r="C115" s="21">
        <f t="shared" si="16"/>
        <v>1</v>
      </c>
      <c r="D115" s="635"/>
      <c r="E115" s="21">
        <f t="shared" si="17"/>
        <v>1</v>
      </c>
      <c r="F115" s="635"/>
      <c r="G115" s="21">
        <f t="shared" si="18"/>
        <v>1</v>
      </c>
      <c r="H115" s="635"/>
      <c r="I115" s="21">
        <f t="shared" si="19"/>
        <v>1</v>
      </c>
      <c r="J115" s="635"/>
      <c r="K115" s="21">
        <f t="shared" si="20"/>
        <v>1</v>
      </c>
      <c r="L115" s="635"/>
      <c r="M115" s="21">
        <f t="shared" si="21"/>
        <v>1</v>
      </c>
      <c r="N115" s="635"/>
      <c r="O115" s="21">
        <f t="shared" si="22"/>
        <v>1</v>
      </c>
      <c r="P115" s="635"/>
      <c r="Q115" s="21">
        <f t="shared" si="23"/>
        <v>1</v>
      </c>
      <c r="R115" s="21">
        <f t="shared" si="24"/>
        <v>0</v>
      </c>
      <c r="S115" s="308">
        <f t="shared" si="15"/>
        <v>0</v>
      </c>
    </row>
    <row r="116" spans="1:19">
      <c r="A116" s="142"/>
      <c r="B116" s="52"/>
      <c r="C116" s="21">
        <f t="shared" si="16"/>
        <v>1</v>
      </c>
      <c r="D116" s="635"/>
      <c r="E116" s="21">
        <f t="shared" si="17"/>
        <v>1</v>
      </c>
      <c r="F116" s="635"/>
      <c r="G116" s="21">
        <f t="shared" si="18"/>
        <v>1</v>
      </c>
      <c r="H116" s="635"/>
      <c r="I116" s="21">
        <f t="shared" si="19"/>
        <v>1</v>
      </c>
      <c r="J116" s="635"/>
      <c r="K116" s="21">
        <f t="shared" si="20"/>
        <v>1</v>
      </c>
      <c r="L116" s="635"/>
      <c r="M116" s="21">
        <f t="shared" si="21"/>
        <v>1</v>
      </c>
      <c r="N116" s="635"/>
      <c r="O116" s="21">
        <f t="shared" si="22"/>
        <v>1</v>
      </c>
      <c r="P116" s="635"/>
      <c r="Q116" s="21">
        <f t="shared" si="23"/>
        <v>1</v>
      </c>
      <c r="R116" s="21">
        <f t="shared" si="24"/>
        <v>0</v>
      </c>
      <c r="S116" s="308">
        <f t="shared" si="15"/>
        <v>0</v>
      </c>
    </row>
    <row r="117" spans="1:19">
      <c r="A117" s="142"/>
      <c r="B117" s="52"/>
      <c r="C117" s="21">
        <f t="shared" si="16"/>
        <v>1</v>
      </c>
      <c r="D117" s="635"/>
      <c r="E117" s="21">
        <f t="shared" si="17"/>
        <v>1</v>
      </c>
      <c r="F117" s="635"/>
      <c r="G117" s="21">
        <f t="shared" si="18"/>
        <v>1</v>
      </c>
      <c r="H117" s="635"/>
      <c r="I117" s="21">
        <f t="shared" si="19"/>
        <v>1</v>
      </c>
      <c r="J117" s="635"/>
      <c r="K117" s="21">
        <f t="shared" si="20"/>
        <v>1</v>
      </c>
      <c r="L117" s="635"/>
      <c r="M117" s="21">
        <f t="shared" si="21"/>
        <v>1</v>
      </c>
      <c r="N117" s="635"/>
      <c r="O117" s="21">
        <f t="shared" si="22"/>
        <v>1</v>
      </c>
      <c r="P117" s="635"/>
      <c r="Q117" s="21">
        <f t="shared" si="23"/>
        <v>1</v>
      </c>
      <c r="R117" s="21">
        <f t="shared" si="24"/>
        <v>0</v>
      </c>
      <c r="S117" s="308">
        <f t="shared" si="15"/>
        <v>0</v>
      </c>
    </row>
    <row r="118" spans="1:19">
      <c r="A118" s="142"/>
      <c r="B118" s="52"/>
      <c r="C118" s="21">
        <f t="shared" si="16"/>
        <v>1</v>
      </c>
      <c r="D118" s="635"/>
      <c r="E118" s="21">
        <f t="shared" si="17"/>
        <v>1</v>
      </c>
      <c r="F118" s="635"/>
      <c r="G118" s="21">
        <f t="shared" si="18"/>
        <v>1</v>
      </c>
      <c r="H118" s="635"/>
      <c r="I118" s="21">
        <f t="shared" si="19"/>
        <v>1</v>
      </c>
      <c r="J118" s="635"/>
      <c r="K118" s="21">
        <f t="shared" si="20"/>
        <v>1</v>
      </c>
      <c r="L118" s="635"/>
      <c r="M118" s="21">
        <f t="shared" si="21"/>
        <v>1</v>
      </c>
      <c r="N118" s="635"/>
      <c r="O118" s="21">
        <f t="shared" si="22"/>
        <v>1</v>
      </c>
      <c r="P118" s="635"/>
      <c r="Q118" s="21">
        <f t="shared" si="23"/>
        <v>1</v>
      </c>
      <c r="R118" s="21">
        <f t="shared" si="24"/>
        <v>0</v>
      </c>
      <c r="S118" s="308">
        <f t="shared" si="15"/>
        <v>0</v>
      </c>
    </row>
    <row r="119" spans="1:19">
      <c r="A119" s="142"/>
      <c r="B119" s="52"/>
      <c r="C119" s="21">
        <f t="shared" si="16"/>
        <v>1</v>
      </c>
      <c r="D119" s="635"/>
      <c r="E119" s="21">
        <f t="shared" si="17"/>
        <v>1</v>
      </c>
      <c r="F119" s="635"/>
      <c r="G119" s="21">
        <f t="shared" si="18"/>
        <v>1</v>
      </c>
      <c r="H119" s="635"/>
      <c r="I119" s="21">
        <f t="shared" si="19"/>
        <v>1</v>
      </c>
      <c r="J119" s="635"/>
      <c r="K119" s="21">
        <f t="shared" si="20"/>
        <v>1</v>
      </c>
      <c r="L119" s="635"/>
      <c r="M119" s="21">
        <f t="shared" si="21"/>
        <v>1</v>
      </c>
      <c r="N119" s="635"/>
      <c r="O119" s="21">
        <f t="shared" si="22"/>
        <v>1</v>
      </c>
      <c r="P119" s="635"/>
      <c r="Q119" s="21">
        <f t="shared" si="23"/>
        <v>1</v>
      </c>
      <c r="R119" s="21">
        <f t="shared" si="24"/>
        <v>0</v>
      </c>
      <c r="S119" s="308">
        <f t="shared" si="15"/>
        <v>0</v>
      </c>
    </row>
    <row r="120" spans="1:19">
      <c r="A120" s="142"/>
      <c r="B120" s="52"/>
      <c r="C120" s="21">
        <f t="shared" si="16"/>
        <v>1</v>
      </c>
      <c r="D120" s="635"/>
      <c r="E120" s="21">
        <f t="shared" si="17"/>
        <v>1</v>
      </c>
      <c r="F120" s="635"/>
      <c r="G120" s="21">
        <f t="shared" si="18"/>
        <v>1</v>
      </c>
      <c r="H120" s="635"/>
      <c r="I120" s="21">
        <f t="shared" si="19"/>
        <v>1</v>
      </c>
      <c r="J120" s="635"/>
      <c r="K120" s="21">
        <f t="shared" si="20"/>
        <v>1</v>
      </c>
      <c r="L120" s="635"/>
      <c r="M120" s="21">
        <f t="shared" si="21"/>
        <v>1</v>
      </c>
      <c r="N120" s="635"/>
      <c r="O120" s="21">
        <f t="shared" si="22"/>
        <v>1</v>
      </c>
      <c r="P120" s="635"/>
      <c r="Q120" s="21">
        <f t="shared" si="23"/>
        <v>1</v>
      </c>
      <c r="R120" s="21">
        <f t="shared" si="24"/>
        <v>0</v>
      </c>
      <c r="S120" s="308">
        <f t="shared" si="15"/>
        <v>0</v>
      </c>
    </row>
    <row r="121" spans="1:19">
      <c r="A121" s="142"/>
      <c r="B121" s="52"/>
      <c r="C121" s="21">
        <f t="shared" si="16"/>
        <v>1</v>
      </c>
      <c r="D121" s="635"/>
      <c r="E121" s="21">
        <f t="shared" si="17"/>
        <v>1</v>
      </c>
      <c r="F121" s="635"/>
      <c r="G121" s="21">
        <f t="shared" si="18"/>
        <v>1</v>
      </c>
      <c r="H121" s="635"/>
      <c r="I121" s="21">
        <f t="shared" si="19"/>
        <v>1</v>
      </c>
      <c r="J121" s="635"/>
      <c r="K121" s="21">
        <f t="shared" si="20"/>
        <v>1</v>
      </c>
      <c r="L121" s="635"/>
      <c r="M121" s="21">
        <f t="shared" si="21"/>
        <v>1</v>
      </c>
      <c r="N121" s="635"/>
      <c r="O121" s="21">
        <f t="shared" si="22"/>
        <v>1</v>
      </c>
      <c r="P121" s="635"/>
      <c r="Q121" s="21">
        <f t="shared" si="23"/>
        <v>1</v>
      </c>
      <c r="R121" s="21">
        <f t="shared" si="24"/>
        <v>0</v>
      </c>
      <c r="S121" s="308">
        <f t="shared" si="15"/>
        <v>0</v>
      </c>
    </row>
    <row r="122" spans="1:19">
      <c r="A122" s="142"/>
      <c r="B122" s="52"/>
      <c r="C122" s="21">
        <f t="shared" si="16"/>
        <v>1</v>
      </c>
      <c r="D122" s="635"/>
      <c r="E122" s="21">
        <f t="shared" si="17"/>
        <v>1</v>
      </c>
      <c r="F122" s="635"/>
      <c r="G122" s="21">
        <f t="shared" si="18"/>
        <v>1</v>
      </c>
      <c r="H122" s="635"/>
      <c r="I122" s="21">
        <f t="shared" si="19"/>
        <v>1</v>
      </c>
      <c r="J122" s="635"/>
      <c r="K122" s="21">
        <f t="shared" si="20"/>
        <v>1</v>
      </c>
      <c r="L122" s="635"/>
      <c r="M122" s="21">
        <f t="shared" si="21"/>
        <v>1</v>
      </c>
      <c r="N122" s="635"/>
      <c r="O122" s="21">
        <f t="shared" si="22"/>
        <v>1</v>
      </c>
      <c r="P122" s="635"/>
      <c r="Q122" s="21">
        <f t="shared" si="23"/>
        <v>1</v>
      </c>
      <c r="R122" s="21">
        <f t="shared" si="24"/>
        <v>0</v>
      </c>
      <c r="S122" s="308">
        <f t="shared" si="15"/>
        <v>0</v>
      </c>
    </row>
    <row r="123" spans="1:19">
      <c r="A123" s="142"/>
      <c r="B123" s="52"/>
      <c r="C123" s="21">
        <f t="shared" si="16"/>
        <v>1</v>
      </c>
      <c r="D123" s="635"/>
      <c r="E123" s="21">
        <f t="shared" si="17"/>
        <v>1</v>
      </c>
      <c r="F123" s="635"/>
      <c r="G123" s="21">
        <f t="shared" si="18"/>
        <v>1</v>
      </c>
      <c r="H123" s="635"/>
      <c r="I123" s="21">
        <f t="shared" si="19"/>
        <v>1</v>
      </c>
      <c r="J123" s="635"/>
      <c r="K123" s="21">
        <f t="shared" si="20"/>
        <v>1</v>
      </c>
      <c r="L123" s="635"/>
      <c r="M123" s="21">
        <f t="shared" si="21"/>
        <v>1</v>
      </c>
      <c r="N123" s="635"/>
      <c r="O123" s="21">
        <f t="shared" si="22"/>
        <v>1</v>
      </c>
      <c r="P123" s="635"/>
      <c r="Q123" s="21">
        <f t="shared" si="23"/>
        <v>1</v>
      </c>
      <c r="R123" s="21">
        <f t="shared" si="24"/>
        <v>0</v>
      </c>
      <c r="S123" s="308">
        <f t="shared" si="15"/>
        <v>0</v>
      </c>
    </row>
    <row r="124" spans="1:19">
      <c r="A124" s="142"/>
      <c r="B124" s="52"/>
      <c r="C124" s="21">
        <f t="shared" si="16"/>
        <v>1</v>
      </c>
      <c r="D124" s="635"/>
      <c r="E124" s="21">
        <f t="shared" si="17"/>
        <v>1</v>
      </c>
      <c r="F124" s="635"/>
      <c r="G124" s="21">
        <f t="shared" si="18"/>
        <v>1</v>
      </c>
      <c r="H124" s="635"/>
      <c r="I124" s="21">
        <f t="shared" si="19"/>
        <v>1</v>
      </c>
      <c r="J124" s="635"/>
      <c r="K124" s="21">
        <f t="shared" si="20"/>
        <v>1</v>
      </c>
      <c r="L124" s="635"/>
      <c r="M124" s="21">
        <f t="shared" si="21"/>
        <v>1</v>
      </c>
      <c r="N124" s="635"/>
      <c r="O124" s="21">
        <f t="shared" si="22"/>
        <v>1</v>
      </c>
      <c r="P124" s="635"/>
      <c r="Q124" s="21">
        <f t="shared" si="23"/>
        <v>1</v>
      </c>
      <c r="R124" s="21">
        <f t="shared" si="24"/>
        <v>0</v>
      </c>
      <c r="S124" s="308">
        <f t="shared" si="15"/>
        <v>0</v>
      </c>
    </row>
    <row r="125" spans="1:19">
      <c r="A125" s="142"/>
      <c r="B125" s="52"/>
      <c r="C125" s="21">
        <f t="shared" si="16"/>
        <v>1</v>
      </c>
      <c r="D125" s="635"/>
      <c r="E125" s="21">
        <f t="shared" si="17"/>
        <v>1</v>
      </c>
      <c r="F125" s="635"/>
      <c r="G125" s="21">
        <f t="shared" si="18"/>
        <v>1</v>
      </c>
      <c r="H125" s="635"/>
      <c r="I125" s="21">
        <f t="shared" si="19"/>
        <v>1</v>
      </c>
      <c r="J125" s="635"/>
      <c r="K125" s="21">
        <f t="shared" si="20"/>
        <v>1</v>
      </c>
      <c r="L125" s="635"/>
      <c r="M125" s="21">
        <f t="shared" si="21"/>
        <v>1</v>
      </c>
      <c r="N125" s="635"/>
      <c r="O125" s="21">
        <f t="shared" si="22"/>
        <v>1</v>
      </c>
      <c r="P125" s="635"/>
      <c r="Q125" s="21">
        <f t="shared" si="23"/>
        <v>1</v>
      </c>
      <c r="R125" s="21">
        <f t="shared" si="24"/>
        <v>0</v>
      </c>
      <c r="S125" s="308">
        <f t="shared" si="15"/>
        <v>0</v>
      </c>
    </row>
    <row r="126" spans="1:19">
      <c r="A126" s="142"/>
      <c r="B126" s="52"/>
      <c r="C126" s="21">
        <f t="shared" si="16"/>
        <v>1</v>
      </c>
      <c r="D126" s="635"/>
      <c r="E126" s="21">
        <f t="shared" si="17"/>
        <v>1</v>
      </c>
      <c r="F126" s="635"/>
      <c r="G126" s="21">
        <f t="shared" si="18"/>
        <v>1</v>
      </c>
      <c r="H126" s="635"/>
      <c r="I126" s="21">
        <f t="shared" si="19"/>
        <v>1</v>
      </c>
      <c r="J126" s="635"/>
      <c r="K126" s="21">
        <f t="shared" si="20"/>
        <v>1</v>
      </c>
      <c r="L126" s="635"/>
      <c r="M126" s="21">
        <f t="shared" si="21"/>
        <v>1</v>
      </c>
      <c r="N126" s="635"/>
      <c r="O126" s="21">
        <f t="shared" si="22"/>
        <v>1</v>
      </c>
      <c r="P126" s="635"/>
      <c r="Q126" s="21">
        <f t="shared" si="23"/>
        <v>1</v>
      </c>
      <c r="R126" s="21">
        <f t="shared" si="24"/>
        <v>0</v>
      </c>
      <c r="S126" s="308">
        <f t="shared" si="15"/>
        <v>0</v>
      </c>
    </row>
    <row r="127" spans="1:19">
      <c r="A127" s="142"/>
      <c r="B127" s="52"/>
      <c r="C127" s="21">
        <f t="shared" si="16"/>
        <v>1</v>
      </c>
      <c r="D127" s="635"/>
      <c r="E127" s="21">
        <f t="shared" si="17"/>
        <v>1</v>
      </c>
      <c r="F127" s="635"/>
      <c r="G127" s="21">
        <f t="shared" si="18"/>
        <v>1</v>
      </c>
      <c r="H127" s="635"/>
      <c r="I127" s="21">
        <f t="shared" si="19"/>
        <v>1</v>
      </c>
      <c r="J127" s="635"/>
      <c r="K127" s="21">
        <f t="shared" si="20"/>
        <v>1</v>
      </c>
      <c r="L127" s="635"/>
      <c r="M127" s="21">
        <f t="shared" si="21"/>
        <v>1</v>
      </c>
      <c r="N127" s="635"/>
      <c r="O127" s="21">
        <f t="shared" si="22"/>
        <v>1</v>
      </c>
      <c r="P127" s="635"/>
      <c r="Q127" s="21">
        <f t="shared" si="23"/>
        <v>1</v>
      </c>
      <c r="R127" s="21">
        <f t="shared" si="24"/>
        <v>0</v>
      </c>
      <c r="S127" s="308">
        <f t="shared" si="15"/>
        <v>0</v>
      </c>
    </row>
    <row r="128" spans="1:19">
      <c r="A128" s="142"/>
      <c r="B128" s="52"/>
      <c r="C128" s="21">
        <f t="shared" si="16"/>
        <v>1</v>
      </c>
      <c r="D128" s="635"/>
      <c r="E128" s="21">
        <f t="shared" si="17"/>
        <v>1</v>
      </c>
      <c r="F128" s="635"/>
      <c r="G128" s="21">
        <f t="shared" si="18"/>
        <v>1</v>
      </c>
      <c r="H128" s="635"/>
      <c r="I128" s="21">
        <f t="shared" si="19"/>
        <v>1</v>
      </c>
      <c r="J128" s="635"/>
      <c r="K128" s="21">
        <f t="shared" si="20"/>
        <v>1</v>
      </c>
      <c r="L128" s="635"/>
      <c r="M128" s="21">
        <f t="shared" si="21"/>
        <v>1</v>
      </c>
      <c r="N128" s="635"/>
      <c r="O128" s="21">
        <f t="shared" si="22"/>
        <v>1</v>
      </c>
      <c r="P128" s="635"/>
      <c r="Q128" s="21">
        <f t="shared" si="23"/>
        <v>1</v>
      </c>
      <c r="R128" s="21">
        <f t="shared" si="24"/>
        <v>0</v>
      </c>
      <c r="S128" s="308">
        <f t="shared" si="15"/>
        <v>0</v>
      </c>
    </row>
    <row r="129" spans="1:19">
      <c r="A129" s="142"/>
      <c r="B129" s="52"/>
      <c r="C129" s="21">
        <f t="shared" si="16"/>
        <v>1</v>
      </c>
      <c r="D129" s="635"/>
      <c r="E129" s="21">
        <f t="shared" si="17"/>
        <v>1</v>
      </c>
      <c r="F129" s="635"/>
      <c r="G129" s="21">
        <f t="shared" si="18"/>
        <v>1</v>
      </c>
      <c r="H129" s="635"/>
      <c r="I129" s="21">
        <f t="shared" si="19"/>
        <v>1</v>
      </c>
      <c r="J129" s="635"/>
      <c r="K129" s="21">
        <f t="shared" si="20"/>
        <v>1</v>
      </c>
      <c r="L129" s="635"/>
      <c r="M129" s="21">
        <f t="shared" si="21"/>
        <v>1</v>
      </c>
      <c r="N129" s="635"/>
      <c r="O129" s="21">
        <f t="shared" si="22"/>
        <v>1</v>
      </c>
      <c r="P129" s="635"/>
      <c r="Q129" s="21">
        <f t="shared" si="23"/>
        <v>1</v>
      </c>
      <c r="R129" s="21">
        <f t="shared" si="24"/>
        <v>0</v>
      </c>
      <c r="S129" s="308">
        <f t="shared" si="15"/>
        <v>0</v>
      </c>
    </row>
    <row r="130" spans="1:19">
      <c r="A130" s="142"/>
      <c r="B130" s="52"/>
      <c r="C130" s="21">
        <f t="shared" si="16"/>
        <v>1</v>
      </c>
      <c r="D130" s="635"/>
      <c r="E130" s="21">
        <f t="shared" si="17"/>
        <v>1</v>
      </c>
      <c r="F130" s="635"/>
      <c r="G130" s="21">
        <f t="shared" si="18"/>
        <v>1</v>
      </c>
      <c r="H130" s="635"/>
      <c r="I130" s="21">
        <f t="shared" si="19"/>
        <v>1</v>
      </c>
      <c r="J130" s="635"/>
      <c r="K130" s="21">
        <f t="shared" si="20"/>
        <v>1</v>
      </c>
      <c r="L130" s="635"/>
      <c r="M130" s="21">
        <f t="shared" si="21"/>
        <v>1</v>
      </c>
      <c r="N130" s="635"/>
      <c r="O130" s="21">
        <f t="shared" si="22"/>
        <v>1</v>
      </c>
      <c r="P130" s="635"/>
      <c r="Q130" s="21">
        <f t="shared" si="23"/>
        <v>1</v>
      </c>
      <c r="R130" s="21">
        <f t="shared" si="24"/>
        <v>0</v>
      </c>
      <c r="S130" s="308">
        <f t="shared" si="15"/>
        <v>0</v>
      </c>
    </row>
    <row r="131" spans="1:19">
      <c r="A131" s="142"/>
      <c r="B131" s="52"/>
      <c r="C131" s="21">
        <f t="shared" si="16"/>
        <v>1</v>
      </c>
      <c r="D131" s="635"/>
      <c r="E131" s="21">
        <f t="shared" si="17"/>
        <v>1</v>
      </c>
      <c r="F131" s="635"/>
      <c r="G131" s="21">
        <f t="shared" si="18"/>
        <v>1</v>
      </c>
      <c r="H131" s="635"/>
      <c r="I131" s="21">
        <f t="shared" si="19"/>
        <v>1</v>
      </c>
      <c r="J131" s="635"/>
      <c r="K131" s="21">
        <f t="shared" si="20"/>
        <v>1</v>
      </c>
      <c r="L131" s="635"/>
      <c r="M131" s="21">
        <f t="shared" si="21"/>
        <v>1</v>
      </c>
      <c r="N131" s="635"/>
      <c r="O131" s="21">
        <f t="shared" si="22"/>
        <v>1</v>
      </c>
      <c r="P131" s="635"/>
      <c r="Q131" s="21">
        <f t="shared" si="23"/>
        <v>1</v>
      </c>
      <c r="R131" s="21">
        <f t="shared" si="24"/>
        <v>0</v>
      </c>
      <c r="S131" s="308">
        <f t="shared" si="15"/>
        <v>0</v>
      </c>
    </row>
    <row r="132" spans="1:19">
      <c r="A132" s="142"/>
      <c r="B132" s="52"/>
      <c r="C132" s="21">
        <f t="shared" si="16"/>
        <v>1</v>
      </c>
      <c r="D132" s="635"/>
      <c r="E132" s="21">
        <f t="shared" si="17"/>
        <v>1</v>
      </c>
      <c r="F132" s="635"/>
      <c r="G132" s="21">
        <f t="shared" si="18"/>
        <v>1</v>
      </c>
      <c r="H132" s="635"/>
      <c r="I132" s="21">
        <f t="shared" si="19"/>
        <v>1</v>
      </c>
      <c r="J132" s="635"/>
      <c r="K132" s="21">
        <f t="shared" si="20"/>
        <v>1</v>
      </c>
      <c r="L132" s="635"/>
      <c r="M132" s="21">
        <f t="shared" si="21"/>
        <v>1</v>
      </c>
      <c r="N132" s="635"/>
      <c r="O132" s="21">
        <f t="shared" si="22"/>
        <v>1</v>
      </c>
      <c r="P132" s="635"/>
      <c r="Q132" s="21">
        <f t="shared" si="23"/>
        <v>1</v>
      </c>
      <c r="R132" s="21">
        <f t="shared" si="24"/>
        <v>0</v>
      </c>
      <c r="S132" s="308">
        <f t="shared" si="15"/>
        <v>0</v>
      </c>
    </row>
    <row r="133" spans="1:19">
      <c r="A133" s="142"/>
      <c r="B133" s="52"/>
      <c r="C133" s="21">
        <f t="shared" si="16"/>
        <v>1</v>
      </c>
      <c r="D133" s="635"/>
      <c r="E133" s="21">
        <f t="shared" si="17"/>
        <v>1</v>
      </c>
      <c r="F133" s="635"/>
      <c r="G133" s="21">
        <f t="shared" si="18"/>
        <v>1</v>
      </c>
      <c r="H133" s="635"/>
      <c r="I133" s="21">
        <f t="shared" si="19"/>
        <v>1</v>
      </c>
      <c r="J133" s="635"/>
      <c r="K133" s="21">
        <f t="shared" si="20"/>
        <v>1</v>
      </c>
      <c r="L133" s="635"/>
      <c r="M133" s="21">
        <f t="shared" si="21"/>
        <v>1</v>
      </c>
      <c r="N133" s="635"/>
      <c r="O133" s="21">
        <f t="shared" si="22"/>
        <v>1</v>
      </c>
      <c r="P133" s="635"/>
      <c r="Q133" s="21">
        <f t="shared" si="23"/>
        <v>1</v>
      </c>
      <c r="R133" s="21">
        <f t="shared" si="24"/>
        <v>0</v>
      </c>
      <c r="S133" s="308">
        <f t="shared" si="15"/>
        <v>0</v>
      </c>
    </row>
    <row r="134" spans="1:19">
      <c r="A134" s="142"/>
      <c r="B134" s="52"/>
      <c r="C134" s="21">
        <f t="shared" si="16"/>
        <v>1</v>
      </c>
      <c r="D134" s="635"/>
      <c r="E134" s="21">
        <f t="shared" si="17"/>
        <v>1</v>
      </c>
      <c r="F134" s="635"/>
      <c r="G134" s="21">
        <f t="shared" si="18"/>
        <v>1</v>
      </c>
      <c r="H134" s="635"/>
      <c r="I134" s="21">
        <f t="shared" si="19"/>
        <v>1</v>
      </c>
      <c r="J134" s="635"/>
      <c r="K134" s="21">
        <f t="shared" si="20"/>
        <v>1</v>
      </c>
      <c r="L134" s="635"/>
      <c r="M134" s="21">
        <f t="shared" si="21"/>
        <v>1</v>
      </c>
      <c r="N134" s="635"/>
      <c r="O134" s="21">
        <f t="shared" si="22"/>
        <v>1</v>
      </c>
      <c r="P134" s="635"/>
      <c r="Q134" s="21">
        <f t="shared" si="23"/>
        <v>1</v>
      </c>
      <c r="R134" s="21">
        <f t="shared" si="24"/>
        <v>0</v>
      </c>
      <c r="S134" s="308">
        <f t="shared" si="15"/>
        <v>0</v>
      </c>
    </row>
    <row r="135" spans="1:19">
      <c r="A135" s="142"/>
      <c r="B135" s="52"/>
      <c r="C135" s="21">
        <f t="shared" si="16"/>
        <v>1</v>
      </c>
      <c r="D135" s="635"/>
      <c r="E135" s="21">
        <f t="shared" si="17"/>
        <v>1</v>
      </c>
      <c r="F135" s="635"/>
      <c r="G135" s="21">
        <f t="shared" si="18"/>
        <v>1</v>
      </c>
      <c r="H135" s="635"/>
      <c r="I135" s="21">
        <f t="shared" si="19"/>
        <v>1</v>
      </c>
      <c r="J135" s="635"/>
      <c r="K135" s="21">
        <f t="shared" si="20"/>
        <v>1</v>
      </c>
      <c r="L135" s="635"/>
      <c r="M135" s="21">
        <f t="shared" si="21"/>
        <v>1</v>
      </c>
      <c r="N135" s="635"/>
      <c r="O135" s="21">
        <f t="shared" si="22"/>
        <v>1</v>
      </c>
      <c r="P135" s="635"/>
      <c r="Q135" s="21">
        <f t="shared" si="23"/>
        <v>1</v>
      </c>
      <c r="R135" s="21">
        <f t="shared" si="24"/>
        <v>0</v>
      </c>
      <c r="S135" s="308">
        <f t="shared" si="15"/>
        <v>0</v>
      </c>
    </row>
    <row r="136" spans="1:19">
      <c r="A136" s="142"/>
      <c r="B136" s="52"/>
      <c r="C136" s="21">
        <f t="shared" si="16"/>
        <v>1</v>
      </c>
      <c r="D136" s="635"/>
      <c r="E136" s="21">
        <f t="shared" si="17"/>
        <v>1</v>
      </c>
      <c r="F136" s="635"/>
      <c r="G136" s="21">
        <f t="shared" si="18"/>
        <v>1</v>
      </c>
      <c r="H136" s="635"/>
      <c r="I136" s="21">
        <f t="shared" si="19"/>
        <v>1</v>
      </c>
      <c r="J136" s="635"/>
      <c r="K136" s="21">
        <f t="shared" si="20"/>
        <v>1</v>
      </c>
      <c r="L136" s="635"/>
      <c r="M136" s="21">
        <f t="shared" si="21"/>
        <v>1</v>
      </c>
      <c r="N136" s="635"/>
      <c r="O136" s="21">
        <f t="shared" si="22"/>
        <v>1</v>
      </c>
      <c r="P136" s="635"/>
      <c r="Q136" s="21">
        <f t="shared" si="23"/>
        <v>1</v>
      </c>
      <c r="R136" s="21">
        <f t="shared" si="24"/>
        <v>0</v>
      </c>
      <c r="S136" s="308">
        <f t="shared" si="15"/>
        <v>0</v>
      </c>
    </row>
    <row r="137" spans="1:19">
      <c r="A137" s="142"/>
      <c r="B137" s="52"/>
      <c r="C137" s="21">
        <f t="shared" si="16"/>
        <v>1</v>
      </c>
      <c r="D137" s="635"/>
      <c r="E137" s="21">
        <f t="shared" si="17"/>
        <v>1</v>
      </c>
      <c r="F137" s="635"/>
      <c r="G137" s="21">
        <f t="shared" si="18"/>
        <v>1</v>
      </c>
      <c r="H137" s="635"/>
      <c r="I137" s="21">
        <f t="shared" si="19"/>
        <v>1</v>
      </c>
      <c r="J137" s="635"/>
      <c r="K137" s="21">
        <f t="shared" si="20"/>
        <v>1</v>
      </c>
      <c r="L137" s="635"/>
      <c r="M137" s="21">
        <f t="shared" si="21"/>
        <v>1</v>
      </c>
      <c r="N137" s="635"/>
      <c r="O137" s="21">
        <f t="shared" si="22"/>
        <v>1</v>
      </c>
      <c r="P137" s="635"/>
      <c r="Q137" s="21">
        <f t="shared" si="23"/>
        <v>1</v>
      </c>
      <c r="R137" s="21">
        <f t="shared" si="24"/>
        <v>0</v>
      </c>
      <c r="S137" s="308">
        <f t="shared" si="15"/>
        <v>0</v>
      </c>
    </row>
    <row r="138" spans="1:19">
      <c r="A138" s="142"/>
      <c r="B138" s="52"/>
      <c r="C138" s="21">
        <f t="shared" si="16"/>
        <v>1</v>
      </c>
      <c r="D138" s="635"/>
      <c r="E138" s="21">
        <f t="shared" si="17"/>
        <v>1</v>
      </c>
      <c r="F138" s="635"/>
      <c r="G138" s="21">
        <f t="shared" si="18"/>
        <v>1</v>
      </c>
      <c r="H138" s="635"/>
      <c r="I138" s="21">
        <f t="shared" si="19"/>
        <v>1</v>
      </c>
      <c r="J138" s="635"/>
      <c r="K138" s="21">
        <f t="shared" si="20"/>
        <v>1</v>
      </c>
      <c r="L138" s="635"/>
      <c r="M138" s="21">
        <f t="shared" si="21"/>
        <v>1</v>
      </c>
      <c r="N138" s="635"/>
      <c r="O138" s="21">
        <f t="shared" si="22"/>
        <v>1</v>
      </c>
      <c r="P138" s="635"/>
      <c r="Q138" s="21">
        <f t="shared" si="23"/>
        <v>1</v>
      </c>
      <c r="R138" s="21">
        <f t="shared" si="24"/>
        <v>0</v>
      </c>
      <c r="S138" s="308">
        <f t="shared" si="15"/>
        <v>0</v>
      </c>
    </row>
    <row r="139" spans="1:19">
      <c r="A139" s="142"/>
      <c r="B139" s="52"/>
      <c r="C139" s="21">
        <f t="shared" si="16"/>
        <v>1</v>
      </c>
      <c r="D139" s="635"/>
      <c r="E139" s="21">
        <f t="shared" si="17"/>
        <v>1</v>
      </c>
      <c r="F139" s="635"/>
      <c r="G139" s="21">
        <f t="shared" si="18"/>
        <v>1</v>
      </c>
      <c r="H139" s="635"/>
      <c r="I139" s="21">
        <f t="shared" si="19"/>
        <v>1</v>
      </c>
      <c r="J139" s="635"/>
      <c r="K139" s="21">
        <f t="shared" si="20"/>
        <v>1</v>
      </c>
      <c r="L139" s="635"/>
      <c r="M139" s="21">
        <f t="shared" si="21"/>
        <v>1</v>
      </c>
      <c r="N139" s="635"/>
      <c r="O139" s="21">
        <f t="shared" si="22"/>
        <v>1</v>
      </c>
      <c r="P139" s="635"/>
      <c r="Q139" s="21">
        <f t="shared" si="23"/>
        <v>1</v>
      </c>
      <c r="R139" s="21">
        <f t="shared" si="24"/>
        <v>0</v>
      </c>
      <c r="S139" s="308">
        <f t="shared" si="15"/>
        <v>0</v>
      </c>
    </row>
    <row r="140" spans="1:19">
      <c r="A140" s="142"/>
      <c r="B140" s="52"/>
      <c r="C140" s="21">
        <f t="shared" si="16"/>
        <v>1</v>
      </c>
      <c r="D140" s="635"/>
      <c r="E140" s="21">
        <f t="shared" si="17"/>
        <v>1</v>
      </c>
      <c r="F140" s="635"/>
      <c r="G140" s="21">
        <f t="shared" si="18"/>
        <v>1</v>
      </c>
      <c r="H140" s="635"/>
      <c r="I140" s="21">
        <f t="shared" si="19"/>
        <v>1</v>
      </c>
      <c r="J140" s="635"/>
      <c r="K140" s="21">
        <f t="shared" si="20"/>
        <v>1</v>
      </c>
      <c r="L140" s="635"/>
      <c r="M140" s="21">
        <f t="shared" si="21"/>
        <v>1</v>
      </c>
      <c r="N140" s="635"/>
      <c r="O140" s="21">
        <f t="shared" si="22"/>
        <v>1</v>
      </c>
      <c r="P140" s="635"/>
      <c r="Q140" s="21">
        <f t="shared" si="23"/>
        <v>1</v>
      </c>
      <c r="R140" s="21">
        <f t="shared" si="24"/>
        <v>0</v>
      </c>
      <c r="S140" s="308">
        <f t="shared" si="15"/>
        <v>0</v>
      </c>
    </row>
    <row r="141" spans="1:19">
      <c r="A141" s="142"/>
      <c r="B141" s="52"/>
      <c r="C141" s="21">
        <f t="shared" si="16"/>
        <v>1</v>
      </c>
      <c r="D141" s="635"/>
      <c r="E141" s="21">
        <f t="shared" si="17"/>
        <v>1</v>
      </c>
      <c r="F141" s="635"/>
      <c r="G141" s="21">
        <f t="shared" si="18"/>
        <v>1</v>
      </c>
      <c r="H141" s="635"/>
      <c r="I141" s="21">
        <f t="shared" si="19"/>
        <v>1</v>
      </c>
      <c r="J141" s="635"/>
      <c r="K141" s="21">
        <f t="shared" si="20"/>
        <v>1</v>
      </c>
      <c r="L141" s="635"/>
      <c r="M141" s="21">
        <f t="shared" si="21"/>
        <v>1</v>
      </c>
      <c r="N141" s="635"/>
      <c r="O141" s="21">
        <f t="shared" si="22"/>
        <v>1</v>
      </c>
      <c r="P141" s="635"/>
      <c r="Q141" s="21">
        <f t="shared" si="23"/>
        <v>1</v>
      </c>
      <c r="R141" s="21">
        <f t="shared" si="24"/>
        <v>0</v>
      </c>
      <c r="S141" s="308">
        <f t="shared" si="15"/>
        <v>0</v>
      </c>
    </row>
    <row r="142" spans="1:19">
      <c r="A142" s="142"/>
      <c r="B142" s="52"/>
      <c r="C142" s="21">
        <f t="shared" si="16"/>
        <v>1</v>
      </c>
      <c r="D142" s="635"/>
      <c r="E142" s="21">
        <f t="shared" si="17"/>
        <v>1</v>
      </c>
      <c r="F142" s="635"/>
      <c r="G142" s="21">
        <f t="shared" si="18"/>
        <v>1</v>
      </c>
      <c r="H142" s="635"/>
      <c r="I142" s="21">
        <f t="shared" si="19"/>
        <v>1</v>
      </c>
      <c r="J142" s="635"/>
      <c r="K142" s="21">
        <f t="shared" si="20"/>
        <v>1</v>
      </c>
      <c r="L142" s="635"/>
      <c r="M142" s="21">
        <f t="shared" si="21"/>
        <v>1</v>
      </c>
      <c r="N142" s="635"/>
      <c r="O142" s="21">
        <f t="shared" si="22"/>
        <v>1</v>
      </c>
      <c r="P142" s="635"/>
      <c r="Q142" s="21">
        <f t="shared" si="23"/>
        <v>1</v>
      </c>
      <c r="R142" s="21">
        <f t="shared" si="24"/>
        <v>0</v>
      </c>
      <c r="S142" s="308">
        <f t="shared" si="15"/>
        <v>0</v>
      </c>
    </row>
    <row r="143" spans="1:19">
      <c r="A143" s="142"/>
      <c r="B143" s="52"/>
      <c r="C143" s="21">
        <f t="shared" si="16"/>
        <v>1</v>
      </c>
      <c r="D143" s="635"/>
      <c r="E143" s="21">
        <f t="shared" si="17"/>
        <v>1</v>
      </c>
      <c r="F143" s="635"/>
      <c r="G143" s="21">
        <f t="shared" si="18"/>
        <v>1</v>
      </c>
      <c r="H143" s="635"/>
      <c r="I143" s="21">
        <f t="shared" si="19"/>
        <v>1</v>
      </c>
      <c r="J143" s="635"/>
      <c r="K143" s="21">
        <f t="shared" si="20"/>
        <v>1</v>
      </c>
      <c r="L143" s="635"/>
      <c r="M143" s="21">
        <f t="shared" si="21"/>
        <v>1</v>
      </c>
      <c r="N143" s="635"/>
      <c r="O143" s="21">
        <f t="shared" si="22"/>
        <v>1</v>
      </c>
      <c r="P143" s="635"/>
      <c r="Q143" s="21">
        <f t="shared" si="23"/>
        <v>1</v>
      </c>
      <c r="R143" s="21">
        <f t="shared" si="24"/>
        <v>0</v>
      </c>
      <c r="S143" s="308">
        <f t="shared" si="15"/>
        <v>0</v>
      </c>
    </row>
    <row r="144" spans="1:19">
      <c r="A144" s="142"/>
      <c r="B144" s="52"/>
      <c r="C144" s="21">
        <f t="shared" si="16"/>
        <v>1</v>
      </c>
      <c r="D144" s="635"/>
      <c r="E144" s="21">
        <f t="shared" si="17"/>
        <v>1</v>
      </c>
      <c r="F144" s="635"/>
      <c r="G144" s="21">
        <f t="shared" si="18"/>
        <v>1</v>
      </c>
      <c r="H144" s="635"/>
      <c r="I144" s="21">
        <f t="shared" si="19"/>
        <v>1</v>
      </c>
      <c r="J144" s="635"/>
      <c r="K144" s="21">
        <f t="shared" si="20"/>
        <v>1</v>
      </c>
      <c r="L144" s="635"/>
      <c r="M144" s="21">
        <f t="shared" si="21"/>
        <v>1</v>
      </c>
      <c r="N144" s="635"/>
      <c r="O144" s="21">
        <f t="shared" si="22"/>
        <v>1</v>
      </c>
      <c r="P144" s="635"/>
      <c r="Q144" s="21">
        <f t="shared" si="23"/>
        <v>1</v>
      </c>
      <c r="R144" s="21">
        <f t="shared" si="24"/>
        <v>0</v>
      </c>
      <c r="S144" s="308">
        <f t="shared" si="15"/>
        <v>0</v>
      </c>
    </row>
    <row r="145" spans="1:19">
      <c r="A145" s="142"/>
      <c r="B145" s="52"/>
      <c r="C145" s="21">
        <f t="shared" si="16"/>
        <v>1</v>
      </c>
      <c r="D145" s="635"/>
      <c r="E145" s="21">
        <f t="shared" si="17"/>
        <v>1</v>
      </c>
      <c r="F145" s="635"/>
      <c r="G145" s="21">
        <f t="shared" si="18"/>
        <v>1</v>
      </c>
      <c r="H145" s="635"/>
      <c r="I145" s="21">
        <f t="shared" si="19"/>
        <v>1</v>
      </c>
      <c r="J145" s="635"/>
      <c r="K145" s="21">
        <f t="shared" si="20"/>
        <v>1</v>
      </c>
      <c r="L145" s="635"/>
      <c r="M145" s="21">
        <f t="shared" si="21"/>
        <v>1</v>
      </c>
      <c r="N145" s="635"/>
      <c r="O145" s="21">
        <f t="shared" si="22"/>
        <v>1</v>
      </c>
      <c r="P145" s="635"/>
      <c r="Q145" s="21">
        <f t="shared" si="23"/>
        <v>1</v>
      </c>
      <c r="R145" s="21">
        <f t="shared" si="24"/>
        <v>0</v>
      </c>
      <c r="S145" s="308">
        <f t="shared" si="15"/>
        <v>0</v>
      </c>
    </row>
    <row r="146" spans="1:19">
      <c r="A146" s="142"/>
      <c r="B146" s="52"/>
      <c r="C146" s="21">
        <f t="shared" si="16"/>
        <v>1</v>
      </c>
      <c r="D146" s="635"/>
      <c r="E146" s="21">
        <f t="shared" si="17"/>
        <v>1</v>
      </c>
      <c r="F146" s="635"/>
      <c r="G146" s="21">
        <f t="shared" si="18"/>
        <v>1</v>
      </c>
      <c r="H146" s="635"/>
      <c r="I146" s="21">
        <f t="shared" si="19"/>
        <v>1</v>
      </c>
      <c r="J146" s="635"/>
      <c r="K146" s="21">
        <f t="shared" si="20"/>
        <v>1</v>
      </c>
      <c r="L146" s="635"/>
      <c r="M146" s="21">
        <f t="shared" si="21"/>
        <v>1</v>
      </c>
      <c r="N146" s="635"/>
      <c r="O146" s="21">
        <f t="shared" si="22"/>
        <v>1</v>
      </c>
      <c r="P146" s="635"/>
      <c r="Q146" s="21">
        <f t="shared" si="23"/>
        <v>1</v>
      </c>
      <c r="R146" s="21">
        <f t="shared" si="24"/>
        <v>0</v>
      </c>
      <c r="S146" s="308">
        <f t="shared" si="15"/>
        <v>0</v>
      </c>
    </row>
    <row r="147" spans="1:19">
      <c r="A147" s="142"/>
      <c r="B147" s="52"/>
      <c r="C147" s="21">
        <f t="shared" si="16"/>
        <v>1</v>
      </c>
      <c r="D147" s="635"/>
      <c r="E147" s="21">
        <f t="shared" si="17"/>
        <v>1</v>
      </c>
      <c r="F147" s="635"/>
      <c r="G147" s="21">
        <f t="shared" si="18"/>
        <v>1</v>
      </c>
      <c r="H147" s="635"/>
      <c r="I147" s="21">
        <f t="shared" si="19"/>
        <v>1</v>
      </c>
      <c r="J147" s="635"/>
      <c r="K147" s="21">
        <f t="shared" si="20"/>
        <v>1</v>
      </c>
      <c r="L147" s="635"/>
      <c r="M147" s="21">
        <f t="shared" si="21"/>
        <v>1</v>
      </c>
      <c r="N147" s="635"/>
      <c r="O147" s="21">
        <f t="shared" si="22"/>
        <v>1</v>
      </c>
      <c r="P147" s="635"/>
      <c r="Q147" s="21">
        <f t="shared" si="23"/>
        <v>1</v>
      </c>
      <c r="R147" s="21">
        <f t="shared" si="24"/>
        <v>0</v>
      </c>
      <c r="S147" s="308">
        <f t="shared" si="15"/>
        <v>0</v>
      </c>
    </row>
    <row r="148" spans="1:19">
      <c r="A148" s="142"/>
      <c r="B148" s="52"/>
      <c r="C148" s="21">
        <f t="shared" si="16"/>
        <v>1</v>
      </c>
      <c r="D148" s="635"/>
      <c r="E148" s="21">
        <f t="shared" si="17"/>
        <v>1</v>
      </c>
      <c r="F148" s="635"/>
      <c r="G148" s="21">
        <f t="shared" si="18"/>
        <v>1</v>
      </c>
      <c r="H148" s="635"/>
      <c r="I148" s="21">
        <f t="shared" si="19"/>
        <v>1</v>
      </c>
      <c r="J148" s="635"/>
      <c r="K148" s="21">
        <f t="shared" si="20"/>
        <v>1</v>
      </c>
      <c r="L148" s="635"/>
      <c r="M148" s="21">
        <f t="shared" si="21"/>
        <v>1</v>
      </c>
      <c r="N148" s="635"/>
      <c r="O148" s="21">
        <f t="shared" si="22"/>
        <v>1</v>
      </c>
      <c r="P148" s="635"/>
      <c r="Q148" s="21">
        <f t="shared" si="23"/>
        <v>1</v>
      </c>
      <c r="R148" s="21">
        <f t="shared" si="24"/>
        <v>0</v>
      </c>
      <c r="S148" s="308">
        <f t="shared" si="15"/>
        <v>0</v>
      </c>
    </row>
    <row r="149" spans="1:19">
      <c r="A149" s="142"/>
      <c r="B149" s="52"/>
      <c r="C149" s="21">
        <f t="shared" si="16"/>
        <v>1</v>
      </c>
      <c r="D149" s="635"/>
      <c r="E149" s="21">
        <f t="shared" si="17"/>
        <v>1</v>
      </c>
      <c r="F149" s="635"/>
      <c r="G149" s="21">
        <f t="shared" si="18"/>
        <v>1</v>
      </c>
      <c r="H149" s="635"/>
      <c r="I149" s="21">
        <f t="shared" si="19"/>
        <v>1</v>
      </c>
      <c r="J149" s="635"/>
      <c r="K149" s="21">
        <f t="shared" si="20"/>
        <v>1</v>
      </c>
      <c r="L149" s="635"/>
      <c r="M149" s="21">
        <f t="shared" si="21"/>
        <v>1</v>
      </c>
      <c r="N149" s="635"/>
      <c r="O149" s="21">
        <f t="shared" si="22"/>
        <v>1</v>
      </c>
      <c r="P149" s="635"/>
      <c r="Q149" s="21">
        <f t="shared" si="23"/>
        <v>1</v>
      </c>
      <c r="R149" s="21">
        <f t="shared" si="24"/>
        <v>0</v>
      </c>
      <c r="S149" s="308">
        <f t="shared" si="15"/>
        <v>0</v>
      </c>
    </row>
    <row r="150" spans="1:19">
      <c r="A150" s="142"/>
      <c r="B150" s="52"/>
      <c r="C150" s="21">
        <f t="shared" si="16"/>
        <v>1</v>
      </c>
      <c r="D150" s="635"/>
      <c r="E150" s="21">
        <f t="shared" si="17"/>
        <v>1</v>
      </c>
      <c r="F150" s="635"/>
      <c r="G150" s="21">
        <f t="shared" si="18"/>
        <v>1</v>
      </c>
      <c r="H150" s="635"/>
      <c r="I150" s="21">
        <f t="shared" si="19"/>
        <v>1</v>
      </c>
      <c r="J150" s="635"/>
      <c r="K150" s="21">
        <f t="shared" si="20"/>
        <v>1</v>
      </c>
      <c r="L150" s="635"/>
      <c r="M150" s="21">
        <f t="shared" si="21"/>
        <v>1</v>
      </c>
      <c r="N150" s="635"/>
      <c r="O150" s="21">
        <f t="shared" si="22"/>
        <v>1</v>
      </c>
      <c r="P150" s="635"/>
      <c r="Q150" s="21">
        <f t="shared" si="23"/>
        <v>1</v>
      </c>
      <c r="R150" s="21">
        <f t="shared" si="24"/>
        <v>0</v>
      </c>
      <c r="S150" s="308">
        <f t="shared" si="15"/>
        <v>0</v>
      </c>
    </row>
    <row r="151" spans="1:19">
      <c r="A151" s="142"/>
      <c r="B151" s="52"/>
      <c r="C151" s="21">
        <f t="shared" si="16"/>
        <v>1</v>
      </c>
      <c r="D151" s="635"/>
      <c r="E151" s="21">
        <f t="shared" si="17"/>
        <v>1</v>
      </c>
      <c r="F151" s="635"/>
      <c r="G151" s="21">
        <f t="shared" si="18"/>
        <v>1</v>
      </c>
      <c r="H151" s="635"/>
      <c r="I151" s="21">
        <f t="shared" si="19"/>
        <v>1</v>
      </c>
      <c r="J151" s="635"/>
      <c r="K151" s="21">
        <f t="shared" si="20"/>
        <v>1</v>
      </c>
      <c r="L151" s="635"/>
      <c r="M151" s="21">
        <f t="shared" si="21"/>
        <v>1</v>
      </c>
      <c r="N151" s="635"/>
      <c r="O151" s="21">
        <f t="shared" si="22"/>
        <v>1</v>
      </c>
      <c r="P151" s="635"/>
      <c r="Q151" s="21">
        <f t="shared" si="23"/>
        <v>1</v>
      </c>
      <c r="R151" s="21">
        <f t="shared" si="24"/>
        <v>0</v>
      </c>
      <c r="S151" s="308">
        <f t="shared" si="15"/>
        <v>0</v>
      </c>
    </row>
    <row r="152" spans="1:19">
      <c r="A152" s="142"/>
      <c r="B152" s="52"/>
      <c r="C152" s="21">
        <f t="shared" si="16"/>
        <v>1</v>
      </c>
      <c r="D152" s="635"/>
      <c r="E152" s="21">
        <f t="shared" si="17"/>
        <v>1</v>
      </c>
      <c r="F152" s="635"/>
      <c r="G152" s="21">
        <f t="shared" si="18"/>
        <v>1</v>
      </c>
      <c r="H152" s="635"/>
      <c r="I152" s="21">
        <f t="shared" si="19"/>
        <v>1</v>
      </c>
      <c r="J152" s="635"/>
      <c r="K152" s="21">
        <f t="shared" si="20"/>
        <v>1</v>
      </c>
      <c r="L152" s="635"/>
      <c r="M152" s="21">
        <f t="shared" si="21"/>
        <v>1</v>
      </c>
      <c r="N152" s="635"/>
      <c r="O152" s="21">
        <f t="shared" si="22"/>
        <v>1</v>
      </c>
      <c r="P152" s="635"/>
      <c r="Q152" s="21">
        <f t="shared" si="23"/>
        <v>1</v>
      </c>
      <c r="R152" s="21">
        <f t="shared" si="24"/>
        <v>0</v>
      </c>
      <c r="S152" s="308">
        <f t="shared" ref="S152:S215" si="25">ROUND(R152*B152/10000,0)</f>
        <v>0</v>
      </c>
    </row>
    <row r="153" spans="1:19">
      <c r="A153" s="142"/>
      <c r="B153" s="52"/>
      <c r="C153" s="21">
        <f t="shared" si="16"/>
        <v>1</v>
      </c>
      <c r="D153" s="635"/>
      <c r="E153" s="21">
        <f t="shared" si="17"/>
        <v>1</v>
      </c>
      <c r="F153" s="635"/>
      <c r="G153" s="21">
        <f t="shared" si="18"/>
        <v>1</v>
      </c>
      <c r="H153" s="635"/>
      <c r="I153" s="21">
        <f t="shared" si="19"/>
        <v>1</v>
      </c>
      <c r="J153" s="635"/>
      <c r="K153" s="21">
        <f t="shared" si="20"/>
        <v>1</v>
      </c>
      <c r="L153" s="635"/>
      <c r="M153" s="21">
        <f t="shared" si="21"/>
        <v>1</v>
      </c>
      <c r="N153" s="635"/>
      <c r="O153" s="21">
        <f t="shared" si="22"/>
        <v>1</v>
      </c>
      <c r="P153" s="635"/>
      <c r="Q153" s="21">
        <f t="shared" si="23"/>
        <v>1</v>
      </c>
      <c r="R153" s="21">
        <f t="shared" si="24"/>
        <v>0</v>
      </c>
      <c r="S153" s="308">
        <f t="shared" si="25"/>
        <v>0</v>
      </c>
    </row>
    <row r="154" spans="1:19">
      <c r="A154" s="142"/>
      <c r="B154" s="52"/>
      <c r="C154" s="21">
        <f t="shared" ref="C154:C217" si="26">IF(B154="",1,(LOOKUP(B154,$3:$3,$4:$4)-LOOKUP($B$24,$3:$3,$4:$4)+100)/100)</f>
        <v>1</v>
      </c>
      <c r="D154" s="635"/>
      <c r="E154" s="21">
        <f t="shared" ref="E154:E217" si="27">(SUMIF($5:$5,D154,$6:$6)-SUMIF($5:$5,$D$24,$6:$6)+100)/100</f>
        <v>1</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1</v>
      </c>
      <c r="R154" s="21">
        <f t="shared" ref="R154:R217" si="34">IF(B154="",0,ROUND($R$24*C154*E154*G154*I154*K154*M154*O154*Q154,0))</f>
        <v>0</v>
      </c>
      <c r="S154" s="308">
        <f t="shared" si="25"/>
        <v>0</v>
      </c>
    </row>
    <row r="155" spans="1:19">
      <c r="A155" s="142"/>
      <c r="B155" s="52"/>
      <c r="C155" s="21">
        <f t="shared" si="26"/>
        <v>1</v>
      </c>
      <c r="D155" s="635"/>
      <c r="E155" s="21">
        <f t="shared" si="27"/>
        <v>1</v>
      </c>
      <c r="F155" s="635"/>
      <c r="G155" s="21">
        <f t="shared" si="28"/>
        <v>1</v>
      </c>
      <c r="H155" s="635"/>
      <c r="I155" s="21">
        <f t="shared" si="29"/>
        <v>1</v>
      </c>
      <c r="J155" s="635"/>
      <c r="K155" s="21">
        <f t="shared" si="30"/>
        <v>1</v>
      </c>
      <c r="L155" s="635"/>
      <c r="M155" s="21">
        <f t="shared" si="31"/>
        <v>1</v>
      </c>
      <c r="N155" s="635"/>
      <c r="O155" s="21">
        <f t="shared" si="32"/>
        <v>1</v>
      </c>
      <c r="P155" s="635"/>
      <c r="Q155" s="21">
        <f t="shared" si="33"/>
        <v>1</v>
      </c>
      <c r="R155" s="21">
        <f t="shared" si="34"/>
        <v>0</v>
      </c>
      <c r="S155" s="308">
        <f t="shared" si="25"/>
        <v>0</v>
      </c>
    </row>
    <row r="156" spans="1:19">
      <c r="A156" s="142"/>
      <c r="B156" s="52"/>
      <c r="C156" s="21">
        <f t="shared" si="26"/>
        <v>1</v>
      </c>
      <c r="D156" s="635"/>
      <c r="E156" s="21">
        <f t="shared" si="27"/>
        <v>1</v>
      </c>
      <c r="F156" s="635"/>
      <c r="G156" s="21">
        <f t="shared" si="28"/>
        <v>1</v>
      </c>
      <c r="H156" s="635"/>
      <c r="I156" s="21">
        <f t="shared" si="29"/>
        <v>1</v>
      </c>
      <c r="J156" s="635"/>
      <c r="K156" s="21">
        <f t="shared" si="30"/>
        <v>1</v>
      </c>
      <c r="L156" s="635"/>
      <c r="M156" s="21">
        <f t="shared" si="31"/>
        <v>1</v>
      </c>
      <c r="N156" s="635"/>
      <c r="O156" s="21">
        <f t="shared" si="32"/>
        <v>1</v>
      </c>
      <c r="P156" s="635"/>
      <c r="Q156" s="21">
        <f t="shared" si="33"/>
        <v>1</v>
      </c>
      <c r="R156" s="21">
        <f t="shared" si="34"/>
        <v>0</v>
      </c>
      <c r="S156" s="308">
        <f t="shared" si="25"/>
        <v>0</v>
      </c>
    </row>
    <row r="157" spans="1:19">
      <c r="A157" s="142"/>
      <c r="B157" s="52"/>
      <c r="C157" s="21">
        <f t="shared" si="26"/>
        <v>1</v>
      </c>
      <c r="D157" s="635"/>
      <c r="E157" s="21">
        <f t="shared" si="27"/>
        <v>1</v>
      </c>
      <c r="F157" s="635"/>
      <c r="G157" s="21">
        <f t="shared" si="28"/>
        <v>1</v>
      </c>
      <c r="H157" s="635"/>
      <c r="I157" s="21">
        <f t="shared" si="29"/>
        <v>1</v>
      </c>
      <c r="J157" s="635"/>
      <c r="K157" s="21">
        <f t="shared" si="30"/>
        <v>1</v>
      </c>
      <c r="L157" s="635"/>
      <c r="M157" s="21">
        <f t="shared" si="31"/>
        <v>1</v>
      </c>
      <c r="N157" s="635"/>
      <c r="O157" s="21">
        <f t="shared" si="32"/>
        <v>1</v>
      </c>
      <c r="P157" s="635"/>
      <c r="Q157" s="21">
        <f t="shared" si="33"/>
        <v>1</v>
      </c>
      <c r="R157" s="21">
        <f t="shared" si="34"/>
        <v>0</v>
      </c>
      <c r="S157" s="308">
        <f t="shared" si="25"/>
        <v>0</v>
      </c>
    </row>
    <row r="158" spans="1:19">
      <c r="A158" s="142"/>
      <c r="B158" s="52"/>
      <c r="C158" s="21">
        <f t="shared" si="26"/>
        <v>1</v>
      </c>
      <c r="D158" s="635"/>
      <c r="E158" s="21">
        <f t="shared" si="27"/>
        <v>1</v>
      </c>
      <c r="F158" s="635"/>
      <c r="G158" s="21">
        <f t="shared" si="28"/>
        <v>1</v>
      </c>
      <c r="H158" s="635"/>
      <c r="I158" s="21">
        <f t="shared" si="29"/>
        <v>1</v>
      </c>
      <c r="J158" s="635"/>
      <c r="K158" s="21">
        <f t="shared" si="30"/>
        <v>1</v>
      </c>
      <c r="L158" s="635"/>
      <c r="M158" s="21">
        <f t="shared" si="31"/>
        <v>1</v>
      </c>
      <c r="N158" s="635"/>
      <c r="O158" s="21">
        <f t="shared" si="32"/>
        <v>1</v>
      </c>
      <c r="P158" s="635"/>
      <c r="Q158" s="21">
        <f t="shared" si="33"/>
        <v>1</v>
      </c>
      <c r="R158" s="21">
        <f t="shared" si="34"/>
        <v>0</v>
      </c>
      <c r="S158" s="308">
        <f t="shared" si="25"/>
        <v>0</v>
      </c>
    </row>
    <row r="159" spans="1:19">
      <c r="A159" s="142"/>
      <c r="B159" s="52"/>
      <c r="C159" s="21">
        <f t="shared" si="26"/>
        <v>1</v>
      </c>
      <c r="D159" s="635"/>
      <c r="E159" s="21">
        <f t="shared" si="27"/>
        <v>1</v>
      </c>
      <c r="F159" s="635"/>
      <c r="G159" s="21">
        <f t="shared" si="28"/>
        <v>1</v>
      </c>
      <c r="H159" s="635"/>
      <c r="I159" s="21">
        <f t="shared" si="29"/>
        <v>1</v>
      </c>
      <c r="J159" s="635"/>
      <c r="K159" s="21">
        <f t="shared" si="30"/>
        <v>1</v>
      </c>
      <c r="L159" s="635"/>
      <c r="M159" s="21">
        <f t="shared" si="31"/>
        <v>1</v>
      </c>
      <c r="N159" s="635"/>
      <c r="O159" s="21">
        <f t="shared" si="32"/>
        <v>1</v>
      </c>
      <c r="P159" s="635"/>
      <c r="Q159" s="21">
        <f t="shared" si="33"/>
        <v>1</v>
      </c>
      <c r="R159" s="21">
        <f t="shared" si="34"/>
        <v>0</v>
      </c>
      <c r="S159" s="308">
        <f t="shared" si="25"/>
        <v>0</v>
      </c>
    </row>
    <row r="160" spans="1:19">
      <c r="A160" s="142"/>
      <c r="B160" s="52"/>
      <c r="C160" s="21">
        <f t="shared" si="26"/>
        <v>1</v>
      </c>
      <c r="D160" s="635"/>
      <c r="E160" s="21">
        <f t="shared" si="27"/>
        <v>1</v>
      </c>
      <c r="F160" s="635"/>
      <c r="G160" s="21">
        <f t="shared" si="28"/>
        <v>1</v>
      </c>
      <c r="H160" s="635"/>
      <c r="I160" s="21">
        <f t="shared" si="29"/>
        <v>1</v>
      </c>
      <c r="J160" s="635"/>
      <c r="K160" s="21">
        <f t="shared" si="30"/>
        <v>1</v>
      </c>
      <c r="L160" s="635"/>
      <c r="M160" s="21">
        <f t="shared" si="31"/>
        <v>1</v>
      </c>
      <c r="N160" s="635"/>
      <c r="O160" s="21">
        <f t="shared" si="32"/>
        <v>1</v>
      </c>
      <c r="P160" s="635"/>
      <c r="Q160" s="21">
        <f t="shared" si="33"/>
        <v>1</v>
      </c>
      <c r="R160" s="21">
        <f t="shared" si="34"/>
        <v>0</v>
      </c>
      <c r="S160" s="308">
        <f t="shared" si="25"/>
        <v>0</v>
      </c>
    </row>
    <row r="161" spans="1:19">
      <c r="A161" s="142"/>
      <c r="B161" s="52"/>
      <c r="C161" s="21">
        <f t="shared" si="26"/>
        <v>1</v>
      </c>
      <c r="D161" s="635"/>
      <c r="E161" s="21">
        <f t="shared" si="27"/>
        <v>1</v>
      </c>
      <c r="F161" s="635"/>
      <c r="G161" s="21">
        <f t="shared" si="28"/>
        <v>1</v>
      </c>
      <c r="H161" s="635"/>
      <c r="I161" s="21">
        <f t="shared" si="29"/>
        <v>1</v>
      </c>
      <c r="J161" s="635"/>
      <c r="K161" s="21">
        <f t="shared" si="30"/>
        <v>1</v>
      </c>
      <c r="L161" s="635"/>
      <c r="M161" s="21">
        <f t="shared" si="31"/>
        <v>1</v>
      </c>
      <c r="N161" s="635"/>
      <c r="O161" s="21">
        <f t="shared" si="32"/>
        <v>1</v>
      </c>
      <c r="P161" s="635"/>
      <c r="Q161" s="21">
        <f t="shared" si="33"/>
        <v>1</v>
      </c>
      <c r="R161" s="21">
        <f t="shared" si="34"/>
        <v>0</v>
      </c>
      <c r="S161" s="308">
        <f t="shared" si="25"/>
        <v>0</v>
      </c>
    </row>
    <row r="162" spans="1:19">
      <c r="A162" s="142"/>
      <c r="B162" s="52"/>
      <c r="C162" s="21">
        <f t="shared" si="26"/>
        <v>1</v>
      </c>
      <c r="D162" s="635"/>
      <c r="E162" s="21">
        <f t="shared" si="27"/>
        <v>1</v>
      </c>
      <c r="F162" s="635"/>
      <c r="G162" s="21">
        <f t="shared" si="28"/>
        <v>1</v>
      </c>
      <c r="H162" s="635"/>
      <c r="I162" s="21">
        <f t="shared" si="29"/>
        <v>1</v>
      </c>
      <c r="J162" s="635"/>
      <c r="K162" s="21">
        <f t="shared" si="30"/>
        <v>1</v>
      </c>
      <c r="L162" s="635"/>
      <c r="M162" s="21">
        <f t="shared" si="31"/>
        <v>1</v>
      </c>
      <c r="N162" s="635"/>
      <c r="O162" s="21">
        <f t="shared" si="32"/>
        <v>1</v>
      </c>
      <c r="P162" s="635"/>
      <c r="Q162" s="21">
        <f t="shared" si="33"/>
        <v>1</v>
      </c>
      <c r="R162" s="21">
        <f t="shared" si="34"/>
        <v>0</v>
      </c>
      <c r="S162" s="308">
        <f t="shared" si="25"/>
        <v>0</v>
      </c>
    </row>
    <row r="163" spans="1:19">
      <c r="A163" s="142"/>
      <c r="B163" s="52"/>
      <c r="C163" s="21">
        <f t="shared" si="26"/>
        <v>1</v>
      </c>
      <c r="D163" s="635"/>
      <c r="E163" s="21">
        <f t="shared" si="27"/>
        <v>1</v>
      </c>
      <c r="F163" s="635"/>
      <c r="G163" s="21">
        <f t="shared" si="28"/>
        <v>1</v>
      </c>
      <c r="H163" s="635"/>
      <c r="I163" s="21">
        <f t="shared" si="29"/>
        <v>1</v>
      </c>
      <c r="J163" s="635"/>
      <c r="K163" s="21">
        <f t="shared" si="30"/>
        <v>1</v>
      </c>
      <c r="L163" s="635"/>
      <c r="M163" s="21">
        <f t="shared" si="31"/>
        <v>1</v>
      </c>
      <c r="N163" s="635"/>
      <c r="O163" s="21">
        <f t="shared" si="32"/>
        <v>1</v>
      </c>
      <c r="P163" s="635"/>
      <c r="Q163" s="21">
        <f t="shared" si="33"/>
        <v>1</v>
      </c>
      <c r="R163" s="21">
        <f t="shared" si="34"/>
        <v>0</v>
      </c>
      <c r="S163" s="308">
        <f t="shared" si="25"/>
        <v>0</v>
      </c>
    </row>
    <row r="164" spans="1:19">
      <c r="A164" s="142"/>
      <c r="B164" s="52"/>
      <c r="C164" s="21">
        <f t="shared" si="26"/>
        <v>1</v>
      </c>
      <c r="D164" s="635"/>
      <c r="E164" s="21">
        <f t="shared" si="27"/>
        <v>1</v>
      </c>
      <c r="F164" s="635"/>
      <c r="G164" s="21">
        <f t="shared" si="28"/>
        <v>1</v>
      </c>
      <c r="H164" s="635"/>
      <c r="I164" s="21">
        <f t="shared" si="29"/>
        <v>1</v>
      </c>
      <c r="J164" s="635"/>
      <c r="K164" s="21">
        <f t="shared" si="30"/>
        <v>1</v>
      </c>
      <c r="L164" s="635"/>
      <c r="M164" s="21">
        <f t="shared" si="31"/>
        <v>1</v>
      </c>
      <c r="N164" s="635"/>
      <c r="O164" s="21">
        <f t="shared" si="32"/>
        <v>1</v>
      </c>
      <c r="P164" s="635"/>
      <c r="Q164" s="21">
        <f t="shared" si="33"/>
        <v>1</v>
      </c>
      <c r="R164" s="21">
        <f t="shared" si="34"/>
        <v>0</v>
      </c>
      <c r="S164" s="308">
        <f t="shared" si="25"/>
        <v>0</v>
      </c>
    </row>
    <row r="165" spans="1:19">
      <c r="A165" s="142"/>
      <c r="B165" s="52"/>
      <c r="C165" s="21">
        <f t="shared" si="26"/>
        <v>1</v>
      </c>
      <c r="D165" s="635"/>
      <c r="E165" s="21">
        <f t="shared" si="27"/>
        <v>1</v>
      </c>
      <c r="F165" s="635"/>
      <c r="G165" s="21">
        <f t="shared" si="28"/>
        <v>1</v>
      </c>
      <c r="H165" s="635"/>
      <c r="I165" s="21">
        <f t="shared" si="29"/>
        <v>1</v>
      </c>
      <c r="J165" s="635"/>
      <c r="K165" s="21">
        <f t="shared" si="30"/>
        <v>1</v>
      </c>
      <c r="L165" s="635"/>
      <c r="M165" s="21">
        <f t="shared" si="31"/>
        <v>1</v>
      </c>
      <c r="N165" s="635"/>
      <c r="O165" s="21">
        <f t="shared" si="32"/>
        <v>1</v>
      </c>
      <c r="P165" s="635"/>
      <c r="Q165" s="21">
        <f t="shared" si="33"/>
        <v>1</v>
      </c>
      <c r="R165" s="21">
        <f t="shared" si="34"/>
        <v>0</v>
      </c>
      <c r="S165" s="308">
        <f t="shared" si="25"/>
        <v>0</v>
      </c>
    </row>
    <row r="166" spans="1:19">
      <c r="A166" s="142"/>
      <c r="B166" s="52"/>
      <c r="C166" s="21">
        <f t="shared" si="26"/>
        <v>1</v>
      </c>
      <c r="D166" s="635"/>
      <c r="E166" s="21">
        <f t="shared" si="27"/>
        <v>1</v>
      </c>
      <c r="F166" s="635"/>
      <c r="G166" s="21">
        <f t="shared" si="28"/>
        <v>1</v>
      </c>
      <c r="H166" s="635"/>
      <c r="I166" s="21">
        <f t="shared" si="29"/>
        <v>1</v>
      </c>
      <c r="J166" s="635"/>
      <c r="K166" s="21">
        <f t="shared" si="30"/>
        <v>1</v>
      </c>
      <c r="L166" s="635"/>
      <c r="M166" s="21">
        <f t="shared" si="31"/>
        <v>1</v>
      </c>
      <c r="N166" s="635"/>
      <c r="O166" s="21">
        <f t="shared" si="32"/>
        <v>1</v>
      </c>
      <c r="P166" s="635"/>
      <c r="Q166" s="21">
        <f t="shared" si="33"/>
        <v>1</v>
      </c>
      <c r="R166" s="21">
        <f t="shared" si="34"/>
        <v>0</v>
      </c>
      <c r="S166" s="308">
        <f t="shared" si="25"/>
        <v>0</v>
      </c>
    </row>
    <row r="167" spans="1:19">
      <c r="A167" s="142"/>
      <c r="B167" s="52"/>
      <c r="C167" s="21">
        <f t="shared" si="26"/>
        <v>1</v>
      </c>
      <c r="D167" s="635"/>
      <c r="E167" s="21">
        <f t="shared" si="27"/>
        <v>1</v>
      </c>
      <c r="F167" s="635"/>
      <c r="G167" s="21">
        <f t="shared" si="28"/>
        <v>1</v>
      </c>
      <c r="H167" s="635"/>
      <c r="I167" s="21">
        <f t="shared" si="29"/>
        <v>1</v>
      </c>
      <c r="J167" s="635"/>
      <c r="K167" s="21">
        <f t="shared" si="30"/>
        <v>1</v>
      </c>
      <c r="L167" s="635"/>
      <c r="M167" s="21">
        <f t="shared" si="31"/>
        <v>1</v>
      </c>
      <c r="N167" s="635"/>
      <c r="O167" s="21">
        <f t="shared" si="32"/>
        <v>1</v>
      </c>
      <c r="P167" s="635"/>
      <c r="Q167" s="21">
        <f t="shared" si="33"/>
        <v>1</v>
      </c>
      <c r="R167" s="21">
        <f t="shared" si="34"/>
        <v>0</v>
      </c>
      <c r="S167" s="308">
        <f t="shared" si="25"/>
        <v>0</v>
      </c>
    </row>
    <row r="168" spans="1:19">
      <c r="A168" s="142"/>
      <c r="B168" s="52"/>
      <c r="C168" s="21">
        <f t="shared" si="26"/>
        <v>1</v>
      </c>
      <c r="D168" s="635"/>
      <c r="E168" s="21">
        <f t="shared" si="27"/>
        <v>1</v>
      </c>
      <c r="F168" s="635"/>
      <c r="G168" s="21">
        <f t="shared" si="28"/>
        <v>1</v>
      </c>
      <c r="H168" s="635"/>
      <c r="I168" s="21">
        <f t="shared" si="29"/>
        <v>1</v>
      </c>
      <c r="J168" s="635"/>
      <c r="K168" s="21">
        <f t="shared" si="30"/>
        <v>1</v>
      </c>
      <c r="L168" s="635"/>
      <c r="M168" s="21">
        <f t="shared" si="31"/>
        <v>1</v>
      </c>
      <c r="N168" s="635"/>
      <c r="O168" s="21">
        <f t="shared" si="32"/>
        <v>1</v>
      </c>
      <c r="P168" s="635"/>
      <c r="Q168" s="21">
        <f t="shared" si="33"/>
        <v>1</v>
      </c>
      <c r="R168" s="21">
        <f t="shared" si="34"/>
        <v>0</v>
      </c>
      <c r="S168" s="308">
        <f t="shared" si="25"/>
        <v>0</v>
      </c>
    </row>
    <row r="169" spans="1:19">
      <c r="A169" s="142"/>
      <c r="B169" s="52"/>
      <c r="C169" s="21">
        <f t="shared" si="26"/>
        <v>1</v>
      </c>
      <c r="D169" s="635"/>
      <c r="E169" s="21">
        <f t="shared" si="27"/>
        <v>1</v>
      </c>
      <c r="F169" s="635"/>
      <c r="G169" s="21">
        <f t="shared" si="28"/>
        <v>1</v>
      </c>
      <c r="H169" s="635"/>
      <c r="I169" s="21">
        <f t="shared" si="29"/>
        <v>1</v>
      </c>
      <c r="J169" s="635"/>
      <c r="K169" s="21">
        <f t="shared" si="30"/>
        <v>1</v>
      </c>
      <c r="L169" s="635"/>
      <c r="M169" s="21">
        <f t="shared" si="31"/>
        <v>1</v>
      </c>
      <c r="N169" s="635"/>
      <c r="O169" s="21">
        <f t="shared" si="32"/>
        <v>1</v>
      </c>
      <c r="P169" s="635"/>
      <c r="Q169" s="21">
        <f t="shared" si="33"/>
        <v>1</v>
      </c>
      <c r="R169" s="21">
        <f t="shared" si="34"/>
        <v>0</v>
      </c>
      <c r="S169" s="308">
        <f t="shared" si="25"/>
        <v>0</v>
      </c>
    </row>
    <row r="170" spans="1:19">
      <c r="A170" s="142"/>
      <c r="B170" s="52"/>
      <c r="C170" s="21">
        <f t="shared" si="26"/>
        <v>1</v>
      </c>
      <c r="D170" s="635"/>
      <c r="E170" s="21">
        <f t="shared" si="27"/>
        <v>1</v>
      </c>
      <c r="F170" s="635"/>
      <c r="G170" s="21">
        <f t="shared" si="28"/>
        <v>1</v>
      </c>
      <c r="H170" s="635"/>
      <c r="I170" s="21">
        <f t="shared" si="29"/>
        <v>1</v>
      </c>
      <c r="J170" s="635"/>
      <c r="K170" s="21">
        <f t="shared" si="30"/>
        <v>1</v>
      </c>
      <c r="L170" s="635"/>
      <c r="M170" s="21">
        <f t="shared" si="31"/>
        <v>1</v>
      </c>
      <c r="N170" s="635"/>
      <c r="O170" s="21">
        <f t="shared" si="32"/>
        <v>1</v>
      </c>
      <c r="P170" s="635"/>
      <c r="Q170" s="21">
        <f t="shared" si="33"/>
        <v>1</v>
      </c>
      <c r="R170" s="21">
        <f t="shared" si="34"/>
        <v>0</v>
      </c>
      <c r="S170" s="308">
        <f t="shared" si="25"/>
        <v>0</v>
      </c>
    </row>
    <row r="171" spans="1:19">
      <c r="A171" s="142"/>
      <c r="B171" s="52"/>
      <c r="C171" s="21">
        <f t="shared" si="26"/>
        <v>1</v>
      </c>
      <c r="D171" s="635"/>
      <c r="E171" s="21">
        <f t="shared" si="27"/>
        <v>1</v>
      </c>
      <c r="F171" s="635"/>
      <c r="G171" s="21">
        <f t="shared" si="28"/>
        <v>1</v>
      </c>
      <c r="H171" s="635"/>
      <c r="I171" s="21">
        <f t="shared" si="29"/>
        <v>1</v>
      </c>
      <c r="J171" s="635"/>
      <c r="K171" s="21">
        <f t="shared" si="30"/>
        <v>1</v>
      </c>
      <c r="L171" s="635"/>
      <c r="M171" s="21">
        <f t="shared" si="31"/>
        <v>1</v>
      </c>
      <c r="N171" s="635"/>
      <c r="O171" s="21">
        <f t="shared" si="32"/>
        <v>1</v>
      </c>
      <c r="P171" s="635"/>
      <c r="Q171" s="21">
        <f t="shared" si="33"/>
        <v>1</v>
      </c>
      <c r="R171" s="21">
        <f t="shared" si="34"/>
        <v>0</v>
      </c>
      <c r="S171" s="308">
        <f t="shared" si="25"/>
        <v>0</v>
      </c>
    </row>
    <row r="172" spans="1:19">
      <c r="A172" s="142"/>
      <c r="B172" s="52"/>
      <c r="C172" s="21">
        <f t="shared" si="26"/>
        <v>1</v>
      </c>
      <c r="D172" s="635"/>
      <c r="E172" s="21">
        <f t="shared" si="27"/>
        <v>1</v>
      </c>
      <c r="F172" s="635"/>
      <c r="G172" s="21">
        <f t="shared" si="28"/>
        <v>1</v>
      </c>
      <c r="H172" s="635"/>
      <c r="I172" s="21">
        <f t="shared" si="29"/>
        <v>1</v>
      </c>
      <c r="J172" s="635"/>
      <c r="K172" s="21">
        <f t="shared" si="30"/>
        <v>1</v>
      </c>
      <c r="L172" s="635"/>
      <c r="M172" s="21">
        <f t="shared" si="31"/>
        <v>1</v>
      </c>
      <c r="N172" s="635"/>
      <c r="O172" s="21">
        <f t="shared" si="32"/>
        <v>1</v>
      </c>
      <c r="P172" s="635"/>
      <c r="Q172" s="21">
        <f t="shared" si="33"/>
        <v>1</v>
      </c>
      <c r="R172" s="21">
        <f t="shared" si="34"/>
        <v>0</v>
      </c>
      <c r="S172" s="308">
        <f t="shared" si="25"/>
        <v>0</v>
      </c>
    </row>
    <row r="173" spans="1:19">
      <c r="A173" s="142"/>
      <c r="B173" s="52"/>
      <c r="C173" s="21">
        <f t="shared" si="26"/>
        <v>1</v>
      </c>
      <c r="D173" s="635"/>
      <c r="E173" s="21">
        <f t="shared" si="27"/>
        <v>1</v>
      </c>
      <c r="F173" s="635"/>
      <c r="G173" s="21">
        <f t="shared" si="28"/>
        <v>1</v>
      </c>
      <c r="H173" s="635"/>
      <c r="I173" s="21">
        <f t="shared" si="29"/>
        <v>1</v>
      </c>
      <c r="J173" s="635"/>
      <c r="K173" s="21">
        <f t="shared" si="30"/>
        <v>1</v>
      </c>
      <c r="L173" s="635"/>
      <c r="M173" s="21">
        <f t="shared" si="31"/>
        <v>1</v>
      </c>
      <c r="N173" s="635"/>
      <c r="O173" s="21">
        <f t="shared" si="32"/>
        <v>1</v>
      </c>
      <c r="P173" s="635"/>
      <c r="Q173" s="21">
        <f t="shared" si="33"/>
        <v>1</v>
      </c>
      <c r="R173" s="21">
        <f t="shared" si="34"/>
        <v>0</v>
      </c>
      <c r="S173" s="308">
        <f t="shared" si="25"/>
        <v>0</v>
      </c>
    </row>
    <row r="174" spans="1:19">
      <c r="A174" s="142"/>
      <c r="B174" s="52"/>
      <c r="C174" s="21">
        <f t="shared" si="26"/>
        <v>1</v>
      </c>
      <c r="D174" s="635"/>
      <c r="E174" s="21">
        <f t="shared" si="27"/>
        <v>1</v>
      </c>
      <c r="F174" s="635"/>
      <c r="G174" s="21">
        <f t="shared" si="28"/>
        <v>1</v>
      </c>
      <c r="H174" s="635"/>
      <c r="I174" s="21">
        <f t="shared" si="29"/>
        <v>1</v>
      </c>
      <c r="J174" s="635"/>
      <c r="K174" s="21">
        <f t="shared" si="30"/>
        <v>1</v>
      </c>
      <c r="L174" s="635"/>
      <c r="M174" s="21">
        <f t="shared" si="31"/>
        <v>1</v>
      </c>
      <c r="N174" s="635"/>
      <c r="O174" s="21">
        <f t="shared" si="32"/>
        <v>1</v>
      </c>
      <c r="P174" s="635"/>
      <c r="Q174" s="21">
        <f t="shared" si="33"/>
        <v>1</v>
      </c>
      <c r="R174" s="21">
        <f t="shared" si="34"/>
        <v>0</v>
      </c>
      <c r="S174" s="308">
        <f t="shared" si="25"/>
        <v>0</v>
      </c>
    </row>
    <row r="175" spans="1:19">
      <c r="A175" s="142"/>
      <c r="B175" s="52"/>
      <c r="C175" s="21">
        <f t="shared" si="26"/>
        <v>1</v>
      </c>
      <c r="D175" s="635"/>
      <c r="E175" s="21">
        <f t="shared" si="27"/>
        <v>1</v>
      </c>
      <c r="F175" s="635"/>
      <c r="G175" s="21">
        <f t="shared" si="28"/>
        <v>1</v>
      </c>
      <c r="H175" s="635"/>
      <c r="I175" s="21">
        <f t="shared" si="29"/>
        <v>1</v>
      </c>
      <c r="J175" s="635"/>
      <c r="K175" s="21">
        <f t="shared" si="30"/>
        <v>1</v>
      </c>
      <c r="L175" s="635"/>
      <c r="M175" s="21">
        <f t="shared" si="31"/>
        <v>1</v>
      </c>
      <c r="N175" s="635"/>
      <c r="O175" s="21">
        <f t="shared" si="32"/>
        <v>1</v>
      </c>
      <c r="P175" s="635"/>
      <c r="Q175" s="21">
        <f t="shared" si="33"/>
        <v>1</v>
      </c>
      <c r="R175" s="21">
        <f t="shared" si="34"/>
        <v>0</v>
      </c>
      <c r="S175" s="308">
        <f t="shared" si="25"/>
        <v>0</v>
      </c>
    </row>
    <row r="176" spans="1:19">
      <c r="A176" s="142"/>
      <c r="B176" s="52"/>
      <c r="C176" s="21">
        <f t="shared" si="26"/>
        <v>1</v>
      </c>
      <c r="D176" s="635"/>
      <c r="E176" s="21">
        <f t="shared" si="27"/>
        <v>1</v>
      </c>
      <c r="F176" s="635"/>
      <c r="G176" s="21">
        <f t="shared" si="28"/>
        <v>1</v>
      </c>
      <c r="H176" s="635"/>
      <c r="I176" s="21">
        <f t="shared" si="29"/>
        <v>1</v>
      </c>
      <c r="J176" s="635"/>
      <c r="K176" s="21">
        <f t="shared" si="30"/>
        <v>1</v>
      </c>
      <c r="L176" s="635"/>
      <c r="M176" s="21">
        <f t="shared" si="31"/>
        <v>1</v>
      </c>
      <c r="N176" s="635"/>
      <c r="O176" s="21">
        <f t="shared" si="32"/>
        <v>1</v>
      </c>
      <c r="P176" s="635"/>
      <c r="Q176" s="21">
        <f t="shared" si="33"/>
        <v>1</v>
      </c>
      <c r="R176" s="21">
        <f t="shared" si="34"/>
        <v>0</v>
      </c>
      <c r="S176" s="308">
        <f t="shared" si="25"/>
        <v>0</v>
      </c>
    </row>
    <row r="177" spans="1:19">
      <c r="A177" s="142"/>
      <c r="B177" s="52"/>
      <c r="C177" s="21">
        <f t="shared" si="26"/>
        <v>1</v>
      </c>
      <c r="D177" s="635"/>
      <c r="E177" s="21">
        <f t="shared" si="27"/>
        <v>1</v>
      </c>
      <c r="F177" s="635"/>
      <c r="G177" s="21">
        <f t="shared" si="28"/>
        <v>1</v>
      </c>
      <c r="H177" s="635"/>
      <c r="I177" s="21">
        <f t="shared" si="29"/>
        <v>1</v>
      </c>
      <c r="J177" s="635"/>
      <c r="K177" s="21">
        <f t="shared" si="30"/>
        <v>1</v>
      </c>
      <c r="L177" s="635"/>
      <c r="M177" s="21">
        <f t="shared" si="31"/>
        <v>1</v>
      </c>
      <c r="N177" s="635"/>
      <c r="O177" s="21">
        <f t="shared" si="32"/>
        <v>1</v>
      </c>
      <c r="P177" s="635"/>
      <c r="Q177" s="21">
        <f t="shared" si="33"/>
        <v>1</v>
      </c>
      <c r="R177" s="21">
        <f t="shared" si="34"/>
        <v>0</v>
      </c>
      <c r="S177" s="308">
        <f t="shared" si="25"/>
        <v>0</v>
      </c>
    </row>
    <row r="178" spans="1:19">
      <c r="A178" s="142"/>
      <c r="B178" s="52"/>
      <c r="C178" s="21">
        <f t="shared" si="26"/>
        <v>1</v>
      </c>
      <c r="D178" s="635"/>
      <c r="E178" s="21">
        <f t="shared" si="27"/>
        <v>1</v>
      </c>
      <c r="F178" s="635"/>
      <c r="G178" s="21">
        <f t="shared" si="28"/>
        <v>1</v>
      </c>
      <c r="H178" s="635"/>
      <c r="I178" s="21">
        <f t="shared" si="29"/>
        <v>1</v>
      </c>
      <c r="J178" s="635"/>
      <c r="K178" s="21">
        <f t="shared" si="30"/>
        <v>1</v>
      </c>
      <c r="L178" s="635"/>
      <c r="M178" s="21">
        <f t="shared" si="31"/>
        <v>1</v>
      </c>
      <c r="N178" s="635"/>
      <c r="O178" s="21">
        <f t="shared" si="32"/>
        <v>1</v>
      </c>
      <c r="P178" s="635"/>
      <c r="Q178" s="21">
        <f t="shared" si="33"/>
        <v>1</v>
      </c>
      <c r="R178" s="21">
        <f t="shared" si="34"/>
        <v>0</v>
      </c>
      <c r="S178" s="308">
        <f t="shared" si="25"/>
        <v>0</v>
      </c>
    </row>
    <row r="179" spans="1:19">
      <c r="A179" s="142"/>
      <c r="B179" s="52"/>
      <c r="C179" s="21">
        <f t="shared" si="26"/>
        <v>1</v>
      </c>
      <c r="D179" s="635"/>
      <c r="E179" s="21">
        <f t="shared" si="27"/>
        <v>1</v>
      </c>
      <c r="F179" s="635"/>
      <c r="G179" s="21">
        <f t="shared" si="28"/>
        <v>1</v>
      </c>
      <c r="H179" s="635"/>
      <c r="I179" s="21">
        <f t="shared" si="29"/>
        <v>1</v>
      </c>
      <c r="J179" s="635"/>
      <c r="K179" s="21">
        <f t="shared" si="30"/>
        <v>1</v>
      </c>
      <c r="L179" s="635"/>
      <c r="M179" s="21">
        <f t="shared" si="31"/>
        <v>1</v>
      </c>
      <c r="N179" s="635"/>
      <c r="O179" s="21">
        <f t="shared" si="32"/>
        <v>1</v>
      </c>
      <c r="P179" s="635"/>
      <c r="Q179" s="21">
        <f t="shared" si="33"/>
        <v>1</v>
      </c>
      <c r="R179" s="21">
        <f t="shared" si="34"/>
        <v>0</v>
      </c>
      <c r="S179" s="308">
        <f t="shared" si="25"/>
        <v>0</v>
      </c>
    </row>
    <row r="180" spans="1:19">
      <c r="A180" s="142"/>
      <c r="B180" s="52"/>
      <c r="C180" s="21">
        <f t="shared" si="26"/>
        <v>1</v>
      </c>
      <c r="D180" s="635"/>
      <c r="E180" s="21">
        <f t="shared" si="27"/>
        <v>1</v>
      </c>
      <c r="F180" s="635"/>
      <c r="G180" s="21">
        <f t="shared" si="28"/>
        <v>1</v>
      </c>
      <c r="H180" s="635"/>
      <c r="I180" s="21">
        <f t="shared" si="29"/>
        <v>1</v>
      </c>
      <c r="J180" s="635"/>
      <c r="K180" s="21">
        <f t="shared" si="30"/>
        <v>1</v>
      </c>
      <c r="L180" s="635"/>
      <c r="M180" s="21">
        <f t="shared" si="31"/>
        <v>1</v>
      </c>
      <c r="N180" s="635"/>
      <c r="O180" s="21">
        <f t="shared" si="32"/>
        <v>1</v>
      </c>
      <c r="P180" s="635"/>
      <c r="Q180" s="21">
        <f t="shared" si="33"/>
        <v>1</v>
      </c>
      <c r="R180" s="21">
        <f t="shared" si="34"/>
        <v>0</v>
      </c>
      <c r="S180" s="308">
        <f t="shared" si="25"/>
        <v>0</v>
      </c>
    </row>
    <row r="181" spans="1:19">
      <c r="A181" s="142"/>
      <c r="B181" s="52"/>
      <c r="C181" s="21">
        <f t="shared" si="26"/>
        <v>1</v>
      </c>
      <c r="D181" s="635"/>
      <c r="E181" s="21">
        <f t="shared" si="27"/>
        <v>1</v>
      </c>
      <c r="F181" s="635"/>
      <c r="G181" s="21">
        <f t="shared" si="28"/>
        <v>1</v>
      </c>
      <c r="H181" s="635"/>
      <c r="I181" s="21">
        <f t="shared" si="29"/>
        <v>1</v>
      </c>
      <c r="J181" s="635"/>
      <c r="K181" s="21">
        <f t="shared" si="30"/>
        <v>1</v>
      </c>
      <c r="L181" s="635"/>
      <c r="M181" s="21">
        <f t="shared" si="31"/>
        <v>1</v>
      </c>
      <c r="N181" s="635"/>
      <c r="O181" s="21">
        <f t="shared" si="32"/>
        <v>1</v>
      </c>
      <c r="P181" s="635"/>
      <c r="Q181" s="21">
        <f t="shared" si="33"/>
        <v>1</v>
      </c>
      <c r="R181" s="21">
        <f t="shared" si="34"/>
        <v>0</v>
      </c>
      <c r="S181" s="308">
        <f t="shared" si="25"/>
        <v>0</v>
      </c>
    </row>
    <row r="182" spans="1:19">
      <c r="A182" s="142"/>
      <c r="B182" s="52"/>
      <c r="C182" s="21">
        <f t="shared" si="26"/>
        <v>1</v>
      </c>
      <c r="D182" s="635"/>
      <c r="E182" s="21">
        <f t="shared" si="27"/>
        <v>1</v>
      </c>
      <c r="F182" s="635"/>
      <c r="G182" s="21">
        <f t="shared" si="28"/>
        <v>1</v>
      </c>
      <c r="H182" s="635"/>
      <c r="I182" s="21">
        <f t="shared" si="29"/>
        <v>1</v>
      </c>
      <c r="J182" s="635"/>
      <c r="K182" s="21">
        <f t="shared" si="30"/>
        <v>1</v>
      </c>
      <c r="L182" s="635"/>
      <c r="M182" s="21">
        <f t="shared" si="31"/>
        <v>1</v>
      </c>
      <c r="N182" s="635"/>
      <c r="O182" s="21">
        <f t="shared" si="32"/>
        <v>1</v>
      </c>
      <c r="P182" s="635"/>
      <c r="Q182" s="21">
        <f t="shared" si="33"/>
        <v>1</v>
      </c>
      <c r="R182" s="21">
        <f t="shared" si="34"/>
        <v>0</v>
      </c>
      <c r="S182" s="308">
        <f t="shared" si="25"/>
        <v>0</v>
      </c>
    </row>
    <row r="183" spans="1:19">
      <c r="A183" s="142"/>
      <c r="B183" s="52"/>
      <c r="C183" s="21">
        <f t="shared" si="26"/>
        <v>1</v>
      </c>
      <c r="D183" s="635"/>
      <c r="E183" s="21">
        <f t="shared" si="27"/>
        <v>1</v>
      </c>
      <c r="F183" s="635"/>
      <c r="G183" s="21">
        <f t="shared" si="28"/>
        <v>1</v>
      </c>
      <c r="H183" s="635"/>
      <c r="I183" s="21">
        <f t="shared" si="29"/>
        <v>1</v>
      </c>
      <c r="J183" s="635"/>
      <c r="K183" s="21">
        <f t="shared" si="30"/>
        <v>1</v>
      </c>
      <c r="L183" s="635"/>
      <c r="M183" s="21">
        <f t="shared" si="31"/>
        <v>1</v>
      </c>
      <c r="N183" s="635"/>
      <c r="O183" s="21">
        <f t="shared" si="32"/>
        <v>1</v>
      </c>
      <c r="P183" s="635"/>
      <c r="Q183" s="21">
        <f t="shared" si="33"/>
        <v>1</v>
      </c>
      <c r="R183" s="21">
        <f t="shared" si="34"/>
        <v>0</v>
      </c>
      <c r="S183" s="308">
        <f t="shared" si="25"/>
        <v>0</v>
      </c>
    </row>
    <row r="184" spans="1:19">
      <c r="A184" s="142"/>
      <c r="B184" s="52"/>
      <c r="C184" s="21">
        <f t="shared" si="26"/>
        <v>1</v>
      </c>
      <c r="D184" s="635"/>
      <c r="E184" s="21">
        <f t="shared" si="27"/>
        <v>1</v>
      </c>
      <c r="F184" s="635"/>
      <c r="G184" s="21">
        <f t="shared" si="28"/>
        <v>1</v>
      </c>
      <c r="H184" s="635"/>
      <c r="I184" s="21">
        <f t="shared" si="29"/>
        <v>1</v>
      </c>
      <c r="J184" s="635"/>
      <c r="K184" s="21">
        <f t="shared" si="30"/>
        <v>1</v>
      </c>
      <c r="L184" s="635"/>
      <c r="M184" s="21">
        <f t="shared" si="31"/>
        <v>1</v>
      </c>
      <c r="N184" s="635"/>
      <c r="O184" s="21">
        <f t="shared" si="32"/>
        <v>1</v>
      </c>
      <c r="P184" s="635"/>
      <c r="Q184" s="21">
        <f t="shared" si="33"/>
        <v>1</v>
      </c>
      <c r="R184" s="21">
        <f t="shared" si="34"/>
        <v>0</v>
      </c>
      <c r="S184" s="308">
        <f t="shared" si="25"/>
        <v>0</v>
      </c>
    </row>
    <row r="185" spans="1:19">
      <c r="A185" s="142"/>
      <c r="B185" s="52"/>
      <c r="C185" s="21">
        <f t="shared" si="26"/>
        <v>1</v>
      </c>
      <c r="D185" s="635"/>
      <c r="E185" s="21">
        <f t="shared" si="27"/>
        <v>1</v>
      </c>
      <c r="F185" s="635"/>
      <c r="G185" s="21">
        <f t="shared" si="28"/>
        <v>1</v>
      </c>
      <c r="H185" s="635"/>
      <c r="I185" s="21">
        <f t="shared" si="29"/>
        <v>1</v>
      </c>
      <c r="J185" s="635"/>
      <c r="K185" s="21">
        <f t="shared" si="30"/>
        <v>1</v>
      </c>
      <c r="L185" s="635"/>
      <c r="M185" s="21">
        <f t="shared" si="31"/>
        <v>1</v>
      </c>
      <c r="N185" s="635"/>
      <c r="O185" s="21">
        <f t="shared" si="32"/>
        <v>1</v>
      </c>
      <c r="P185" s="635"/>
      <c r="Q185" s="21">
        <f t="shared" si="33"/>
        <v>1</v>
      </c>
      <c r="R185" s="21">
        <f t="shared" si="34"/>
        <v>0</v>
      </c>
      <c r="S185" s="308">
        <f t="shared" si="25"/>
        <v>0</v>
      </c>
    </row>
    <row r="186" spans="1:19">
      <c r="A186" s="142"/>
      <c r="B186" s="52"/>
      <c r="C186" s="21">
        <f t="shared" si="26"/>
        <v>1</v>
      </c>
      <c r="D186" s="635"/>
      <c r="E186" s="21">
        <f t="shared" si="27"/>
        <v>1</v>
      </c>
      <c r="F186" s="635"/>
      <c r="G186" s="21">
        <f t="shared" si="28"/>
        <v>1</v>
      </c>
      <c r="H186" s="635"/>
      <c r="I186" s="21">
        <f t="shared" si="29"/>
        <v>1</v>
      </c>
      <c r="J186" s="635"/>
      <c r="K186" s="21">
        <f t="shared" si="30"/>
        <v>1</v>
      </c>
      <c r="L186" s="635"/>
      <c r="M186" s="21">
        <f t="shared" si="31"/>
        <v>1</v>
      </c>
      <c r="N186" s="635"/>
      <c r="O186" s="21">
        <f t="shared" si="32"/>
        <v>1</v>
      </c>
      <c r="P186" s="635"/>
      <c r="Q186" s="21">
        <f t="shared" si="33"/>
        <v>1</v>
      </c>
      <c r="R186" s="21">
        <f t="shared" si="34"/>
        <v>0</v>
      </c>
      <c r="S186" s="308">
        <f t="shared" si="25"/>
        <v>0</v>
      </c>
    </row>
    <row r="187" spans="1:19">
      <c r="A187" s="142"/>
      <c r="B187" s="52"/>
      <c r="C187" s="21">
        <f t="shared" si="26"/>
        <v>1</v>
      </c>
      <c r="D187" s="635"/>
      <c r="E187" s="21">
        <f t="shared" si="27"/>
        <v>1</v>
      </c>
      <c r="F187" s="635"/>
      <c r="G187" s="21">
        <f t="shared" si="28"/>
        <v>1</v>
      </c>
      <c r="H187" s="635"/>
      <c r="I187" s="21">
        <f t="shared" si="29"/>
        <v>1</v>
      </c>
      <c r="J187" s="635"/>
      <c r="K187" s="21">
        <f t="shared" si="30"/>
        <v>1</v>
      </c>
      <c r="L187" s="635"/>
      <c r="M187" s="21">
        <f t="shared" si="31"/>
        <v>1</v>
      </c>
      <c r="N187" s="635"/>
      <c r="O187" s="21">
        <f t="shared" si="32"/>
        <v>1</v>
      </c>
      <c r="P187" s="635"/>
      <c r="Q187" s="21">
        <f t="shared" si="33"/>
        <v>1</v>
      </c>
      <c r="R187" s="21">
        <f t="shared" si="34"/>
        <v>0</v>
      </c>
      <c r="S187" s="308">
        <f t="shared" si="25"/>
        <v>0</v>
      </c>
    </row>
    <row r="188" spans="1:19">
      <c r="A188" s="142"/>
      <c r="B188" s="52"/>
      <c r="C188" s="21">
        <f t="shared" si="26"/>
        <v>1</v>
      </c>
      <c r="D188" s="635"/>
      <c r="E188" s="21">
        <f t="shared" si="27"/>
        <v>1</v>
      </c>
      <c r="F188" s="635"/>
      <c r="G188" s="21">
        <f t="shared" si="28"/>
        <v>1</v>
      </c>
      <c r="H188" s="635"/>
      <c r="I188" s="21">
        <f t="shared" si="29"/>
        <v>1</v>
      </c>
      <c r="J188" s="635"/>
      <c r="K188" s="21">
        <f t="shared" si="30"/>
        <v>1</v>
      </c>
      <c r="L188" s="635"/>
      <c r="M188" s="21">
        <f t="shared" si="31"/>
        <v>1</v>
      </c>
      <c r="N188" s="635"/>
      <c r="O188" s="21">
        <f t="shared" si="32"/>
        <v>1</v>
      </c>
      <c r="P188" s="635"/>
      <c r="Q188" s="21">
        <f t="shared" si="33"/>
        <v>1</v>
      </c>
      <c r="R188" s="21">
        <f t="shared" si="34"/>
        <v>0</v>
      </c>
      <c r="S188" s="308">
        <f t="shared" si="25"/>
        <v>0</v>
      </c>
    </row>
    <row r="189" spans="1:19">
      <c r="A189" s="142"/>
      <c r="B189" s="52"/>
      <c r="C189" s="21">
        <f t="shared" si="26"/>
        <v>1</v>
      </c>
      <c r="D189" s="635"/>
      <c r="E189" s="21">
        <f t="shared" si="27"/>
        <v>1</v>
      </c>
      <c r="F189" s="635"/>
      <c r="G189" s="21">
        <f t="shared" si="28"/>
        <v>1</v>
      </c>
      <c r="H189" s="635"/>
      <c r="I189" s="21">
        <f t="shared" si="29"/>
        <v>1</v>
      </c>
      <c r="J189" s="635"/>
      <c r="K189" s="21">
        <f t="shared" si="30"/>
        <v>1</v>
      </c>
      <c r="L189" s="635"/>
      <c r="M189" s="21">
        <f t="shared" si="31"/>
        <v>1</v>
      </c>
      <c r="N189" s="635"/>
      <c r="O189" s="21">
        <f t="shared" si="32"/>
        <v>1</v>
      </c>
      <c r="P189" s="635"/>
      <c r="Q189" s="21">
        <f t="shared" si="33"/>
        <v>1</v>
      </c>
      <c r="R189" s="21">
        <f t="shared" si="34"/>
        <v>0</v>
      </c>
      <c r="S189" s="308">
        <f t="shared" si="25"/>
        <v>0</v>
      </c>
    </row>
    <row r="190" spans="1:19">
      <c r="A190" s="142"/>
      <c r="B190" s="52"/>
      <c r="C190" s="21">
        <f t="shared" si="26"/>
        <v>1</v>
      </c>
      <c r="D190" s="635"/>
      <c r="E190" s="21">
        <f t="shared" si="27"/>
        <v>1</v>
      </c>
      <c r="F190" s="635"/>
      <c r="G190" s="21">
        <f t="shared" si="28"/>
        <v>1</v>
      </c>
      <c r="H190" s="635"/>
      <c r="I190" s="21">
        <f t="shared" si="29"/>
        <v>1</v>
      </c>
      <c r="J190" s="635"/>
      <c r="K190" s="21">
        <f t="shared" si="30"/>
        <v>1</v>
      </c>
      <c r="L190" s="635"/>
      <c r="M190" s="21">
        <f t="shared" si="31"/>
        <v>1</v>
      </c>
      <c r="N190" s="635"/>
      <c r="O190" s="21">
        <f t="shared" si="32"/>
        <v>1</v>
      </c>
      <c r="P190" s="635"/>
      <c r="Q190" s="21">
        <f t="shared" si="33"/>
        <v>1</v>
      </c>
      <c r="R190" s="21">
        <f t="shared" si="34"/>
        <v>0</v>
      </c>
      <c r="S190" s="308">
        <f t="shared" si="25"/>
        <v>0</v>
      </c>
    </row>
    <row r="191" spans="1:19">
      <c r="A191" s="142"/>
      <c r="B191" s="52"/>
      <c r="C191" s="21">
        <f t="shared" si="26"/>
        <v>1</v>
      </c>
      <c r="D191" s="635"/>
      <c r="E191" s="21">
        <f t="shared" si="27"/>
        <v>1</v>
      </c>
      <c r="F191" s="635"/>
      <c r="G191" s="21">
        <f t="shared" si="28"/>
        <v>1</v>
      </c>
      <c r="H191" s="635"/>
      <c r="I191" s="21">
        <f t="shared" si="29"/>
        <v>1</v>
      </c>
      <c r="J191" s="635"/>
      <c r="K191" s="21">
        <f t="shared" si="30"/>
        <v>1</v>
      </c>
      <c r="L191" s="635"/>
      <c r="M191" s="21">
        <f t="shared" si="31"/>
        <v>1</v>
      </c>
      <c r="N191" s="635"/>
      <c r="O191" s="21">
        <f t="shared" si="32"/>
        <v>1</v>
      </c>
      <c r="P191" s="635"/>
      <c r="Q191" s="21">
        <f t="shared" si="33"/>
        <v>1</v>
      </c>
      <c r="R191" s="21">
        <f t="shared" si="34"/>
        <v>0</v>
      </c>
      <c r="S191" s="308">
        <f t="shared" si="25"/>
        <v>0</v>
      </c>
    </row>
    <row r="192" spans="1:19">
      <c r="A192" s="142"/>
      <c r="B192" s="52"/>
      <c r="C192" s="21">
        <f t="shared" si="26"/>
        <v>1</v>
      </c>
      <c r="D192" s="635"/>
      <c r="E192" s="21">
        <f t="shared" si="27"/>
        <v>1</v>
      </c>
      <c r="F192" s="635"/>
      <c r="G192" s="21">
        <f t="shared" si="28"/>
        <v>1</v>
      </c>
      <c r="H192" s="635"/>
      <c r="I192" s="21">
        <f t="shared" si="29"/>
        <v>1</v>
      </c>
      <c r="J192" s="635"/>
      <c r="K192" s="21">
        <f t="shared" si="30"/>
        <v>1</v>
      </c>
      <c r="L192" s="635"/>
      <c r="M192" s="21">
        <f t="shared" si="31"/>
        <v>1</v>
      </c>
      <c r="N192" s="635"/>
      <c r="O192" s="21">
        <f t="shared" si="32"/>
        <v>1</v>
      </c>
      <c r="P192" s="635"/>
      <c r="Q192" s="21">
        <f t="shared" si="33"/>
        <v>1</v>
      </c>
      <c r="R192" s="21">
        <f t="shared" si="34"/>
        <v>0</v>
      </c>
      <c r="S192" s="308">
        <f t="shared" si="25"/>
        <v>0</v>
      </c>
    </row>
    <row r="193" spans="1:19">
      <c r="A193" s="142"/>
      <c r="B193" s="52"/>
      <c r="C193" s="21">
        <f t="shared" si="26"/>
        <v>1</v>
      </c>
      <c r="D193" s="635"/>
      <c r="E193" s="21">
        <f t="shared" si="27"/>
        <v>1</v>
      </c>
      <c r="F193" s="635"/>
      <c r="G193" s="21">
        <f t="shared" si="28"/>
        <v>1</v>
      </c>
      <c r="H193" s="635"/>
      <c r="I193" s="21">
        <f t="shared" si="29"/>
        <v>1</v>
      </c>
      <c r="J193" s="635"/>
      <c r="K193" s="21">
        <f t="shared" si="30"/>
        <v>1</v>
      </c>
      <c r="L193" s="635"/>
      <c r="M193" s="21">
        <f t="shared" si="31"/>
        <v>1</v>
      </c>
      <c r="N193" s="635"/>
      <c r="O193" s="21">
        <f t="shared" si="32"/>
        <v>1</v>
      </c>
      <c r="P193" s="635"/>
      <c r="Q193" s="21">
        <f t="shared" si="33"/>
        <v>1</v>
      </c>
      <c r="R193" s="21">
        <f t="shared" si="34"/>
        <v>0</v>
      </c>
      <c r="S193" s="308">
        <f t="shared" si="25"/>
        <v>0</v>
      </c>
    </row>
    <row r="194" spans="1:19">
      <c r="A194" s="142"/>
      <c r="B194" s="52"/>
      <c r="C194" s="21">
        <f t="shared" si="26"/>
        <v>1</v>
      </c>
      <c r="D194" s="635"/>
      <c r="E194" s="21">
        <f t="shared" si="27"/>
        <v>1</v>
      </c>
      <c r="F194" s="635"/>
      <c r="G194" s="21">
        <f t="shared" si="28"/>
        <v>1</v>
      </c>
      <c r="H194" s="635"/>
      <c r="I194" s="21">
        <f t="shared" si="29"/>
        <v>1</v>
      </c>
      <c r="J194" s="635"/>
      <c r="K194" s="21">
        <f t="shared" si="30"/>
        <v>1</v>
      </c>
      <c r="L194" s="635"/>
      <c r="M194" s="21">
        <f t="shared" si="31"/>
        <v>1</v>
      </c>
      <c r="N194" s="635"/>
      <c r="O194" s="21">
        <f t="shared" si="32"/>
        <v>1</v>
      </c>
      <c r="P194" s="635"/>
      <c r="Q194" s="21">
        <f t="shared" si="33"/>
        <v>1</v>
      </c>
      <c r="R194" s="21">
        <f t="shared" si="34"/>
        <v>0</v>
      </c>
      <c r="S194" s="308">
        <f t="shared" si="25"/>
        <v>0</v>
      </c>
    </row>
    <row r="195" spans="1:19">
      <c r="A195" s="142"/>
      <c r="B195" s="52"/>
      <c r="C195" s="21">
        <f t="shared" si="26"/>
        <v>1</v>
      </c>
      <c r="D195" s="635"/>
      <c r="E195" s="21">
        <f t="shared" si="27"/>
        <v>1</v>
      </c>
      <c r="F195" s="635"/>
      <c r="G195" s="21">
        <f t="shared" si="28"/>
        <v>1</v>
      </c>
      <c r="H195" s="635"/>
      <c r="I195" s="21">
        <f t="shared" si="29"/>
        <v>1</v>
      </c>
      <c r="J195" s="635"/>
      <c r="K195" s="21">
        <f t="shared" si="30"/>
        <v>1</v>
      </c>
      <c r="L195" s="635"/>
      <c r="M195" s="21">
        <f t="shared" si="31"/>
        <v>1</v>
      </c>
      <c r="N195" s="635"/>
      <c r="O195" s="21">
        <f t="shared" si="32"/>
        <v>1</v>
      </c>
      <c r="P195" s="635"/>
      <c r="Q195" s="21">
        <f t="shared" si="33"/>
        <v>1</v>
      </c>
      <c r="R195" s="21">
        <f t="shared" si="34"/>
        <v>0</v>
      </c>
      <c r="S195" s="308">
        <f t="shared" si="25"/>
        <v>0</v>
      </c>
    </row>
    <row r="196" spans="1:19">
      <c r="A196" s="142"/>
      <c r="B196" s="52"/>
      <c r="C196" s="21">
        <f t="shared" si="26"/>
        <v>1</v>
      </c>
      <c r="D196" s="635"/>
      <c r="E196" s="21">
        <f t="shared" si="27"/>
        <v>1</v>
      </c>
      <c r="F196" s="635"/>
      <c r="G196" s="21">
        <f t="shared" si="28"/>
        <v>1</v>
      </c>
      <c r="H196" s="635"/>
      <c r="I196" s="21">
        <f t="shared" si="29"/>
        <v>1</v>
      </c>
      <c r="J196" s="635"/>
      <c r="K196" s="21">
        <f t="shared" si="30"/>
        <v>1</v>
      </c>
      <c r="L196" s="635"/>
      <c r="M196" s="21">
        <f t="shared" si="31"/>
        <v>1</v>
      </c>
      <c r="N196" s="635"/>
      <c r="O196" s="21">
        <f t="shared" si="32"/>
        <v>1</v>
      </c>
      <c r="P196" s="635"/>
      <c r="Q196" s="21">
        <f t="shared" si="33"/>
        <v>1</v>
      </c>
      <c r="R196" s="21">
        <f t="shared" si="34"/>
        <v>0</v>
      </c>
      <c r="S196" s="308">
        <f t="shared" si="25"/>
        <v>0</v>
      </c>
    </row>
    <row r="197" spans="1:19">
      <c r="A197" s="142"/>
      <c r="B197" s="52"/>
      <c r="C197" s="21">
        <f t="shared" si="26"/>
        <v>1</v>
      </c>
      <c r="D197" s="635"/>
      <c r="E197" s="21">
        <f t="shared" si="27"/>
        <v>1</v>
      </c>
      <c r="F197" s="635"/>
      <c r="G197" s="21">
        <f t="shared" si="28"/>
        <v>1</v>
      </c>
      <c r="H197" s="635"/>
      <c r="I197" s="21">
        <f t="shared" si="29"/>
        <v>1</v>
      </c>
      <c r="J197" s="635"/>
      <c r="K197" s="21">
        <f t="shared" si="30"/>
        <v>1</v>
      </c>
      <c r="L197" s="635"/>
      <c r="M197" s="21">
        <f t="shared" si="31"/>
        <v>1</v>
      </c>
      <c r="N197" s="635"/>
      <c r="O197" s="21">
        <f t="shared" si="32"/>
        <v>1</v>
      </c>
      <c r="P197" s="635"/>
      <c r="Q197" s="21">
        <f t="shared" si="33"/>
        <v>1</v>
      </c>
      <c r="R197" s="21">
        <f t="shared" si="34"/>
        <v>0</v>
      </c>
      <c r="S197" s="308">
        <f t="shared" si="25"/>
        <v>0</v>
      </c>
    </row>
    <row r="198" spans="1:19">
      <c r="A198" s="142"/>
      <c r="B198" s="52"/>
      <c r="C198" s="21">
        <f t="shared" si="26"/>
        <v>1</v>
      </c>
      <c r="D198" s="635"/>
      <c r="E198" s="21">
        <f t="shared" si="27"/>
        <v>1</v>
      </c>
      <c r="F198" s="635"/>
      <c r="G198" s="21">
        <f t="shared" si="28"/>
        <v>1</v>
      </c>
      <c r="H198" s="635"/>
      <c r="I198" s="21">
        <f t="shared" si="29"/>
        <v>1</v>
      </c>
      <c r="J198" s="635"/>
      <c r="K198" s="21">
        <f t="shared" si="30"/>
        <v>1</v>
      </c>
      <c r="L198" s="635"/>
      <c r="M198" s="21">
        <f t="shared" si="31"/>
        <v>1</v>
      </c>
      <c r="N198" s="635"/>
      <c r="O198" s="21">
        <f t="shared" si="32"/>
        <v>1</v>
      </c>
      <c r="P198" s="635"/>
      <c r="Q198" s="21">
        <f t="shared" si="33"/>
        <v>1</v>
      </c>
      <c r="R198" s="21">
        <f t="shared" si="34"/>
        <v>0</v>
      </c>
      <c r="S198" s="308">
        <f t="shared" si="25"/>
        <v>0</v>
      </c>
    </row>
    <row r="199" spans="1:19">
      <c r="A199" s="142"/>
      <c r="B199" s="52"/>
      <c r="C199" s="21">
        <f t="shared" si="26"/>
        <v>1</v>
      </c>
      <c r="D199" s="635"/>
      <c r="E199" s="21">
        <f t="shared" si="27"/>
        <v>1</v>
      </c>
      <c r="F199" s="635"/>
      <c r="G199" s="21">
        <f t="shared" si="28"/>
        <v>1</v>
      </c>
      <c r="H199" s="635"/>
      <c r="I199" s="21">
        <f t="shared" si="29"/>
        <v>1</v>
      </c>
      <c r="J199" s="635"/>
      <c r="K199" s="21">
        <f t="shared" si="30"/>
        <v>1</v>
      </c>
      <c r="L199" s="635"/>
      <c r="M199" s="21">
        <f t="shared" si="31"/>
        <v>1</v>
      </c>
      <c r="N199" s="635"/>
      <c r="O199" s="21">
        <f t="shared" si="32"/>
        <v>1</v>
      </c>
      <c r="P199" s="635"/>
      <c r="Q199" s="21">
        <f t="shared" si="33"/>
        <v>1</v>
      </c>
      <c r="R199" s="21">
        <f t="shared" si="34"/>
        <v>0</v>
      </c>
      <c r="S199" s="308">
        <f t="shared" si="25"/>
        <v>0</v>
      </c>
    </row>
    <row r="200" spans="1:19">
      <c r="A200" s="142"/>
      <c r="B200" s="52"/>
      <c r="C200" s="21">
        <f t="shared" si="26"/>
        <v>1</v>
      </c>
      <c r="D200" s="635"/>
      <c r="E200" s="21">
        <f t="shared" si="27"/>
        <v>1</v>
      </c>
      <c r="F200" s="635"/>
      <c r="G200" s="21">
        <f t="shared" si="28"/>
        <v>1</v>
      </c>
      <c r="H200" s="635"/>
      <c r="I200" s="21">
        <f t="shared" si="29"/>
        <v>1</v>
      </c>
      <c r="J200" s="635"/>
      <c r="K200" s="21">
        <f t="shared" si="30"/>
        <v>1</v>
      </c>
      <c r="L200" s="635"/>
      <c r="M200" s="21">
        <f t="shared" si="31"/>
        <v>1</v>
      </c>
      <c r="N200" s="635"/>
      <c r="O200" s="21">
        <f t="shared" si="32"/>
        <v>1</v>
      </c>
      <c r="P200" s="635"/>
      <c r="Q200" s="21">
        <f t="shared" si="33"/>
        <v>1</v>
      </c>
      <c r="R200" s="21">
        <f t="shared" si="34"/>
        <v>0</v>
      </c>
      <c r="S200" s="308">
        <f t="shared" si="25"/>
        <v>0</v>
      </c>
    </row>
    <row r="201" spans="1:19">
      <c r="A201" s="142"/>
      <c r="B201" s="52"/>
      <c r="C201" s="21">
        <f t="shared" si="26"/>
        <v>1</v>
      </c>
      <c r="D201" s="635"/>
      <c r="E201" s="21">
        <f t="shared" si="27"/>
        <v>1</v>
      </c>
      <c r="F201" s="635"/>
      <c r="G201" s="21">
        <f t="shared" si="28"/>
        <v>1</v>
      </c>
      <c r="H201" s="635"/>
      <c r="I201" s="21">
        <f t="shared" si="29"/>
        <v>1</v>
      </c>
      <c r="J201" s="635"/>
      <c r="K201" s="21">
        <f t="shared" si="30"/>
        <v>1</v>
      </c>
      <c r="L201" s="635"/>
      <c r="M201" s="21">
        <f t="shared" si="31"/>
        <v>1</v>
      </c>
      <c r="N201" s="635"/>
      <c r="O201" s="21">
        <f t="shared" si="32"/>
        <v>1</v>
      </c>
      <c r="P201" s="635"/>
      <c r="Q201" s="21">
        <f t="shared" si="33"/>
        <v>1</v>
      </c>
      <c r="R201" s="21">
        <f t="shared" si="34"/>
        <v>0</v>
      </c>
      <c r="S201" s="308">
        <f t="shared" si="25"/>
        <v>0</v>
      </c>
    </row>
    <row r="202" spans="1:19">
      <c r="A202" s="142"/>
      <c r="B202" s="52"/>
      <c r="C202" s="21">
        <f t="shared" si="26"/>
        <v>1</v>
      </c>
      <c r="D202" s="635"/>
      <c r="E202" s="21">
        <f t="shared" si="27"/>
        <v>1</v>
      </c>
      <c r="F202" s="635"/>
      <c r="G202" s="21">
        <f t="shared" si="28"/>
        <v>1</v>
      </c>
      <c r="H202" s="635"/>
      <c r="I202" s="21">
        <f t="shared" si="29"/>
        <v>1</v>
      </c>
      <c r="J202" s="635"/>
      <c r="K202" s="21">
        <f t="shared" si="30"/>
        <v>1</v>
      </c>
      <c r="L202" s="635"/>
      <c r="M202" s="21">
        <f t="shared" si="31"/>
        <v>1</v>
      </c>
      <c r="N202" s="635"/>
      <c r="O202" s="21">
        <f t="shared" si="32"/>
        <v>1</v>
      </c>
      <c r="P202" s="635"/>
      <c r="Q202" s="21">
        <f t="shared" si="33"/>
        <v>1</v>
      </c>
      <c r="R202" s="21">
        <f t="shared" si="34"/>
        <v>0</v>
      </c>
      <c r="S202" s="308">
        <f t="shared" si="25"/>
        <v>0</v>
      </c>
    </row>
    <row r="203" spans="1:19">
      <c r="A203" s="142"/>
      <c r="B203" s="52"/>
      <c r="C203" s="21">
        <f t="shared" si="26"/>
        <v>1</v>
      </c>
      <c r="D203" s="635"/>
      <c r="E203" s="21">
        <f t="shared" si="27"/>
        <v>1</v>
      </c>
      <c r="F203" s="635"/>
      <c r="G203" s="21">
        <f t="shared" si="28"/>
        <v>1</v>
      </c>
      <c r="H203" s="635"/>
      <c r="I203" s="21">
        <f t="shared" si="29"/>
        <v>1</v>
      </c>
      <c r="J203" s="635"/>
      <c r="K203" s="21">
        <f t="shared" si="30"/>
        <v>1</v>
      </c>
      <c r="L203" s="635"/>
      <c r="M203" s="21">
        <f t="shared" si="31"/>
        <v>1</v>
      </c>
      <c r="N203" s="635"/>
      <c r="O203" s="21">
        <f t="shared" si="32"/>
        <v>1</v>
      </c>
      <c r="P203" s="635"/>
      <c r="Q203" s="21">
        <f t="shared" si="33"/>
        <v>1</v>
      </c>
      <c r="R203" s="21">
        <f t="shared" si="34"/>
        <v>0</v>
      </c>
      <c r="S203" s="308">
        <f t="shared" si="25"/>
        <v>0</v>
      </c>
    </row>
    <row r="204" spans="1:19">
      <c r="A204" s="142"/>
      <c r="B204" s="52"/>
      <c r="C204" s="21">
        <f t="shared" si="26"/>
        <v>1</v>
      </c>
      <c r="D204" s="635"/>
      <c r="E204" s="21">
        <f t="shared" si="27"/>
        <v>1</v>
      </c>
      <c r="F204" s="635"/>
      <c r="G204" s="21">
        <f t="shared" si="28"/>
        <v>1</v>
      </c>
      <c r="H204" s="635"/>
      <c r="I204" s="21">
        <f t="shared" si="29"/>
        <v>1</v>
      </c>
      <c r="J204" s="635"/>
      <c r="K204" s="21">
        <f t="shared" si="30"/>
        <v>1</v>
      </c>
      <c r="L204" s="635"/>
      <c r="M204" s="21">
        <f t="shared" si="31"/>
        <v>1</v>
      </c>
      <c r="N204" s="635"/>
      <c r="O204" s="21">
        <f t="shared" si="32"/>
        <v>1</v>
      </c>
      <c r="P204" s="635"/>
      <c r="Q204" s="21">
        <f t="shared" si="33"/>
        <v>1</v>
      </c>
      <c r="R204" s="21">
        <f t="shared" si="34"/>
        <v>0</v>
      </c>
      <c r="S204" s="308">
        <f t="shared" si="25"/>
        <v>0</v>
      </c>
    </row>
    <row r="205" spans="1:19">
      <c r="A205" s="142"/>
      <c r="B205" s="52"/>
      <c r="C205" s="21">
        <f t="shared" si="26"/>
        <v>1</v>
      </c>
      <c r="D205" s="635"/>
      <c r="E205" s="21">
        <f t="shared" si="27"/>
        <v>1</v>
      </c>
      <c r="F205" s="635"/>
      <c r="G205" s="21">
        <f t="shared" si="28"/>
        <v>1</v>
      </c>
      <c r="H205" s="635"/>
      <c r="I205" s="21">
        <f t="shared" si="29"/>
        <v>1</v>
      </c>
      <c r="J205" s="635"/>
      <c r="K205" s="21">
        <f t="shared" si="30"/>
        <v>1</v>
      </c>
      <c r="L205" s="635"/>
      <c r="M205" s="21">
        <f t="shared" si="31"/>
        <v>1</v>
      </c>
      <c r="N205" s="635"/>
      <c r="O205" s="21">
        <f t="shared" si="32"/>
        <v>1</v>
      </c>
      <c r="P205" s="635"/>
      <c r="Q205" s="21">
        <f t="shared" si="33"/>
        <v>1</v>
      </c>
      <c r="R205" s="21">
        <f t="shared" si="34"/>
        <v>0</v>
      </c>
      <c r="S205" s="308">
        <f t="shared" si="25"/>
        <v>0</v>
      </c>
    </row>
    <row r="206" spans="1:19">
      <c r="A206" s="142"/>
      <c r="B206" s="52"/>
      <c r="C206" s="21">
        <f t="shared" si="26"/>
        <v>1</v>
      </c>
      <c r="D206" s="635"/>
      <c r="E206" s="21">
        <f t="shared" si="27"/>
        <v>1</v>
      </c>
      <c r="F206" s="635"/>
      <c r="G206" s="21">
        <f t="shared" si="28"/>
        <v>1</v>
      </c>
      <c r="H206" s="635"/>
      <c r="I206" s="21">
        <f t="shared" si="29"/>
        <v>1</v>
      </c>
      <c r="J206" s="635"/>
      <c r="K206" s="21">
        <f t="shared" si="30"/>
        <v>1</v>
      </c>
      <c r="L206" s="635"/>
      <c r="M206" s="21">
        <f t="shared" si="31"/>
        <v>1</v>
      </c>
      <c r="N206" s="635"/>
      <c r="O206" s="21">
        <f t="shared" si="32"/>
        <v>1</v>
      </c>
      <c r="P206" s="635"/>
      <c r="Q206" s="21">
        <f t="shared" si="33"/>
        <v>1</v>
      </c>
      <c r="R206" s="21">
        <f t="shared" si="34"/>
        <v>0</v>
      </c>
      <c r="S206" s="308">
        <f t="shared" si="25"/>
        <v>0</v>
      </c>
    </row>
    <row r="207" spans="1:19">
      <c r="A207" s="142"/>
      <c r="B207" s="52"/>
      <c r="C207" s="21">
        <f t="shared" si="26"/>
        <v>1</v>
      </c>
      <c r="D207" s="635"/>
      <c r="E207" s="21">
        <f t="shared" si="27"/>
        <v>1</v>
      </c>
      <c r="F207" s="635"/>
      <c r="G207" s="21">
        <f t="shared" si="28"/>
        <v>1</v>
      </c>
      <c r="H207" s="635"/>
      <c r="I207" s="21">
        <f t="shared" si="29"/>
        <v>1</v>
      </c>
      <c r="J207" s="635"/>
      <c r="K207" s="21">
        <f t="shared" si="30"/>
        <v>1</v>
      </c>
      <c r="L207" s="635"/>
      <c r="M207" s="21">
        <f t="shared" si="31"/>
        <v>1</v>
      </c>
      <c r="N207" s="635"/>
      <c r="O207" s="21">
        <f t="shared" si="32"/>
        <v>1</v>
      </c>
      <c r="P207" s="635"/>
      <c r="Q207" s="21">
        <f t="shared" si="33"/>
        <v>1</v>
      </c>
      <c r="R207" s="21">
        <f t="shared" si="34"/>
        <v>0</v>
      </c>
      <c r="S207" s="308">
        <f t="shared" si="25"/>
        <v>0</v>
      </c>
    </row>
    <row r="208" spans="1:19">
      <c r="A208" s="142"/>
      <c r="B208" s="52"/>
      <c r="C208" s="21">
        <f t="shared" si="26"/>
        <v>1</v>
      </c>
      <c r="D208" s="635"/>
      <c r="E208" s="21">
        <f t="shared" si="27"/>
        <v>1</v>
      </c>
      <c r="F208" s="635"/>
      <c r="G208" s="21">
        <f t="shared" si="28"/>
        <v>1</v>
      </c>
      <c r="H208" s="635"/>
      <c r="I208" s="21">
        <f t="shared" si="29"/>
        <v>1</v>
      </c>
      <c r="J208" s="635"/>
      <c r="K208" s="21">
        <f t="shared" si="30"/>
        <v>1</v>
      </c>
      <c r="L208" s="635"/>
      <c r="M208" s="21">
        <f t="shared" si="31"/>
        <v>1</v>
      </c>
      <c r="N208" s="635"/>
      <c r="O208" s="21">
        <f t="shared" si="32"/>
        <v>1</v>
      </c>
      <c r="P208" s="635"/>
      <c r="Q208" s="21">
        <f t="shared" si="33"/>
        <v>1</v>
      </c>
      <c r="R208" s="21">
        <f t="shared" si="34"/>
        <v>0</v>
      </c>
      <c r="S208" s="308">
        <f t="shared" si="25"/>
        <v>0</v>
      </c>
    </row>
    <row r="209" spans="1:19">
      <c r="A209" s="142"/>
      <c r="B209" s="52"/>
      <c r="C209" s="21">
        <f t="shared" si="26"/>
        <v>1</v>
      </c>
      <c r="D209" s="635"/>
      <c r="E209" s="21">
        <f t="shared" si="27"/>
        <v>1</v>
      </c>
      <c r="F209" s="635"/>
      <c r="G209" s="21">
        <f t="shared" si="28"/>
        <v>1</v>
      </c>
      <c r="H209" s="635"/>
      <c r="I209" s="21">
        <f t="shared" si="29"/>
        <v>1</v>
      </c>
      <c r="J209" s="635"/>
      <c r="K209" s="21">
        <f t="shared" si="30"/>
        <v>1</v>
      </c>
      <c r="L209" s="635"/>
      <c r="M209" s="21">
        <f t="shared" si="31"/>
        <v>1</v>
      </c>
      <c r="N209" s="635"/>
      <c r="O209" s="21">
        <f t="shared" si="32"/>
        <v>1</v>
      </c>
      <c r="P209" s="635"/>
      <c r="Q209" s="21">
        <f t="shared" si="33"/>
        <v>1</v>
      </c>
      <c r="R209" s="21">
        <f t="shared" si="34"/>
        <v>0</v>
      </c>
      <c r="S209" s="308">
        <f t="shared" si="25"/>
        <v>0</v>
      </c>
    </row>
    <row r="210" spans="1:19">
      <c r="A210" s="142"/>
      <c r="B210" s="52"/>
      <c r="C210" s="21">
        <f t="shared" si="26"/>
        <v>1</v>
      </c>
      <c r="D210" s="635"/>
      <c r="E210" s="21">
        <f t="shared" si="27"/>
        <v>1</v>
      </c>
      <c r="F210" s="635"/>
      <c r="G210" s="21">
        <f t="shared" si="28"/>
        <v>1</v>
      </c>
      <c r="H210" s="635"/>
      <c r="I210" s="21">
        <f t="shared" si="29"/>
        <v>1</v>
      </c>
      <c r="J210" s="635"/>
      <c r="K210" s="21">
        <f t="shared" si="30"/>
        <v>1</v>
      </c>
      <c r="L210" s="635"/>
      <c r="M210" s="21">
        <f t="shared" si="31"/>
        <v>1</v>
      </c>
      <c r="N210" s="635"/>
      <c r="O210" s="21">
        <f t="shared" si="32"/>
        <v>1</v>
      </c>
      <c r="P210" s="635"/>
      <c r="Q210" s="21">
        <f t="shared" si="33"/>
        <v>1</v>
      </c>
      <c r="R210" s="21">
        <f t="shared" si="34"/>
        <v>0</v>
      </c>
      <c r="S210" s="308">
        <f t="shared" si="25"/>
        <v>0</v>
      </c>
    </row>
    <row r="211" spans="1:19">
      <c r="A211" s="142"/>
      <c r="B211" s="52"/>
      <c r="C211" s="21">
        <f t="shared" si="26"/>
        <v>1</v>
      </c>
      <c r="D211" s="635"/>
      <c r="E211" s="21">
        <f t="shared" si="27"/>
        <v>1</v>
      </c>
      <c r="F211" s="635"/>
      <c r="G211" s="21">
        <f t="shared" si="28"/>
        <v>1</v>
      </c>
      <c r="H211" s="635"/>
      <c r="I211" s="21">
        <f t="shared" si="29"/>
        <v>1</v>
      </c>
      <c r="J211" s="635"/>
      <c r="K211" s="21">
        <f t="shared" si="30"/>
        <v>1</v>
      </c>
      <c r="L211" s="635"/>
      <c r="M211" s="21">
        <f t="shared" si="31"/>
        <v>1</v>
      </c>
      <c r="N211" s="635"/>
      <c r="O211" s="21">
        <f t="shared" si="32"/>
        <v>1</v>
      </c>
      <c r="P211" s="635"/>
      <c r="Q211" s="21">
        <f t="shared" si="33"/>
        <v>1</v>
      </c>
      <c r="R211" s="21">
        <f t="shared" si="34"/>
        <v>0</v>
      </c>
      <c r="S211" s="308">
        <f t="shared" si="25"/>
        <v>0</v>
      </c>
    </row>
    <row r="212" spans="1:19">
      <c r="A212" s="142"/>
      <c r="B212" s="52"/>
      <c r="C212" s="21">
        <f t="shared" si="26"/>
        <v>1</v>
      </c>
      <c r="D212" s="635"/>
      <c r="E212" s="21">
        <f t="shared" si="27"/>
        <v>1</v>
      </c>
      <c r="F212" s="635"/>
      <c r="G212" s="21">
        <f t="shared" si="28"/>
        <v>1</v>
      </c>
      <c r="H212" s="635"/>
      <c r="I212" s="21">
        <f t="shared" si="29"/>
        <v>1</v>
      </c>
      <c r="J212" s="635"/>
      <c r="K212" s="21">
        <f t="shared" si="30"/>
        <v>1</v>
      </c>
      <c r="L212" s="635"/>
      <c r="M212" s="21">
        <f t="shared" si="31"/>
        <v>1</v>
      </c>
      <c r="N212" s="635"/>
      <c r="O212" s="21">
        <f t="shared" si="32"/>
        <v>1</v>
      </c>
      <c r="P212" s="635"/>
      <c r="Q212" s="21">
        <f t="shared" si="33"/>
        <v>1</v>
      </c>
      <c r="R212" s="21">
        <f t="shared" si="34"/>
        <v>0</v>
      </c>
      <c r="S212" s="308">
        <f t="shared" si="25"/>
        <v>0</v>
      </c>
    </row>
    <row r="213" spans="1:19">
      <c r="A213" s="142"/>
      <c r="B213" s="52"/>
      <c r="C213" s="21">
        <f t="shared" si="26"/>
        <v>1</v>
      </c>
      <c r="D213" s="635"/>
      <c r="E213" s="21">
        <f t="shared" si="27"/>
        <v>1</v>
      </c>
      <c r="F213" s="635"/>
      <c r="G213" s="21">
        <f t="shared" si="28"/>
        <v>1</v>
      </c>
      <c r="H213" s="635"/>
      <c r="I213" s="21">
        <f t="shared" si="29"/>
        <v>1</v>
      </c>
      <c r="J213" s="635"/>
      <c r="K213" s="21">
        <f t="shared" si="30"/>
        <v>1</v>
      </c>
      <c r="L213" s="635"/>
      <c r="M213" s="21">
        <f t="shared" si="31"/>
        <v>1</v>
      </c>
      <c r="N213" s="635"/>
      <c r="O213" s="21">
        <f t="shared" si="32"/>
        <v>1</v>
      </c>
      <c r="P213" s="635"/>
      <c r="Q213" s="21">
        <f t="shared" si="33"/>
        <v>1</v>
      </c>
      <c r="R213" s="21">
        <f t="shared" si="34"/>
        <v>0</v>
      </c>
      <c r="S213" s="308">
        <f t="shared" si="25"/>
        <v>0</v>
      </c>
    </row>
    <row r="214" spans="1:19">
      <c r="A214" s="142"/>
      <c r="B214" s="52"/>
      <c r="C214" s="21">
        <f t="shared" si="26"/>
        <v>1</v>
      </c>
      <c r="D214" s="635"/>
      <c r="E214" s="21">
        <f t="shared" si="27"/>
        <v>1</v>
      </c>
      <c r="F214" s="635"/>
      <c r="G214" s="21">
        <f t="shared" si="28"/>
        <v>1</v>
      </c>
      <c r="H214" s="635"/>
      <c r="I214" s="21">
        <f t="shared" si="29"/>
        <v>1</v>
      </c>
      <c r="J214" s="635"/>
      <c r="K214" s="21">
        <f t="shared" si="30"/>
        <v>1</v>
      </c>
      <c r="L214" s="635"/>
      <c r="M214" s="21">
        <f t="shared" si="31"/>
        <v>1</v>
      </c>
      <c r="N214" s="635"/>
      <c r="O214" s="21">
        <f t="shared" si="32"/>
        <v>1</v>
      </c>
      <c r="P214" s="635"/>
      <c r="Q214" s="21">
        <f t="shared" si="33"/>
        <v>1</v>
      </c>
      <c r="R214" s="21">
        <f t="shared" si="34"/>
        <v>0</v>
      </c>
      <c r="S214" s="308">
        <f t="shared" si="25"/>
        <v>0</v>
      </c>
    </row>
    <row r="215" spans="1:19">
      <c r="A215" s="142"/>
      <c r="B215" s="52"/>
      <c r="C215" s="21">
        <f t="shared" si="26"/>
        <v>1</v>
      </c>
      <c r="D215" s="635"/>
      <c r="E215" s="21">
        <f t="shared" si="27"/>
        <v>1</v>
      </c>
      <c r="F215" s="635"/>
      <c r="G215" s="21">
        <f t="shared" si="28"/>
        <v>1</v>
      </c>
      <c r="H215" s="635"/>
      <c r="I215" s="21">
        <f t="shared" si="29"/>
        <v>1</v>
      </c>
      <c r="J215" s="635"/>
      <c r="K215" s="21">
        <f t="shared" si="30"/>
        <v>1</v>
      </c>
      <c r="L215" s="635"/>
      <c r="M215" s="21">
        <f t="shared" si="31"/>
        <v>1</v>
      </c>
      <c r="N215" s="635"/>
      <c r="O215" s="21">
        <f t="shared" si="32"/>
        <v>1</v>
      </c>
      <c r="P215" s="635"/>
      <c r="Q215" s="21">
        <f t="shared" si="33"/>
        <v>1</v>
      </c>
      <c r="R215" s="21">
        <f t="shared" si="34"/>
        <v>0</v>
      </c>
      <c r="S215" s="308">
        <f t="shared" si="25"/>
        <v>0</v>
      </c>
    </row>
    <row r="216" spans="1:19">
      <c r="A216" s="142"/>
      <c r="B216" s="52"/>
      <c r="C216" s="21">
        <f t="shared" si="26"/>
        <v>1</v>
      </c>
      <c r="D216" s="635"/>
      <c r="E216" s="21">
        <f t="shared" si="27"/>
        <v>1</v>
      </c>
      <c r="F216" s="635"/>
      <c r="G216" s="21">
        <f t="shared" si="28"/>
        <v>1</v>
      </c>
      <c r="H216" s="635"/>
      <c r="I216" s="21">
        <f t="shared" si="29"/>
        <v>1</v>
      </c>
      <c r="J216" s="635"/>
      <c r="K216" s="21">
        <f t="shared" si="30"/>
        <v>1</v>
      </c>
      <c r="L216" s="635"/>
      <c r="M216" s="21">
        <f t="shared" si="31"/>
        <v>1</v>
      </c>
      <c r="N216" s="635"/>
      <c r="O216" s="21">
        <f t="shared" si="32"/>
        <v>1</v>
      </c>
      <c r="P216" s="635"/>
      <c r="Q216" s="21">
        <f t="shared" si="33"/>
        <v>1</v>
      </c>
      <c r="R216" s="21">
        <f t="shared" si="34"/>
        <v>0</v>
      </c>
      <c r="S216" s="308">
        <f t="shared" ref="S216:S279" si="35">ROUND(R216*B216/10000,0)</f>
        <v>0</v>
      </c>
    </row>
    <row r="217" spans="1:19">
      <c r="A217" s="142"/>
      <c r="B217" s="52"/>
      <c r="C217" s="21">
        <f t="shared" si="26"/>
        <v>1</v>
      </c>
      <c r="D217" s="635"/>
      <c r="E217" s="21">
        <f t="shared" si="27"/>
        <v>1</v>
      </c>
      <c r="F217" s="635"/>
      <c r="G217" s="21">
        <f t="shared" si="28"/>
        <v>1</v>
      </c>
      <c r="H217" s="635"/>
      <c r="I217" s="21">
        <f t="shared" si="29"/>
        <v>1</v>
      </c>
      <c r="J217" s="635"/>
      <c r="K217" s="21">
        <f t="shared" si="30"/>
        <v>1</v>
      </c>
      <c r="L217" s="635"/>
      <c r="M217" s="21">
        <f t="shared" si="31"/>
        <v>1</v>
      </c>
      <c r="N217" s="635"/>
      <c r="O217" s="21">
        <f t="shared" si="32"/>
        <v>1</v>
      </c>
      <c r="P217" s="635"/>
      <c r="Q217" s="21">
        <f t="shared" si="33"/>
        <v>1</v>
      </c>
      <c r="R217" s="21">
        <f t="shared" si="34"/>
        <v>0</v>
      </c>
      <c r="S217" s="308">
        <f t="shared" si="35"/>
        <v>0</v>
      </c>
    </row>
    <row r="218" spans="1:19">
      <c r="A218" s="142"/>
      <c r="B218" s="52"/>
      <c r="C218" s="21">
        <f t="shared" ref="C218:C281" si="36">IF(B218="",1,(LOOKUP(B218,$3:$3,$4:$4)-LOOKUP($B$24,$3:$3,$4:$4)+100)/100)</f>
        <v>1</v>
      </c>
      <c r="D218" s="635"/>
      <c r="E218" s="21">
        <f t="shared" ref="E218:E281" si="37">(SUMIF($5:$5,D218,$6:$6)-SUMIF($5:$5,$D$24,$6:$6)+100)/100</f>
        <v>1</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1</v>
      </c>
      <c r="R218" s="21">
        <f t="shared" ref="R218:R281" si="44">IF(B218="",0,ROUND($R$24*C218*E218*G218*I218*K218*M218*O218*Q218,0))</f>
        <v>0</v>
      </c>
      <c r="S218" s="308">
        <f t="shared" si="35"/>
        <v>0</v>
      </c>
    </row>
    <row r="219" spans="1:19">
      <c r="A219" s="142"/>
      <c r="B219" s="52"/>
      <c r="C219" s="21">
        <f t="shared" si="36"/>
        <v>1</v>
      </c>
      <c r="D219" s="635"/>
      <c r="E219" s="21">
        <f t="shared" si="37"/>
        <v>1</v>
      </c>
      <c r="F219" s="635"/>
      <c r="G219" s="21">
        <f t="shared" si="38"/>
        <v>1</v>
      </c>
      <c r="H219" s="635"/>
      <c r="I219" s="21">
        <f t="shared" si="39"/>
        <v>1</v>
      </c>
      <c r="J219" s="635"/>
      <c r="K219" s="21">
        <f t="shared" si="40"/>
        <v>1</v>
      </c>
      <c r="L219" s="635"/>
      <c r="M219" s="21">
        <f t="shared" si="41"/>
        <v>1</v>
      </c>
      <c r="N219" s="635"/>
      <c r="O219" s="21">
        <f t="shared" si="42"/>
        <v>1</v>
      </c>
      <c r="P219" s="635"/>
      <c r="Q219" s="21">
        <f t="shared" si="43"/>
        <v>1</v>
      </c>
      <c r="R219" s="21">
        <f t="shared" si="44"/>
        <v>0</v>
      </c>
      <c r="S219" s="308">
        <f t="shared" si="35"/>
        <v>0</v>
      </c>
    </row>
    <row r="220" spans="1:19">
      <c r="A220" s="142"/>
      <c r="B220" s="52"/>
      <c r="C220" s="21">
        <f t="shared" si="36"/>
        <v>1</v>
      </c>
      <c r="D220" s="635"/>
      <c r="E220" s="21">
        <f t="shared" si="37"/>
        <v>1</v>
      </c>
      <c r="F220" s="635"/>
      <c r="G220" s="21">
        <f t="shared" si="38"/>
        <v>1</v>
      </c>
      <c r="H220" s="635"/>
      <c r="I220" s="21">
        <f t="shared" si="39"/>
        <v>1</v>
      </c>
      <c r="J220" s="635"/>
      <c r="K220" s="21">
        <f t="shared" si="40"/>
        <v>1</v>
      </c>
      <c r="L220" s="635"/>
      <c r="M220" s="21">
        <f t="shared" si="41"/>
        <v>1</v>
      </c>
      <c r="N220" s="635"/>
      <c r="O220" s="21">
        <f t="shared" si="42"/>
        <v>1</v>
      </c>
      <c r="P220" s="635"/>
      <c r="Q220" s="21">
        <f t="shared" si="43"/>
        <v>1</v>
      </c>
      <c r="R220" s="21">
        <f t="shared" si="44"/>
        <v>0</v>
      </c>
      <c r="S220" s="308">
        <f t="shared" si="35"/>
        <v>0</v>
      </c>
    </row>
    <row r="221" spans="1:19">
      <c r="A221" s="142"/>
      <c r="B221" s="52"/>
      <c r="C221" s="21">
        <f t="shared" si="36"/>
        <v>1</v>
      </c>
      <c r="D221" s="635"/>
      <c r="E221" s="21">
        <f t="shared" si="37"/>
        <v>1</v>
      </c>
      <c r="F221" s="635"/>
      <c r="G221" s="21">
        <f t="shared" si="38"/>
        <v>1</v>
      </c>
      <c r="H221" s="635"/>
      <c r="I221" s="21">
        <f t="shared" si="39"/>
        <v>1</v>
      </c>
      <c r="J221" s="635"/>
      <c r="K221" s="21">
        <f t="shared" si="40"/>
        <v>1</v>
      </c>
      <c r="L221" s="635"/>
      <c r="M221" s="21">
        <f t="shared" si="41"/>
        <v>1</v>
      </c>
      <c r="N221" s="635"/>
      <c r="O221" s="21">
        <f t="shared" si="42"/>
        <v>1</v>
      </c>
      <c r="P221" s="635"/>
      <c r="Q221" s="21">
        <f t="shared" si="43"/>
        <v>1</v>
      </c>
      <c r="R221" s="21">
        <f t="shared" si="44"/>
        <v>0</v>
      </c>
      <c r="S221" s="308">
        <f t="shared" si="35"/>
        <v>0</v>
      </c>
    </row>
    <row r="222" spans="1:19">
      <c r="A222" s="142"/>
      <c r="B222" s="52"/>
      <c r="C222" s="21">
        <f t="shared" si="36"/>
        <v>1</v>
      </c>
      <c r="D222" s="635"/>
      <c r="E222" s="21">
        <f t="shared" si="37"/>
        <v>1</v>
      </c>
      <c r="F222" s="635"/>
      <c r="G222" s="21">
        <f t="shared" si="38"/>
        <v>1</v>
      </c>
      <c r="H222" s="635"/>
      <c r="I222" s="21">
        <f t="shared" si="39"/>
        <v>1</v>
      </c>
      <c r="J222" s="635"/>
      <c r="K222" s="21">
        <f t="shared" si="40"/>
        <v>1</v>
      </c>
      <c r="L222" s="635"/>
      <c r="M222" s="21">
        <f t="shared" si="41"/>
        <v>1</v>
      </c>
      <c r="N222" s="635"/>
      <c r="O222" s="21">
        <f t="shared" si="42"/>
        <v>1</v>
      </c>
      <c r="P222" s="635"/>
      <c r="Q222" s="21">
        <f t="shared" si="43"/>
        <v>1</v>
      </c>
      <c r="R222" s="21">
        <f t="shared" si="44"/>
        <v>0</v>
      </c>
      <c r="S222" s="308">
        <f t="shared" si="35"/>
        <v>0</v>
      </c>
    </row>
    <row r="223" spans="1:19">
      <c r="A223" s="142"/>
      <c r="B223" s="52"/>
      <c r="C223" s="21">
        <f t="shared" si="36"/>
        <v>1</v>
      </c>
      <c r="D223" s="635"/>
      <c r="E223" s="21">
        <f t="shared" si="37"/>
        <v>1</v>
      </c>
      <c r="F223" s="635"/>
      <c r="G223" s="21">
        <f t="shared" si="38"/>
        <v>1</v>
      </c>
      <c r="H223" s="635"/>
      <c r="I223" s="21">
        <f t="shared" si="39"/>
        <v>1</v>
      </c>
      <c r="J223" s="635"/>
      <c r="K223" s="21">
        <f t="shared" si="40"/>
        <v>1</v>
      </c>
      <c r="L223" s="635"/>
      <c r="M223" s="21">
        <f t="shared" si="41"/>
        <v>1</v>
      </c>
      <c r="N223" s="635"/>
      <c r="O223" s="21">
        <f t="shared" si="42"/>
        <v>1</v>
      </c>
      <c r="P223" s="635"/>
      <c r="Q223" s="21">
        <f t="shared" si="43"/>
        <v>1</v>
      </c>
      <c r="R223" s="21">
        <f t="shared" si="44"/>
        <v>0</v>
      </c>
      <c r="S223" s="308">
        <f t="shared" si="35"/>
        <v>0</v>
      </c>
    </row>
    <row r="224" spans="1:19">
      <c r="A224" s="142"/>
      <c r="B224" s="52"/>
      <c r="C224" s="21">
        <f t="shared" si="36"/>
        <v>1</v>
      </c>
      <c r="D224" s="635"/>
      <c r="E224" s="21">
        <f t="shared" si="37"/>
        <v>1</v>
      </c>
      <c r="F224" s="635"/>
      <c r="G224" s="21">
        <f t="shared" si="38"/>
        <v>1</v>
      </c>
      <c r="H224" s="635"/>
      <c r="I224" s="21">
        <f t="shared" si="39"/>
        <v>1</v>
      </c>
      <c r="J224" s="635"/>
      <c r="K224" s="21">
        <f t="shared" si="40"/>
        <v>1</v>
      </c>
      <c r="L224" s="635"/>
      <c r="M224" s="21">
        <f t="shared" si="41"/>
        <v>1</v>
      </c>
      <c r="N224" s="635"/>
      <c r="O224" s="21">
        <f t="shared" si="42"/>
        <v>1</v>
      </c>
      <c r="P224" s="635"/>
      <c r="Q224" s="21">
        <f t="shared" si="43"/>
        <v>1</v>
      </c>
      <c r="R224" s="21">
        <f t="shared" si="44"/>
        <v>0</v>
      </c>
      <c r="S224" s="308">
        <f t="shared" si="35"/>
        <v>0</v>
      </c>
    </row>
    <row r="225" spans="1:19">
      <c r="A225" s="142"/>
      <c r="B225" s="52"/>
      <c r="C225" s="21">
        <f t="shared" si="36"/>
        <v>1</v>
      </c>
      <c r="D225" s="635"/>
      <c r="E225" s="21">
        <f t="shared" si="37"/>
        <v>1</v>
      </c>
      <c r="F225" s="635"/>
      <c r="G225" s="21">
        <f t="shared" si="38"/>
        <v>1</v>
      </c>
      <c r="H225" s="635"/>
      <c r="I225" s="21">
        <f t="shared" si="39"/>
        <v>1</v>
      </c>
      <c r="J225" s="635"/>
      <c r="K225" s="21">
        <f t="shared" si="40"/>
        <v>1</v>
      </c>
      <c r="L225" s="635"/>
      <c r="M225" s="21">
        <f t="shared" si="41"/>
        <v>1</v>
      </c>
      <c r="N225" s="635"/>
      <c r="O225" s="21">
        <f t="shared" si="42"/>
        <v>1</v>
      </c>
      <c r="P225" s="635"/>
      <c r="Q225" s="21">
        <f t="shared" si="43"/>
        <v>1</v>
      </c>
      <c r="R225" s="21">
        <f t="shared" si="44"/>
        <v>0</v>
      </c>
      <c r="S225" s="308">
        <f t="shared" si="35"/>
        <v>0</v>
      </c>
    </row>
    <row r="226" spans="1:19">
      <c r="A226" s="142"/>
      <c r="B226" s="52"/>
      <c r="C226" s="21">
        <f t="shared" si="36"/>
        <v>1</v>
      </c>
      <c r="D226" s="635"/>
      <c r="E226" s="21">
        <f t="shared" si="37"/>
        <v>1</v>
      </c>
      <c r="F226" s="635"/>
      <c r="G226" s="21">
        <f t="shared" si="38"/>
        <v>1</v>
      </c>
      <c r="H226" s="635"/>
      <c r="I226" s="21">
        <f t="shared" si="39"/>
        <v>1</v>
      </c>
      <c r="J226" s="635"/>
      <c r="K226" s="21">
        <f t="shared" si="40"/>
        <v>1</v>
      </c>
      <c r="L226" s="635"/>
      <c r="M226" s="21">
        <f t="shared" si="41"/>
        <v>1</v>
      </c>
      <c r="N226" s="635"/>
      <c r="O226" s="21">
        <f t="shared" si="42"/>
        <v>1</v>
      </c>
      <c r="P226" s="635"/>
      <c r="Q226" s="21">
        <f t="shared" si="43"/>
        <v>1</v>
      </c>
      <c r="R226" s="21">
        <f t="shared" si="44"/>
        <v>0</v>
      </c>
      <c r="S226" s="308">
        <f t="shared" si="35"/>
        <v>0</v>
      </c>
    </row>
    <row r="227" spans="1:19">
      <c r="A227" s="142"/>
      <c r="B227" s="52"/>
      <c r="C227" s="21">
        <f t="shared" si="36"/>
        <v>1</v>
      </c>
      <c r="D227" s="635"/>
      <c r="E227" s="21">
        <f t="shared" si="37"/>
        <v>1</v>
      </c>
      <c r="F227" s="635"/>
      <c r="G227" s="21">
        <f t="shared" si="38"/>
        <v>1</v>
      </c>
      <c r="H227" s="635"/>
      <c r="I227" s="21">
        <f t="shared" si="39"/>
        <v>1</v>
      </c>
      <c r="J227" s="635"/>
      <c r="K227" s="21">
        <f t="shared" si="40"/>
        <v>1</v>
      </c>
      <c r="L227" s="635"/>
      <c r="M227" s="21">
        <f t="shared" si="41"/>
        <v>1</v>
      </c>
      <c r="N227" s="635"/>
      <c r="O227" s="21">
        <f t="shared" si="42"/>
        <v>1</v>
      </c>
      <c r="P227" s="635"/>
      <c r="Q227" s="21">
        <f t="shared" si="43"/>
        <v>1</v>
      </c>
      <c r="R227" s="21">
        <f t="shared" si="44"/>
        <v>0</v>
      </c>
      <c r="S227" s="308">
        <f t="shared" si="35"/>
        <v>0</v>
      </c>
    </row>
    <row r="228" spans="1:19">
      <c r="A228" s="142"/>
      <c r="B228" s="52"/>
      <c r="C228" s="21">
        <f t="shared" si="36"/>
        <v>1</v>
      </c>
      <c r="D228" s="635"/>
      <c r="E228" s="21">
        <f t="shared" si="37"/>
        <v>1</v>
      </c>
      <c r="F228" s="635"/>
      <c r="G228" s="21">
        <f t="shared" si="38"/>
        <v>1</v>
      </c>
      <c r="H228" s="635"/>
      <c r="I228" s="21">
        <f t="shared" si="39"/>
        <v>1</v>
      </c>
      <c r="J228" s="635"/>
      <c r="K228" s="21">
        <f t="shared" si="40"/>
        <v>1</v>
      </c>
      <c r="L228" s="635"/>
      <c r="M228" s="21">
        <f t="shared" si="41"/>
        <v>1</v>
      </c>
      <c r="N228" s="635"/>
      <c r="O228" s="21">
        <f t="shared" si="42"/>
        <v>1</v>
      </c>
      <c r="P228" s="635"/>
      <c r="Q228" s="21">
        <f t="shared" si="43"/>
        <v>1</v>
      </c>
      <c r="R228" s="21">
        <f t="shared" si="44"/>
        <v>0</v>
      </c>
      <c r="S228" s="308">
        <f t="shared" si="35"/>
        <v>0</v>
      </c>
    </row>
    <row r="229" spans="1:19">
      <c r="A229" s="142"/>
      <c r="B229" s="52"/>
      <c r="C229" s="21">
        <f t="shared" si="36"/>
        <v>1</v>
      </c>
      <c r="D229" s="635"/>
      <c r="E229" s="21">
        <f t="shared" si="37"/>
        <v>1</v>
      </c>
      <c r="F229" s="635"/>
      <c r="G229" s="21">
        <f t="shared" si="38"/>
        <v>1</v>
      </c>
      <c r="H229" s="635"/>
      <c r="I229" s="21">
        <f t="shared" si="39"/>
        <v>1</v>
      </c>
      <c r="J229" s="635"/>
      <c r="K229" s="21">
        <f t="shared" si="40"/>
        <v>1</v>
      </c>
      <c r="L229" s="635"/>
      <c r="M229" s="21">
        <f t="shared" si="41"/>
        <v>1</v>
      </c>
      <c r="N229" s="635"/>
      <c r="O229" s="21">
        <f t="shared" si="42"/>
        <v>1</v>
      </c>
      <c r="P229" s="635"/>
      <c r="Q229" s="21">
        <f t="shared" si="43"/>
        <v>1</v>
      </c>
      <c r="R229" s="21">
        <f t="shared" si="44"/>
        <v>0</v>
      </c>
      <c r="S229" s="308">
        <f t="shared" si="35"/>
        <v>0</v>
      </c>
    </row>
    <row r="230" spans="1:19">
      <c r="A230" s="142"/>
      <c r="B230" s="52"/>
      <c r="C230" s="21">
        <f t="shared" si="36"/>
        <v>1</v>
      </c>
      <c r="D230" s="635"/>
      <c r="E230" s="21">
        <f t="shared" si="37"/>
        <v>1</v>
      </c>
      <c r="F230" s="635"/>
      <c r="G230" s="21">
        <f t="shared" si="38"/>
        <v>1</v>
      </c>
      <c r="H230" s="635"/>
      <c r="I230" s="21">
        <f t="shared" si="39"/>
        <v>1</v>
      </c>
      <c r="J230" s="635"/>
      <c r="K230" s="21">
        <f t="shared" si="40"/>
        <v>1</v>
      </c>
      <c r="L230" s="635"/>
      <c r="M230" s="21">
        <f t="shared" si="41"/>
        <v>1</v>
      </c>
      <c r="N230" s="635"/>
      <c r="O230" s="21">
        <f t="shared" si="42"/>
        <v>1</v>
      </c>
      <c r="P230" s="635"/>
      <c r="Q230" s="21">
        <f t="shared" si="43"/>
        <v>1</v>
      </c>
      <c r="R230" s="21">
        <f t="shared" si="44"/>
        <v>0</v>
      </c>
      <c r="S230" s="308">
        <f t="shared" si="35"/>
        <v>0</v>
      </c>
    </row>
    <row r="231" spans="1:19">
      <c r="A231" s="142"/>
      <c r="B231" s="52"/>
      <c r="C231" s="21">
        <f t="shared" si="36"/>
        <v>1</v>
      </c>
      <c r="D231" s="635"/>
      <c r="E231" s="21">
        <f t="shared" si="37"/>
        <v>1</v>
      </c>
      <c r="F231" s="635"/>
      <c r="G231" s="21">
        <f t="shared" si="38"/>
        <v>1</v>
      </c>
      <c r="H231" s="635"/>
      <c r="I231" s="21">
        <f t="shared" si="39"/>
        <v>1</v>
      </c>
      <c r="J231" s="635"/>
      <c r="K231" s="21">
        <f t="shared" si="40"/>
        <v>1</v>
      </c>
      <c r="L231" s="635"/>
      <c r="M231" s="21">
        <f t="shared" si="41"/>
        <v>1</v>
      </c>
      <c r="N231" s="635"/>
      <c r="O231" s="21">
        <f t="shared" si="42"/>
        <v>1</v>
      </c>
      <c r="P231" s="635"/>
      <c r="Q231" s="21">
        <f t="shared" si="43"/>
        <v>1</v>
      </c>
      <c r="R231" s="21">
        <f t="shared" si="44"/>
        <v>0</v>
      </c>
      <c r="S231" s="308">
        <f t="shared" si="35"/>
        <v>0</v>
      </c>
    </row>
    <row r="232" spans="1:19">
      <c r="A232" s="142"/>
      <c r="B232" s="52"/>
      <c r="C232" s="21">
        <f t="shared" si="36"/>
        <v>1</v>
      </c>
      <c r="D232" s="635"/>
      <c r="E232" s="21">
        <f t="shared" si="37"/>
        <v>1</v>
      </c>
      <c r="F232" s="635"/>
      <c r="G232" s="21">
        <f t="shared" si="38"/>
        <v>1</v>
      </c>
      <c r="H232" s="635"/>
      <c r="I232" s="21">
        <f t="shared" si="39"/>
        <v>1</v>
      </c>
      <c r="J232" s="635"/>
      <c r="K232" s="21">
        <f t="shared" si="40"/>
        <v>1</v>
      </c>
      <c r="L232" s="635"/>
      <c r="M232" s="21">
        <f t="shared" si="41"/>
        <v>1</v>
      </c>
      <c r="N232" s="635"/>
      <c r="O232" s="21">
        <f t="shared" si="42"/>
        <v>1</v>
      </c>
      <c r="P232" s="635"/>
      <c r="Q232" s="21">
        <f t="shared" si="43"/>
        <v>1</v>
      </c>
      <c r="R232" s="21">
        <f t="shared" si="44"/>
        <v>0</v>
      </c>
      <c r="S232" s="308">
        <f t="shared" si="35"/>
        <v>0</v>
      </c>
    </row>
    <row r="233" spans="1:19">
      <c r="A233" s="142"/>
      <c r="B233" s="52"/>
      <c r="C233" s="21">
        <f t="shared" si="36"/>
        <v>1</v>
      </c>
      <c r="D233" s="635"/>
      <c r="E233" s="21">
        <f t="shared" si="37"/>
        <v>1</v>
      </c>
      <c r="F233" s="635"/>
      <c r="G233" s="21">
        <f t="shared" si="38"/>
        <v>1</v>
      </c>
      <c r="H233" s="635"/>
      <c r="I233" s="21">
        <f t="shared" si="39"/>
        <v>1</v>
      </c>
      <c r="J233" s="635"/>
      <c r="K233" s="21">
        <f t="shared" si="40"/>
        <v>1</v>
      </c>
      <c r="L233" s="635"/>
      <c r="M233" s="21">
        <f t="shared" si="41"/>
        <v>1</v>
      </c>
      <c r="N233" s="635"/>
      <c r="O233" s="21">
        <f t="shared" si="42"/>
        <v>1</v>
      </c>
      <c r="P233" s="635"/>
      <c r="Q233" s="21">
        <f t="shared" si="43"/>
        <v>1</v>
      </c>
      <c r="R233" s="21">
        <f t="shared" si="44"/>
        <v>0</v>
      </c>
      <c r="S233" s="308">
        <f t="shared" si="35"/>
        <v>0</v>
      </c>
    </row>
    <row r="234" spans="1:19">
      <c r="A234" s="142"/>
      <c r="B234" s="52"/>
      <c r="C234" s="21">
        <f t="shared" si="36"/>
        <v>1</v>
      </c>
      <c r="D234" s="635"/>
      <c r="E234" s="21">
        <f t="shared" si="37"/>
        <v>1</v>
      </c>
      <c r="F234" s="635"/>
      <c r="G234" s="21">
        <f t="shared" si="38"/>
        <v>1</v>
      </c>
      <c r="H234" s="635"/>
      <c r="I234" s="21">
        <f t="shared" si="39"/>
        <v>1</v>
      </c>
      <c r="J234" s="635"/>
      <c r="K234" s="21">
        <f t="shared" si="40"/>
        <v>1</v>
      </c>
      <c r="L234" s="635"/>
      <c r="M234" s="21">
        <f t="shared" si="41"/>
        <v>1</v>
      </c>
      <c r="N234" s="635"/>
      <c r="O234" s="21">
        <f t="shared" si="42"/>
        <v>1</v>
      </c>
      <c r="P234" s="635"/>
      <c r="Q234" s="21">
        <f t="shared" si="43"/>
        <v>1</v>
      </c>
      <c r="R234" s="21">
        <f t="shared" si="44"/>
        <v>0</v>
      </c>
      <c r="S234" s="308">
        <f t="shared" si="35"/>
        <v>0</v>
      </c>
    </row>
    <row r="235" spans="1:19">
      <c r="A235" s="142"/>
      <c r="B235" s="52"/>
      <c r="C235" s="21">
        <f t="shared" si="36"/>
        <v>1</v>
      </c>
      <c r="D235" s="635"/>
      <c r="E235" s="21">
        <f t="shared" si="37"/>
        <v>1</v>
      </c>
      <c r="F235" s="635"/>
      <c r="G235" s="21">
        <f t="shared" si="38"/>
        <v>1</v>
      </c>
      <c r="H235" s="635"/>
      <c r="I235" s="21">
        <f t="shared" si="39"/>
        <v>1</v>
      </c>
      <c r="J235" s="635"/>
      <c r="K235" s="21">
        <f t="shared" si="40"/>
        <v>1</v>
      </c>
      <c r="L235" s="635"/>
      <c r="M235" s="21">
        <f t="shared" si="41"/>
        <v>1</v>
      </c>
      <c r="N235" s="635"/>
      <c r="O235" s="21">
        <f t="shared" si="42"/>
        <v>1</v>
      </c>
      <c r="P235" s="635"/>
      <c r="Q235" s="21">
        <f t="shared" si="43"/>
        <v>1</v>
      </c>
      <c r="R235" s="21">
        <f t="shared" si="44"/>
        <v>0</v>
      </c>
      <c r="S235" s="308">
        <f t="shared" si="35"/>
        <v>0</v>
      </c>
    </row>
    <row r="236" spans="1:19">
      <c r="A236" s="142"/>
      <c r="B236" s="52"/>
      <c r="C236" s="21">
        <f t="shared" si="36"/>
        <v>1</v>
      </c>
      <c r="D236" s="635"/>
      <c r="E236" s="21">
        <f t="shared" si="37"/>
        <v>1</v>
      </c>
      <c r="F236" s="635"/>
      <c r="G236" s="21">
        <f t="shared" si="38"/>
        <v>1</v>
      </c>
      <c r="H236" s="635"/>
      <c r="I236" s="21">
        <f t="shared" si="39"/>
        <v>1</v>
      </c>
      <c r="J236" s="635"/>
      <c r="K236" s="21">
        <f t="shared" si="40"/>
        <v>1</v>
      </c>
      <c r="L236" s="635"/>
      <c r="M236" s="21">
        <f t="shared" si="41"/>
        <v>1</v>
      </c>
      <c r="N236" s="635"/>
      <c r="O236" s="21">
        <f t="shared" si="42"/>
        <v>1</v>
      </c>
      <c r="P236" s="635"/>
      <c r="Q236" s="21">
        <f t="shared" si="43"/>
        <v>1</v>
      </c>
      <c r="R236" s="21">
        <f t="shared" si="44"/>
        <v>0</v>
      </c>
      <c r="S236" s="308">
        <f t="shared" si="35"/>
        <v>0</v>
      </c>
    </row>
    <row r="237" spans="1:19">
      <c r="A237" s="142"/>
      <c r="B237" s="52"/>
      <c r="C237" s="21">
        <f t="shared" si="36"/>
        <v>1</v>
      </c>
      <c r="D237" s="635"/>
      <c r="E237" s="21">
        <f t="shared" si="37"/>
        <v>1</v>
      </c>
      <c r="F237" s="635"/>
      <c r="G237" s="21">
        <f t="shared" si="38"/>
        <v>1</v>
      </c>
      <c r="H237" s="635"/>
      <c r="I237" s="21">
        <f t="shared" si="39"/>
        <v>1</v>
      </c>
      <c r="J237" s="635"/>
      <c r="K237" s="21">
        <f t="shared" si="40"/>
        <v>1</v>
      </c>
      <c r="L237" s="635"/>
      <c r="M237" s="21">
        <f t="shared" si="41"/>
        <v>1</v>
      </c>
      <c r="N237" s="635"/>
      <c r="O237" s="21">
        <f t="shared" si="42"/>
        <v>1</v>
      </c>
      <c r="P237" s="635"/>
      <c r="Q237" s="21">
        <f t="shared" si="43"/>
        <v>1</v>
      </c>
      <c r="R237" s="21">
        <f t="shared" si="44"/>
        <v>0</v>
      </c>
      <c r="S237" s="308">
        <f t="shared" si="35"/>
        <v>0</v>
      </c>
    </row>
    <row r="238" spans="1:19">
      <c r="A238" s="142"/>
      <c r="B238" s="52"/>
      <c r="C238" s="21">
        <f t="shared" si="36"/>
        <v>1</v>
      </c>
      <c r="D238" s="635"/>
      <c r="E238" s="21">
        <f t="shared" si="37"/>
        <v>1</v>
      </c>
      <c r="F238" s="635"/>
      <c r="G238" s="21">
        <f t="shared" si="38"/>
        <v>1</v>
      </c>
      <c r="H238" s="635"/>
      <c r="I238" s="21">
        <f t="shared" si="39"/>
        <v>1</v>
      </c>
      <c r="J238" s="635"/>
      <c r="K238" s="21">
        <f t="shared" si="40"/>
        <v>1</v>
      </c>
      <c r="L238" s="635"/>
      <c r="M238" s="21">
        <f t="shared" si="41"/>
        <v>1</v>
      </c>
      <c r="N238" s="635"/>
      <c r="O238" s="21">
        <f t="shared" si="42"/>
        <v>1</v>
      </c>
      <c r="P238" s="635"/>
      <c r="Q238" s="21">
        <f t="shared" si="43"/>
        <v>1</v>
      </c>
      <c r="R238" s="21">
        <f t="shared" si="44"/>
        <v>0</v>
      </c>
      <c r="S238" s="308">
        <f t="shared" si="35"/>
        <v>0</v>
      </c>
    </row>
    <row r="239" spans="1:19">
      <c r="A239" s="142"/>
      <c r="B239" s="52"/>
      <c r="C239" s="21">
        <f t="shared" si="36"/>
        <v>1</v>
      </c>
      <c r="D239" s="635"/>
      <c r="E239" s="21">
        <f t="shared" si="37"/>
        <v>1</v>
      </c>
      <c r="F239" s="635"/>
      <c r="G239" s="21">
        <f t="shared" si="38"/>
        <v>1</v>
      </c>
      <c r="H239" s="635"/>
      <c r="I239" s="21">
        <f t="shared" si="39"/>
        <v>1</v>
      </c>
      <c r="J239" s="635"/>
      <c r="K239" s="21">
        <f t="shared" si="40"/>
        <v>1</v>
      </c>
      <c r="L239" s="635"/>
      <c r="M239" s="21">
        <f t="shared" si="41"/>
        <v>1</v>
      </c>
      <c r="N239" s="635"/>
      <c r="O239" s="21">
        <f t="shared" si="42"/>
        <v>1</v>
      </c>
      <c r="P239" s="635"/>
      <c r="Q239" s="21">
        <f t="shared" si="43"/>
        <v>1</v>
      </c>
      <c r="R239" s="21">
        <f t="shared" si="44"/>
        <v>0</v>
      </c>
      <c r="S239" s="308">
        <f t="shared" si="35"/>
        <v>0</v>
      </c>
    </row>
    <row r="240" spans="1:19">
      <c r="A240" s="142"/>
      <c r="B240" s="52"/>
      <c r="C240" s="21">
        <f t="shared" si="36"/>
        <v>1</v>
      </c>
      <c r="D240" s="635"/>
      <c r="E240" s="21">
        <f t="shared" si="37"/>
        <v>1</v>
      </c>
      <c r="F240" s="635"/>
      <c r="G240" s="21">
        <f t="shared" si="38"/>
        <v>1</v>
      </c>
      <c r="H240" s="635"/>
      <c r="I240" s="21">
        <f t="shared" si="39"/>
        <v>1</v>
      </c>
      <c r="J240" s="635"/>
      <c r="K240" s="21">
        <f t="shared" si="40"/>
        <v>1</v>
      </c>
      <c r="L240" s="635"/>
      <c r="M240" s="21">
        <f t="shared" si="41"/>
        <v>1</v>
      </c>
      <c r="N240" s="635"/>
      <c r="O240" s="21">
        <f t="shared" si="42"/>
        <v>1</v>
      </c>
      <c r="P240" s="635"/>
      <c r="Q240" s="21">
        <f t="shared" si="43"/>
        <v>1</v>
      </c>
      <c r="R240" s="21">
        <f t="shared" si="44"/>
        <v>0</v>
      </c>
      <c r="S240" s="308">
        <f t="shared" si="35"/>
        <v>0</v>
      </c>
    </row>
    <row r="241" spans="1:19">
      <c r="A241" s="142"/>
      <c r="B241" s="52"/>
      <c r="C241" s="21">
        <f t="shared" si="36"/>
        <v>1</v>
      </c>
      <c r="D241" s="635"/>
      <c r="E241" s="21">
        <f t="shared" si="37"/>
        <v>1</v>
      </c>
      <c r="F241" s="635"/>
      <c r="G241" s="21">
        <f t="shared" si="38"/>
        <v>1</v>
      </c>
      <c r="H241" s="635"/>
      <c r="I241" s="21">
        <f t="shared" si="39"/>
        <v>1</v>
      </c>
      <c r="J241" s="635"/>
      <c r="K241" s="21">
        <f t="shared" si="40"/>
        <v>1</v>
      </c>
      <c r="L241" s="635"/>
      <c r="M241" s="21">
        <f t="shared" si="41"/>
        <v>1</v>
      </c>
      <c r="N241" s="635"/>
      <c r="O241" s="21">
        <f t="shared" si="42"/>
        <v>1</v>
      </c>
      <c r="P241" s="635"/>
      <c r="Q241" s="21">
        <f t="shared" si="43"/>
        <v>1</v>
      </c>
      <c r="R241" s="21">
        <f t="shared" si="44"/>
        <v>0</v>
      </c>
      <c r="S241" s="308">
        <f t="shared" si="35"/>
        <v>0</v>
      </c>
    </row>
    <row r="242" spans="1:19">
      <c r="A242" s="142"/>
      <c r="B242" s="52"/>
      <c r="C242" s="21">
        <f t="shared" si="36"/>
        <v>1</v>
      </c>
      <c r="D242" s="635"/>
      <c r="E242" s="21">
        <f t="shared" si="37"/>
        <v>1</v>
      </c>
      <c r="F242" s="635"/>
      <c r="G242" s="21">
        <f t="shared" si="38"/>
        <v>1</v>
      </c>
      <c r="H242" s="635"/>
      <c r="I242" s="21">
        <f t="shared" si="39"/>
        <v>1</v>
      </c>
      <c r="J242" s="635"/>
      <c r="K242" s="21">
        <f t="shared" si="40"/>
        <v>1</v>
      </c>
      <c r="L242" s="635"/>
      <c r="M242" s="21">
        <f t="shared" si="41"/>
        <v>1</v>
      </c>
      <c r="N242" s="635"/>
      <c r="O242" s="21">
        <f t="shared" si="42"/>
        <v>1</v>
      </c>
      <c r="P242" s="635"/>
      <c r="Q242" s="21">
        <f t="shared" si="43"/>
        <v>1</v>
      </c>
      <c r="R242" s="21">
        <f t="shared" si="44"/>
        <v>0</v>
      </c>
      <c r="S242" s="308">
        <f t="shared" si="35"/>
        <v>0</v>
      </c>
    </row>
    <row r="243" spans="1:19">
      <c r="A243" s="142"/>
      <c r="B243" s="52"/>
      <c r="C243" s="21">
        <f t="shared" si="36"/>
        <v>1</v>
      </c>
      <c r="D243" s="635"/>
      <c r="E243" s="21">
        <f t="shared" si="37"/>
        <v>1</v>
      </c>
      <c r="F243" s="635"/>
      <c r="G243" s="21">
        <f t="shared" si="38"/>
        <v>1</v>
      </c>
      <c r="H243" s="635"/>
      <c r="I243" s="21">
        <f t="shared" si="39"/>
        <v>1</v>
      </c>
      <c r="J243" s="635"/>
      <c r="K243" s="21">
        <f t="shared" si="40"/>
        <v>1</v>
      </c>
      <c r="L243" s="635"/>
      <c r="M243" s="21">
        <f t="shared" si="41"/>
        <v>1</v>
      </c>
      <c r="N243" s="635"/>
      <c r="O243" s="21">
        <f t="shared" si="42"/>
        <v>1</v>
      </c>
      <c r="P243" s="635"/>
      <c r="Q243" s="21">
        <f t="shared" si="43"/>
        <v>1</v>
      </c>
      <c r="R243" s="21">
        <f t="shared" si="44"/>
        <v>0</v>
      </c>
      <c r="S243" s="308">
        <f t="shared" si="35"/>
        <v>0</v>
      </c>
    </row>
    <row r="244" spans="1:19">
      <c r="A244" s="142"/>
      <c r="B244" s="52"/>
      <c r="C244" s="21">
        <f t="shared" si="36"/>
        <v>1</v>
      </c>
      <c r="D244" s="635"/>
      <c r="E244" s="21">
        <f t="shared" si="37"/>
        <v>1</v>
      </c>
      <c r="F244" s="635"/>
      <c r="G244" s="21">
        <f t="shared" si="38"/>
        <v>1</v>
      </c>
      <c r="H244" s="635"/>
      <c r="I244" s="21">
        <f t="shared" si="39"/>
        <v>1</v>
      </c>
      <c r="J244" s="635"/>
      <c r="K244" s="21">
        <f t="shared" si="40"/>
        <v>1</v>
      </c>
      <c r="L244" s="635"/>
      <c r="M244" s="21">
        <f t="shared" si="41"/>
        <v>1</v>
      </c>
      <c r="N244" s="635"/>
      <c r="O244" s="21">
        <f t="shared" si="42"/>
        <v>1</v>
      </c>
      <c r="P244" s="635"/>
      <c r="Q244" s="21">
        <f t="shared" si="43"/>
        <v>1</v>
      </c>
      <c r="R244" s="21">
        <f t="shared" si="44"/>
        <v>0</v>
      </c>
      <c r="S244" s="308">
        <f t="shared" si="35"/>
        <v>0</v>
      </c>
    </row>
    <row r="245" spans="1:19">
      <c r="A245" s="142"/>
      <c r="B245" s="52"/>
      <c r="C245" s="21">
        <f t="shared" si="36"/>
        <v>1</v>
      </c>
      <c r="D245" s="635"/>
      <c r="E245" s="21">
        <f t="shared" si="37"/>
        <v>1</v>
      </c>
      <c r="F245" s="635"/>
      <c r="G245" s="21">
        <f t="shared" si="38"/>
        <v>1</v>
      </c>
      <c r="H245" s="635"/>
      <c r="I245" s="21">
        <f t="shared" si="39"/>
        <v>1</v>
      </c>
      <c r="J245" s="635"/>
      <c r="K245" s="21">
        <f t="shared" si="40"/>
        <v>1</v>
      </c>
      <c r="L245" s="635"/>
      <c r="M245" s="21">
        <f t="shared" si="41"/>
        <v>1</v>
      </c>
      <c r="N245" s="635"/>
      <c r="O245" s="21">
        <f t="shared" si="42"/>
        <v>1</v>
      </c>
      <c r="P245" s="635"/>
      <c r="Q245" s="21">
        <f t="shared" si="43"/>
        <v>1</v>
      </c>
      <c r="R245" s="21">
        <f t="shared" si="44"/>
        <v>0</v>
      </c>
      <c r="S245" s="308">
        <f t="shared" si="35"/>
        <v>0</v>
      </c>
    </row>
    <row r="246" spans="1:19">
      <c r="A246" s="142"/>
      <c r="B246" s="52"/>
      <c r="C246" s="21">
        <f t="shared" si="36"/>
        <v>1</v>
      </c>
      <c r="D246" s="635"/>
      <c r="E246" s="21">
        <f t="shared" si="37"/>
        <v>1</v>
      </c>
      <c r="F246" s="635"/>
      <c r="G246" s="21">
        <f t="shared" si="38"/>
        <v>1</v>
      </c>
      <c r="H246" s="635"/>
      <c r="I246" s="21">
        <f t="shared" si="39"/>
        <v>1</v>
      </c>
      <c r="J246" s="635"/>
      <c r="K246" s="21">
        <f t="shared" si="40"/>
        <v>1</v>
      </c>
      <c r="L246" s="635"/>
      <c r="M246" s="21">
        <f t="shared" si="41"/>
        <v>1</v>
      </c>
      <c r="N246" s="635"/>
      <c r="O246" s="21">
        <f t="shared" si="42"/>
        <v>1</v>
      </c>
      <c r="P246" s="635"/>
      <c r="Q246" s="21">
        <f t="shared" si="43"/>
        <v>1</v>
      </c>
      <c r="R246" s="21">
        <f t="shared" si="44"/>
        <v>0</v>
      </c>
      <c r="S246" s="308">
        <f t="shared" si="35"/>
        <v>0</v>
      </c>
    </row>
    <row r="247" spans="1:19">
      <c r="A247" s="142"/>
      <c r="B247" s="52"/>
      <c r="C247" s="21">
        <f t="shared" si="36"/>
        <v>1</v>
      </c>
      <c r="D247" s="635"/>
      <c r="E247" s="21">
        <f t="shared" si="37"/>
        <v>1</v>
      </c>
      <c r="F247" s="635"/>
      <c r="G247" s="21">
        <f t="shared" si="38"/>
        <v>1</v>
      </c>
      <c r="H247" s="635"/>
      <c r="I247" s="21">
        <f t="shared" si="39"/>
        <v>1</v>
      </c>
      <c r="J247" s="635"/>
      <c r="K247" s="21">
        <f t="shared" si="40"/>
        <v>1</v>
      </c>
      <c r="L247" s="635"/>
      <c r="M247" s="21">
        <f t="shared" si="41"/>
        <v>1</v>
      </c>
      <c r="N247" s="635"/>
      <c r="O247" s="21">
        <f t="shared" si="42"/>
        <v>1</v>
      </c>
      <c r="P247" s="635"/>
      <c r="Q247" s="21">
        <f t="shared" si="43"/>
        <v>1</v>
      </c>
      <c r="R247" s="21">
        <f t="shared" si="44"/>
        <v>0</v>
      </c>
      <c r="S247" s="308">
        <f t="shared" si="35"/>
        <v>0</v>
      </c>
    </row>
    <row r="248" spans="1:19">
      <c r="A248" s="142"/>
      <c r="B248" s="52"/>
      <c r="C248" s="21">
        <f t="shared" si="36"/>
        <v>1</v>
      </c>
      <c r="D248" s="635"/>
      <c r="E248" s="21">
        <f t="shared" si="37"/>
        <v>1</v>
      </c>
      <c r="F248" s="635"/>
      <c r="G248" s="21">
        <f t="shared" si="38"/>
        <v>1</v>
      </c>
      <c r="H248" s="635"/>
      <c r="I248" s="21">
        <f t="shared" si="39"/>
        <v>1</v>
      </c>
      <c r="J248" s="635"/>
      <c r="K248" s="21">
        <f t="shared" si="40"/>
        <v>1</v>
      </c>
      <c r="L248" s="635"/>
      <c r="M248" s="21">
        <f t="shared" si="41"/>
        <v>1</v>
      </c>
      <c r="N248" s="635"/>
      <c r="O248" s="21">
        <f t="shared" si="42"/>
        <v>1</v>
      </c>
      <c r="P248" s="635"/>
      <c r="Q248" s="21">
        <f t="shared" si="43"/>
        <v>1</v>
      </c>
      <c r="R248" s="21">
        <f t="shared" si="44"/>
        <v>0</v>
      </c>
      <c r="S248" s="308">
        <f t="shared" si="35"/>
        <v>0</v>
      </c>
    </row>
    <row r="249" spans="1:19">
      <c r="A249" s="142"/>
      <c r="B249" s="52"/>
      <c r="C249" s="21">
        <f t="shared" si="36"/>
        <v>1</v>
      </c>
      <c r="D249" s="635"/>
      <c r="E249" s="21">
        <f t="shared" si="37"/>
        <v>1</v>
      </c>
      <c r="F249" s="635"/>
      <c r="G249" s="21">
        <f t="shared" si="38"/>
        <v>1</v>
      </c>
      <c r="H249" s="635"/>
      <c r="I249" s="21">
        <f t="shared" si="39"/>
        <v>1</v>
      </c>
      <c r="J249" s="635"/>
      <c r="K249" s="21">
        <f t="shared" si="40"/>
        <v>1</v>
      </c>
      <c r="L249" s="635"/>
      <c r="M249" s="21">
        <f t="shared" si="41"/>
        <v>1</v>
      </c>
      <c r="N249" s="635"/>
      <c r="O249" s="21">
        <f t="shared" si="42"/>
        <v>1</v>
      </c>
      <c r="P249" s="635"/>
      <c r="Q249" s="21">
        <f t="shared" si="43"/>
        <v>1</v>
      </c>
      <c r="R249" s="21">
        <f t="shared" si="44"/>
        <v>0</v>
      </c>
      <c r="S249" s="308">
        <f t="shared" si="35"/>
        <v>0</v>
      </c>
    </row>
    <row r="250" spans="1:19">
      <c r="A250" s="142"/>
      <c r="B250" s="52"/>
      <c r="C250" s="21">
        <f t="shared" si="36"/>
        <v>1</v>
      </c>
      <c r="D250" s="635"/>
      <c r="E250" s="21">
        <f t="shared" si="37"/>
        <v>1</v>
      </c>
      <c r="F250" s="635"/>
      <c r="G250" s="21">
        <f t="shared" si="38"/>
        <v>1</v>
      </c>
      <c r="H250" s="635"/>
      <c r="I250" s="21">
        <f t="shared" si="39"/>
        <v>1</v>
      </c>
      <c r="J250" s="635"/>
      <c r="K250" s="21">
        <f t="shared" si="40"/>
        <v>1</v>
      </c>
      <c r="L250" s="635"/>
      <c r="M250" s="21">
        <f t="shared" si="41"/>
        <v>1</v>
      </c>
      <c r="N250" s="635"/>
      <c r="O250" s="21">
        <f t="shared" si="42"/>
        <v>1</v>
      </c>
      <c r="P250" s="635"/>
      <c r="Q250" s="21">
        <f t="shared" si="43"/>
        <v>1</v>
      </c>
      <c r="R250" s="21">
        <f t="shared" si="44"/>
        <v>0</v>
      </c>
      <c r="S250" s="308">
        <f t="shared" si="35"/>
        <v>0</v>
      </c>
    </row>
    <row r="251" spans="1:19">
      <c r="A251" s="142"/>
      <c r="B251" s="52"/>
      <c r="C251" s="21">
        <f t="shared" si="36"/>
        <v>1</v>
      </c>
      <c r="D251" s="635"/>
      <c r="E251" s="21">
        <f t="shared" si="37"/>
        <v>1</v>
      </c>
      <c r="F251" s="635"/>
      <c r="G251" s="21">
        <f t="shared" si="38"/>
        <v>1</v>
      </c>
      <c r="H251" s="635"/>
      <c r="I251" s="21">
        <f t="shared" si="39"/>
        <v>1</v>
      </c>
      <c r="J251" s="635"/>
      <c r="K251" s="21">
        <f t="shared" si="40"/>
        <v>1</v>
      </c>
      <c r="L251" s="635"/>
      <c r="M251" s="21">
        <f t="shared" si="41"/>
        <v>1</v>
      </c>
      <c r="N251" s="635"/>
      <c r="O251" s="21">
        <f t="shared" si="42"/>
        <v>1</v>
      </c>
      <c r="P251" s="635"/>
      <c r="Q251" s="21">
        <f t="shared" si="43"/>
        <v>1</v>
      </c>
      <c r="R251" s="21">
        <f t="shared" si="44"/>
        <v>0</v>
      </c>
      <c r="S251" s="308">
        <f t="shared" si="35"/>
        <v>0</v>
      </c>
    </row>
    <row r="252" spans="1:19">
      <c r="A252" s="142"/>
      <c r="B252" s="52"/>
      <c r="C252" s="21">
        <f t="shared" si="36"/>
        <v>1</v>
      </c>
      <c r="D252" s="635"/>
      <c r="E252" s="21">
        <f t="shared" si="37"/>
        <v>1</v>
      </c>
      <c r="F252" s="635"/>
      <c r="G252" s="21">
        <f t="shared" si="38"/>
        <v>1</v>
      </c>
      <c r="H252" s="635"/>
      <c r="I252" s="21">
        <f t="shared" si="39"/>
        <v>1</v>
      </c>
      <c r="J252" s="635"/>
      <c r="K252" s="21">
        <f t="shared" si="40"/>
        <v>1</v>
      </c>
      <c r="L252" s="635"/>
      <c r="M252" s="21">
        <f t="shared" si="41"/>
        <v>1</v>
      </c>
      <c r="N252" s="635"/>
      <c r="O252" s="21">
        <f t="shared" si="42"/>
        <v>1</v>
      </c>
      <c r="P252" s="635"/>
      <c r="Q252" s="21">
        <f t="shared" si="43"/>
        <v>1</v>
      </c>
      <c r="R252" s="21">
        <f t="shared" si="44"/>
        <v>0</v>
      </c>
      <c r="S252" s="308">
        <f t="shared" si="35"/>
        <v>0</v>
      </c>
    </row>
    <row r="253" spans="1:19">
      <c r="A253" s="142"/>
      <c r="B253" s="52"/>
      <c r="C253" s="21">
        <f t="shared" si="36"/>
        <v>1</v>
      </c>
      <c r="D253" s="635"/>
      <c r="E253" s="21">
        <f t="shared" si="37"/>
        <v>1</v>
      </c>
      <c r="F253" s="635"/>
      <c r="G253" s="21">
        <f t="shared" si="38"/>
        <v>1</v>
      </c>
      <c r="H253" s="635"/>
      <c r="I253" s="21">
        <f t="shared" si="39"/>
        <v>1</v>
      </c>
      <c r="J253" s="635"/>
      <c r="K253" s="21">
        <f t="shared" si="40"/>
        <v>1</v>
      </c>
      <c r="L253" s="635"/>
      <c r="M253" s="21">
        <f t="shared" si="41"/>
        <v>1</v>
      </c>
      <c r="N253" s="635"/>
      <c r="O253" s="21">
        <f t="shared" si="42"/>
        <v>1</v>
      </c>
      <c r="P253" s="635"/>
      <c r="Q253" s="21">
        <f t="shared" si="43"/>
        <v>1</v>
      </c>
      <c r="R253" s="21">
        <f t="shared" si="44"/>
        <v>0</v>
      </c>
      <c r="S253" s="308">
        <f t="shared" si="35"/>
        <v>0</v>
      </c>
    </row>
    <row r="254" spans="1:19">
      <c r="A254" s="142"/>
      <c r="B254" s="52"/>
      <c r="C254" s="21">
        <f t="shared" si="36"/>
        <v>1</v>
      </c>
      <c r="D254" s="635"/>
      <c r="E254" s="21">
        <f t="shared" si="37"/>
        <v>1</v>
      </c>
      <c r="F254" s="635"/>
      <c r="G254" s="21">
        <f t="shared" si="38"/>
        <v>1</v>
      </c>
      <c r="H254" s="635"/>
      <c r="I254" s="21">
        <f t="shared" si="39"/>
        <v>1</v>
      </c>
      <c r="J254" s="635"/>
      <c r="K254" s="21">
        <f t="shared" si="40"/>
        <v>1</v>
      </c>
      <c r="L254" s="635"/>
      <c r="M254" s="21">
        <f t="shared" si="41"/>
        <v>1</v>
      </c>
      <c r="N254" s="635"/>
      <c r="O254" s="21">
        <f t="shared" si="42"/>
        <v>1</v>
      </c>
      <c r="P254" s="635"/>
      <c r="Q254" s="21">
        <f t="shared" si="43"/>
        <v>1</v>
      </c>
      <c r="R254" s="21">
        <f t="shared" si="44"/>
        <v>0</v>
      </c>
      <c r="S254" s="308">
        <f t="shared" si="35"/>
        <v>0</v>
      </c>
    </row>
    <row r="255" spans="1:19">
      <c r="A255" s="142"/>
      <c r="B255" s="52"/>
      <c r="C255" s="21">
        <f t="shared" si="36"/>
        <v>1</v>
      </c>
      <c r="D255" s="635"/>
      <c r="E255" s="21">
        <f t="shared" si="37"/>
        <v>1</v>
      </c>
      <c r="F255" s="635"/>
      <c r="G255" s="21">
        <f t="shared" si="38"/>
        <v>1</v>
      </c>
      <c r="H255" s="635"/>
      <c r="I255" s="21">
        <f t="shared" si="39"/>
        <v>1</v>
      </c>
      <c r="J255" s="635"/>
      <c r="K255" s="21">
        <f t="shared" si="40"/>
        <v>1</v>
      </c>
      <c r="L255" s="635"/>
      <c r="M255" s="21">
        <f t="shared" si="41"/>
        <v>1</v>
      </c>
      <c r="N255" s="635"/>
      <c r="O255" s="21">
        <f t="shared" si="42"/>
        <v>1</v>
      </c>
      <c r="P255" s="635"/>
      <c r="Q255" s="21">
        <f t="shared" si="43"/>
        <v>1</v>
      </c>
      <c r="R255" s="21">
        <f t="shared" si="44"/>
        <v>0</v>
      </c>
      <c r="S255" s="308">
        <f t="shared" si="35"/>
        <v>0</v>
      </c>
    </row>
    <row r="256" spans="1:19">
      <c r="A256" s="142"/>
      <c r="B256" s="52"/>
      <c r="C256" s="21">
        <f t="shared" si="36"/>
        <v>1</v>
      </c>
      <c r="D256" s="635"/>
      <c r="E256" s="21">
        <f t="shared" si="37"/>
        <v>1</v>
      </c>
      <c r="F256" s="635"/>
      <c r="G256" s="21">
        <f t="shared" si="38"/>
        <v>1</v>
      </c>
      <c r="H256" s="635"/>
      <c r="I256" s="21">
        <f t="shared" si="39"/>
        <v>1</v>
      </c>
      <c r="J256" s="635"/>
      <c r="K256" s="21">
        <f t="shared" si="40"/>
        <v>1</v>
      </c>
      <c r="L256" s="635"/>
      <c r="M256" s="21">
        <f t="shared" si="41"/>
        <v>1</v>
      </c>
      <c r="N256" s="635"/>
      <c r="O256" s="21">
        <f t="shared" si="42"/>
        <v>1</v>
      </c>
      <c r="P256" s="635"/>
      <c r="Q256" s="21">
        <f t="shared" si="43"/>
        <v>1</v>
      </c>
      <c r="R256" s="21">
        <f t="shared" si="44"/>
        <v>0</v>
      </c>
      <c r="S256" s="308">
        <f t="shared" si="35"/>
        <v>0</v>
      </c>
    </row>
    <row r="257" spans="1:19">
      <c r="A257" s="142"/>
      <c r="B257" s="52"/>
      <c r="C257" s="21">
        <f t="shared" si="36"/>
        <v>1</v>
      </c>
      <c r="D257" s="635"/>
      <c r="E257" s="21">
        <f t="shared" si="37"/>
        <v>1</v>
      </c>
      <c r="F257" s="635"/>
      <c r="G257" s="21">
        <f t="shared" si="38"/>
        <v>1</v>
      </c>
      <c r="H257" s="635"/>
      <c r="I257" s="21">
        <f t="shared" si="39"/>
        <v>1</v>
      </c>
      <c r="J257" s="635"/>
      <c r="K257" s="21">
        <f t="shared" si="40"/>
        <v>1</v>
      </c>
      <c r="L257" s="635"/>
      <c r="M257" s="21">
        <f t="shared" si="41"/>
        <v>1</v>
      </c>
      <c r="N257" s="635"/>
      <c r="O257" s="21">
        <f t="shared" si="42"/>
        <v>1</v>
      </c>
      <c r="P257" s="635"/>
      <c r="Q257" s="21">
        <f t="shared" si="43"/>
        <v>1</v>
      </c>
      <c r="R257" s="21">
        <f t="shared" si="44"/>
        <v>0</v>
      </c>
      <c r="S257" s="308">
        <f t="shared" si="35"/>
        <v>0</v>
      </c>
    </row>
    <row r="258" spans="1:19">
      <c r="A258" s="142"/>
      <c r="B258" s="52"/>
      <c r="C258" s="21">
        <f t="shared" si="36"/>
        <v>1</v>
      </c>
      <c r="D258" s="635"/>
      <c r="E258" s="21">
        <f t="shared" si="37"/>
        <v>1</v>
      </c>
      <c r="F258" s="635"/>
      <c r="G258" s="21">
        <f t="shared" si="38"/>
        <v>1</v>
      </c>
      <c r="H258" s="635"/>
      <c r="I258" s="21">
        <f t="shared" si="39"/>
        <v>1</v>
      </c>
      <c r="J258" s="635"/>
      <c r="K258" s="21">
        <f t="shared" si="40"/>
        <v>1</v>
      </c>
      <c r="L258" s="635"/>
      <c r="M258" s="21">
        <f t="shared" si="41"/>
        <v>1</v>
      </c>
      <c r="N258" s="635"/>
      <c r="O258" s="21">
        <f t="shared" si="42"/>
        <v>1</v>
      </c>
      <c r="P258" s="635"/>
      <c r="Q258" s="21">
        <f t="shared" si="43"/>
        <v>1</v>
      </c>
      <c r="R258" s="21">
        <f t="shared" si="44"/>
        <v>0</v>
      </c>
      <c r="S258" s="308">
        <f t="shared" si="35"/>
        <v>0</v>
      </c>
    </row>
    <row r="259" spans="1:19">
      <c r="A259" s="142"/>
      <c r="B259" s="52"/>
      <c r="C259" s="21">
        <f t="shared" si="36"/>
        <v>1</v>
      </c>
      <c r="D259" s="635"/>
      <c r="E259" s="21">
        <f t="shared" si="37"/>
        <v>1</v>
      </c>
      <c r="F259" s="635"/>
      <c r="G259" s="21">
        <f t="shared" si="38"/>
        <v>1</v>
      </c>
      <c r="H259" s="635"/>
      <c r="I259" s="21">
        <f t="shared" si="39"/>
        <v>1</v>
      </c>
      <c r="J259" s="635"/>
      <c r="K259" s="21">
        <f t="shared" si="40"/>
        <v>1</v>
      </c>
      <c r="L259" s="635"/>
      <c r="M259" s="21">
        <f t="shared" si="41"/>
        <v>1</v>
      </c>
      <c r="N259" s="635"/>
      <c r="O259" s="21">
        <f t="shared" si="42"/>
        <v>1</v>
      </c>
      <c r="P259" s="635"/>
      <c r="Q259" s="21">
        <f t="shared" si="43"/>
        <v>1</v>
      </c>
      <c r="R259" s="21">
        <f t="shared" si="44"/>
        <v>0</v>
      </c>
      <c r="S259" s="308">
        <f t="shared" si="35"/>
        <v>0</v>
      </c>
    </row>
    <row r="260" spans="1:19">
      <c r="A260" s="142"/>
      <c r="B260" s="52"/>
      <c r="C260" s="21">
        <f t="shared" si="36"/>
        <v>1</v>
      </c>
      <c r="D260" s="635"/>
      <c r="E260" s="21">
        <f t="shared" si="37"/>
        <v>1</v>
      </c>
      <c r="F260" s="635"/>
      <c r="G260" s="21">
        <f t="shared" si="38"/>
        <v>1</v>
      </c>
      <c r="H260" s="635"/>
      <c r="I260" s="21">
        <f t="shared" si="39"/>
        <v>1</v>
      </c>
      <c r="J260" s="635"/>
      <c r="K260" s="21">
        <f t="shared" si="40"/>
        <v>1</v>
      </c>
      <c r="L260" s="635"/>
      <c r="M260" s="21">
        <f t="shared" si="41"/>
        <v>1</v>
      </c>
      <c r="N260" s="635"/>
      <c r="O260" s="21">
        <f t="shared" si="42"/>
        <v>1</v>
      </c>
      <c r="P260" s="635"/>
      <c r="Q260" s="21">
        <f t="shared" si="43"/>
        <v>1</v>
      </c>
      <c r="R260" s="21">
        <f t="shared" si="44"/>
        <v>0</v>
      </c>
      <c r="S260" s="308">
        <f t="shared" si="35"/>
        <v>0</v>
      </c>
    </row>
    <row r="261" spans="1:19">
      <c r="A261" s="142"/>
      <c r="B261" s="52"/>
      <c r="C261" s="21">
        <f t="shared" si="36"/>
        <v>1</v>
      </c>
      <c r="D261" s="635"/>
      <c r="E261" s="21">
        <f t="shared" si="37"/>
        <v>1</v>
      </c>
      <c r="F261" s="635"/>
      <c r="G261" s="21">
        <f t="shared" si="38"/>
        <v>1</v>
      </c>
      <c r="H261" s="635"/>
      <c r="I261" s="21">
        <f t="shared" si="39"/>
        <v>1</v>
      </c>
      <c r="J261" s="635"/>
      <c r="K261" s="21">
        <f t="shared" si="40"/>
        <v>1</v>
      </c>
      <c r="L261" s="635"/>
      <c r="M261" s="21">
        <f t="shared" si="41"/>
        <v>1</v>
      </c>
      <c r="N261" s="635"/>
      <c r="O261" s="21">
        <f t="shared" si="42"/>
        <v>1</v>
      </c>
      <c r="P261" s="635"/>
      <c r="Q261" s="21">
        <f t="shared" si="43"/>
        <v>1</v>
      </c>
      <c r="R261" s="21">
        <f t="shared" si="44"/>
        <v>0</v>
      </c>
      <c r="S261" s="308">
        <f t="shared" si="35"/>
        <v>0</v>
      </c>
    </row>
    <row r="262" spans="1:19">
      <c r="A262" s="142"/>
      <c r="B262" s="52"/>
      <c r="C262" s="21">
        <f t="shared" si="36"/>
        <v>1</v>
      </c>
      <c r="D262" s="635"/>
      <c r="E262" s="21">
        <f t="shared" si="37"/>
        <v>1</v>
      </c>
      <c r="F262" s="635"/>
      <c r="G262" s="21">
        <f t="shared" si="38"/>
        <v>1</v>
      </c>
      <c r="H262" s="635"/>
      <c r="I262" s="21">
        <f t="shared" si="39"/>
        <v>1</v>
      </c>
      <c r="J262" s="635"/>
      <c r="K262" s="21">
        <f t="shared" si="40"/>
        <v>1</v>
      </c>
      <c r="L262" s="635"/>
      <c r="M262" s="21">
        <f t="shared" si="41"/>
        <v>1</v>
      </c>
      <c r="N262" s="635"/>
      <c r="O262" s="21">
        <f t="shared" si="42"/>
        <v>1</v>
      </c>
      <c r="P262" s="635"/>
      <c r="Q262" s="21">
        <f t="shared" si="43"/>
        <v>1</v>
      </c>
      <c r="R262" s="21">
        <f t="shared" si="44"/>
        <v>0</v>
      </c>
      <c r="S262" s="308">
        <f t="shared" si="35"/>
        <v>0</v>
      </c>
    </row>
    <row r="263" spans="1:19">
      <c r="A263" s="142"/>
      <c r="B263" s="52"/>
      <c r="C263" s="21">
        <f t="shared" si="36"/>
        <v>1</v>
      </c>
      <c r="D263" s="635"/>
      <c r="E263" s="21">
        <f t="shared" si="37"/>
        <v>1</v>
      </c>
      <c r="F263" s="635"/>
      <c r="G263" s="21">
        <f t="shared" si="38"/>
        <v>1</v>
      </c>
      <c r="H263" s="635"/>
      <c r="I263" s="21">
        <f t="shared" si="39"/>
        <v>1</v>
      </c>
      <c r="J263" s="635"/>
      <c r="K263" s="21">
        <f t="shared" si="40"/>
        <v>1</v>
      </c>
      <c r="L263" s="635"/>
      <c r="M263" s="21">
        <f t="shared" si="41"/>
        <v>1</v>
      </c>
      <c r="N263" s="635"/>
      <c r="O263" s="21">
        <f t="shared" si="42"/>
        <v>1</v>
      </c>
      <c r="P263" s="635"/>
      <c r="Q263" s="21">
        <f t="shared" si="43"/>
        <v>1</v>
      </c>
      <c r="R263" s="21">
        <f t="shared" si="44"/>
        <v>0</v>
      </c>
      <c r="S263" s="308">
        <f t="shared" si="35"/>
        <v>0</v>
      </c>
    </row>
    <row r="264" spans="1:19">
      <c r="A264" s="142"/>
      <c r="B264" s="52"/>
      <c r="C264" s="21">
        <f t="shared" si="36"/>
        <v>1</v>
      </c>
      <c r="D264" s="635"/>
      <c r="E264" s="21">
        <f t="shared" si="37"/>
        <v>1</v>
      </c>
      <c r="F264" s="635"/>
      <c r="G264" s="21">
        <f t="shared" si="38"/>
        <v>1</v>
      </c>
      <c r="H264" s="635"/>
      <c r="I264" s="21">
        <f t="shared" si="39"/>
        <v>1</v>
      </c>
      <c r="J264" s="635"/>
      <c r="K264" s="21">
        <f t="shared" si="40"/>
        <v>1</v>
      </c>
      <c r="L264" s="635"/>
      <c r="M264" s="21">
        <f t="shared" si="41"/>
        <v>1</v>
      </c>
      <c r="N264" s="635"/>
      <c r="O264" s="21">
        <f t="shared" si="42"/>
        <v>1</v>
      </c>
      <c r="P264" s="635"/>
      <c r="Q264" s="21">
        <f t="shared" si="43"/>
        <v>1</v>
      </c>
      <c r="R264" s="21">
        <f t="shared" si="44"/>
        <v>0</v>
      </c>
      <c r="S264" s="308">
        <f t="shared" si="35"/>
        <v>0</v>
      </c>
    </row>
    <row r="265" spans="1:19">
      <c r="A265" s="142"/>
      <c r="B265" s="52"/>
      <c r="C265" s="21">
        <f t="shared" si="36"/>
        <v>1</v>
      </c>
      <c r="D265" s="635"/>
      <c r="E265" s="21">
        <f t="shared" si="37"/>
        <v>1</v>
      </c>
      <c r="F265" s="635"/>
      <c r="G265" s="21">
        <f t="shared" si="38"/>
        <v>1</v>
      </c>
      <c r="H265" s="635"/>
      <c r="I265" s="21">
        <f t="shared" si="39"/>
        <v>1</v>
      </c>
      <c r="J265" s="635"/>
      <c r="K265" s="21">
        <f t="shared" si="40"/>
        <v>1</v>
      </c>
      <c r="L265" s="635"/>
      <c r="M265" s="21">
        <f t="shared" si="41"/>
        <v>1</v>
      </c>
      <c r="N265" s="635"/>
      <c r="O265" s="21">
        <f t="shared" si="42"/>
        <v>1</v>
      </c>
      <c r="P265" s="635"/>
      <c r="Q265" s="21">
        <f t="shared" si="43"/>
        <v>1</v>
      </c>
      <c r="R265" s="21">
        <f t="shared" si="44"/>
        <v>0</v>
      </c>
      <c r="S265" s="308">
        <f t="shared" si="35"/>
        <v>0</v>
      </c>
    </row>
    <row r="266" spans="1:19">
      <c r="A266" s="142"/>
      <c r="B266" s="52"/>
      <c r="C266" s="21">
        <f t="shared" si="36"/>
        <v>1</v>
      </c>
      <c r="D266" s="635"/>
      <c r="E266" s="21">
        <f t="shared" si="37"/>
        <v>1</v>
      </c>
      <c r="F266" s="635"/>
      <c r="G266" s="21">
        <f t="shared" si="38"/>
        <v>1</v>
      </c>
      <c r="H266" s="635"/>
      <c r="I266" s="21">
        <f t="shared" si="39"/>
        <v>1</v>
      </c>
      <c r="J266" s="635"/>
      <c r="K266" s="21">
        <f t="shared" si="40"/>
        <v>1</v>
      </c>
      <c r="L266" s="635"/>
      <c r="M266" s="21">
        <f t="shared" si="41"/>
        <v>1</v>
      </c>
      <c r="N266" s="635"/>
      <c r="O266" s="21">
        <f t="shared" si="42"/>
        <v>1</v>
      </c>
      <c r="P266" s="635"/>
      <c r="Q266" s="21">
        <f t="shared" si="43"/>
        <v>1</v>
      </c>
      <c r="R266" s="21">
        <f t="shared" si="44"/>
        <v>0</v>
      </c>
      <c r="S266" s="308">
        <f t="shared" si="35"/>
        <v>0</v>
      </c>
    </row>
    <row r="267" spans="1:19">
      <c r="A267" s="142"/>
      <c r="B267" s="52"/>
      <c r="C267" s="21">
        <f t="shared" si="36"/>
        <v>1</v>
      </c>
      <c r="D267" s="635"/>
      <c r="E267" s="21">
        <f t="shared" si="37"/>
        <v>1</v>
      </c>
      <c r="F267" s="635"/>
      <c r="G267" s="21">
        <f t="shared" si="38"/>
        <v>1</v>
      </c>
      <c r="H267" s="635"/>
      <c r="I267" s="21">
        <f t="shared" si="39"/>
        <v>1</v>
      </c>
      <c r="J267" s="635"/>
      <c r="K267" s="21">
        <f t="shared" si="40"/>
        <v>1</v>
      </c>
      <c r="L267" s="635"/>
      <c r="M267" s="21">
        <f t="shared" si="41"/>
        <v>1</v>
      </c>
      <c r="N267" s="635"/>
      <c r="O267" s="21">
        <f t="shared" si="42"/>
        <v>1</v>
      </c>
      <c r="P267" s="635"/>
      <c r="Q267" s="21">
        <f t="shared" si="43"/>
        <v>1</v>
      </c>
      <c r="R267" s="21">
        <f t="shared" si="44"/>
        <v>0</v>
      </c>
      <c r="S267" s="308">
        <f t="shared" si="35"/>
        <v>0</v>
      </c>
    </row>
    <row r="268" spans="1:19">
      <c r="A268" s="142"/>
      <c r="B268" s="52"/>
      <c r="C268" s="21">
        <f t="shared" si="36"/>
        <v>1</v>
      </c>
      <c r="D268" s="635"/>
      <c r="E268" s="21">
        <f t="shared" si="37"/>
        <v>1</v>
      </c>
      <c r="F268" s="635"/>
      <c r="G268" s="21">
        <f t="shared" si="38"/>
        <v>1</v>
      </c>
      <c r="H268" s="635"/>
      <c r="I268" s="21">
        <f t="shared" si="39"/>
        <v>1</v>
      </c>
      <c r="J268" s="635"/>
      <c r="K268" s="21">
        <f t="shared" si="40"/>
        <v>1</v>
      </c>
      <c r="L268" s="635"/>
      <c r="M268" s="21">
        <f t="shared" si="41"/>
        <v>1</v>
      </c>
      <c r="N268" s="635"/>
      <c r="O268" s="21">
        <f t="shared" si="42"/>
        <v>1</v>
      </c>
      <c r="P268" s="635"/>
      <c r="Q268" s="21">
        <f t="shared" si="43"/>
        <v>1</v>
      </c>
      <c r="R268" s="21">
        <f t="shared" si="44"/>
        <v>0</v>
      </c>
      <c r="S268" s="308">
        <f t="shared" si="35"/>
        <v>0</v>
      </c>
    </row>
    <row r="269" spans="1:19">
      <c r="A269" s="142"/>
      <c r="B269" s="52"/>
      <c r="C269" s="21">
        <f t="shared" si="36"/>
        <v>1</v>
      </c>
      <c r="D269" s="635"/>
      <c r="E269" s="21">
        <f t="shared" si="37"/>
        <v>1</v>
      </c>
      <c r="F269" s="635"/>
      <c r="G269" s="21">
        <f t="shared" si="38"/>
        <v>1</v>
      </c>
      <c r="H269" s="635"/>
      <c r="I269" s="21">
        <f t="shared" si="39"/>
        <v>1</v>
      </c>
      <c r="J269" s="635"/>
      <c r="K269" s="21">
        <f t="shared" si="40"/>
        <v>1</v>
      </c>
      <c r="L269" s="635"/>
      <c r="M269" s="21">
        <f t="shared" si="41"/>
        <v>1</v>
      </c>
      <c r="N269" s="635"/>
      <c r="O269" s="21">
        <f t="shared" si="42"/>
        <v>1</v>
      </c>
      <c r="P269" s="635"/>
      <c r="Q269" s="21">
        <f t="shared" si="43"/>
        <v>1</v>
      </c>
      <c r="R269" s="21">
        <f t="shared" si="44"/>
        <v>0</v>
      </c>
      <c r="S269" s="308">
        <f t="shared" si="35"/>
        <v>0</v>
      </c>
    </row>
    <row r="270" spans="1:19">
      <c r="A270" s="142"/>
      <c r="B270" s="52"/>
      <c r="C270" s="21">
        <f t="shared" si="36"/>
        <v>1</v>
      </c>
      <c r="D270" s="635"/>
      <c r="E270" s="21">
        <f t="shared" si="37"/>
        <v>1</v>
      </c>
      <c r="F270" s="635"/>
      <c r="G270" s="21">
        <f t="shared" si="38"/>
        <v>1</v>
      </c>
      <c r="H270" s="635"/>
      <c r="I270" s="21">
        <f t="shared" si="39"/>
        <v>1</v>
      </c>
      <c r="J270" s="635"/>
      <c r="K270" s="21">
        <f t="shared" si="40"/>
        <v>1</v>
      </c>
      <c r="L270" s="635"/>
      <c r="M270" s="21">
        <f t="shared" si="41"/>
        <v>1</v>
      </c>
      <c r="N270" s="635"/>
      <c r="O270" s="21">
        <f t="shared" si="42"/>
        <v>1</v>
      </c>
      <c r="P270" s="635"/>
      <c r="Q270" s="21">
        <f t="shared" si="43"/>
        <v>1</v>
      </c>
      <c r="R270" s="21">
        <f t="shared" si="44"/>
        <v>0</v>
      </c>
      <c r="S270" s="308">
        <f t="shared" si="35"/>
        <v>0</v>
      </c>
    </row>
    <row r="271" spans="1:19">
      <c r="A271" s="142"/>
      <c r="B271" s="52"/>
      <c r="C271" s="21">
        <f t="shared" si="36"/>
        <v>1</v>
      </c>
      <c r="D271" s="635"/>
      <c r="E271" s="21">
        <f t="shared" si="37"/>
        <v>1</v>
      </c>
      <c r="F271" s="635"/>
      <c r="G271" s="21">
        <f t="shared" si="38"/>
        <v>1</v>
      </c>
      <c r="H271" s="635"/>
      <c r="I271" s="21">
        <f t="shared" si="39"/>
        <v>1</v>
      </c>
      <c r="J271" s="635"/>
      <c r="K271" s="21">
        <f t="shared" si="40"/>
        <v>1</v>
      </c>
      <c r="L271" s="635"/>
      <c r="M271" s="21">
        <f t="shared" si="41"/>
        <v>1</v>
      </c>
      <c r="N271" s="635"/>
      <c r="O271" s="21">
        <f t="shared" si="42"/>
        <v>1</v>
      </c>
      <c r="P271" s="635"/>
      <c r="Q271" s="21">
        <f t="shared" si="43"/>
        <v>1</v>
      </c>
      <c r="R271" s="21">
        <f t="shared" si="44"/>
        <v>0</v>
      </c>
      <c r="S271" s="308">
        <f t="shared" si="35"/>
        <v>0</v>
      </c>
    </row>
    <row r="272" spans="1:19">
      <c r="A272" s="142"/>
      <c r="B272" s="52"/>
      <c r="C272" s="21">
        <f t="shared" si="36"/>
        <v>1</v>
      </c>
      <c r="D272" s="635"/>
      <c r="E272" s="21">
        <f t="shared" si="37"/>
        <v>1</v>
      </c>
      <c r="F272" s="635"/>
      <c r="G272" s="21">
        <f t="shared" si="38"/>
        <v>1</v>
      </c>
      <c r="H272" s="635"/>
      <c r="I272" s="21">
        <f t="shared" si="39"/>
        <v>1</v>
      </c>
      <c r="J272" s="635"/>
      <c r="K272" s="21">
        <f t="shared" si="40"/>
        <v>1</v>
      </c>
      <c r="L272" s="635"/>
      <c r="M272" s="21">
        <f t="shared" si="41"/>
        <v>1</v>
      </c>
      <c r="N272" s="635"/>
      <c r="O272" s="21">
        <f t="shared" si="42"/>
        <v>1</v>
      </c>
      <c r="P272" s="635"/>
      <c r="Q272" s="21">
        <f t="shared" si="43"/>
        <v>1</v>
      </c>
      <c r="R272" s="21">
        <f t="shared" si="44"/>
        <v>0</v>
      </c>
      <c r="S272" s="308">
        <f t="shared" si="35"/>
        <v>0</v>
      </c>
    </row>
    <row r="273" spans="1:19">
      <c r="A273" s="142"/>
      <c r="B273" s="52"/>
      <c r="C273" s="21">
        <f t="shared" si="36"/>
        <v>1</v>
      </c>
      <c r="D273" s="635"/>
      <c r="E273" s="21">
        <f t="shared" si="37"/>
        <v>1</v>
      </c>
      <c r="F273" s="635"/>
      <c r="G273" s="21">
        <f t="shared" si="38"/>
        <v>1</v>
      </c>
      <c r="H273" s="635"/>
      <c r="I273" s="21">
        <f t="shared" si="39"/>
        <v>1</v>
      </c>
      <c r="J273" s="635"/>
      <c r="K273" s="21">
        <f t="shared" si="40"/>
        <v>1</v>
      </c>
      <c r="L273" s="635"/>
      <c r="M273" s="21">
        <f t="shared" si="41"/>
        <v>1</v>
      </c>
      <c r="N273" s="635"/>
      <c r="O273" s="21">
        <f t="shared" si="42"/>
        <v>1</v>
      </c>
      <c r="P273" s="635"/>
      <c r="Q273" s="21">
        <f t="shared" si="43"/>
        <v>1</v>
      </c>
      <c r="R273" s="21">
        <f t="shared" si="44"/>
        <v>0</v>
      </c>
      <c r="S273" s="308">
        <f t="shared" si="35"/>
        <v>0</v>
      </c>
    </row>
    <row r="274" spans="1:19">
      <c r="A274" s="142"/>
      <c r="B274" s="52"/>
      <c r="C274" s="21">
        <f t="shared" si="36"/>
        <v>1</v>
      </c>
      <c r="D274" s="635"/>
      <c r="E274" s="21">
        <f t="shared" si="37"/>
        <v>1</v>
      </c>
      <c r="F274" s="635"/>
      <c r="G274" s="21">
        <f t="shared" si="38"/>
        <v>1</v>
      </c>
      <c r="H274" s="635"/>
      <c r="I274" s="21">
        <f t="shared" si="39"/>
        <v>1</v>
      </c>
      <c r="J274" s="635"/>
      <c r="K274" s="21">
        <f t="shared" si="40"/>
        <v>1</v>
      </c>
      <c r="L274" s="635"/>
      <c r="M274" s="21">
        <f t="shared" si="41"/>
        <v>1</v>
      </c>
      <c r="N274" s="635"/>
      <c r="O274" s="21">
        <f t="shared" si="42"/>
        <v>1</v>
      </c>
      <c r="P274" s="635"/>
      <c r="Q274" s="21">
        <f t="shared" si="43"/>
        <v>1</v>
      </c>
      <c r="R274" s="21">
        <f t="shared" si="44"/>
        <v>0</v>
      </c>
      <c r="S274" s="308">
        <f t="shared" si="35"/>
        <v>0</v>
      </c>
    </row>
    <row r="275" spans="1:19">
      <c r="A275" s="142"/>
      <c r="B275" s="52"/>
      <c r="C275" s="21">
        <f t="shared" si="36"/>
        <v>1</v>
      </c>
      <c r="D275" s="635"/>
      <c r="E275" s="21">
        <f t="shared" si="37"/>
        <v>1</v>
      </c>
      <c r="F275" s="635"/>
      <c r="G275" s="21">
        <f t="shared" si="38"/>
        <v>1</v>
      </c>
      <c r="H275" s="635"/>
      <c r="I275" s="21">
        <f t="shared" si="39"/>
        <v>1</v>
      </c>
      <c r="J275" s="635"/>
      <c r="K275" s="21">
        <f t="shared" si="40"/>
        <v>1</v>
      </c>
      <c r="L275" s="635"/>
      <c r="M275" s="21">
        <f t="shared" si="41"/>
        <v>1</v>
      </c>
      <c r="N275" s="635"/>
      <c r="O275" s="21">
        <f t="shared" si="42"/>
        <v>1</v>
      </c>
      <c r="P275" s="635"/>
      <c r="Q275" s="21">
        <f t="shared" si="43"/>
        <v>1</v>
      </c>
      <c r="R275" s="21">
        <f t="shared" si="44"/>
        <v>0</v>
      </c>
      <c r="S275" s="308">
        <f t="shared" si="35"/>
        <v>0</v>
      </c>
    </row>
    <row r="276" spans="1:19">
      <c r="A276" s="142"/>
      <c r="B276" s="52"/>
      <c r="C276" s="21">
        <f t="shared" si="36"/>
        <v>1</v>
      </c>
      <c r="D276" s="635"/>
      <c r="E276" s="21">
        <f t="shared" si="37"/>
        <v>1</v>
      </c>
      <c r="F276" s="635"/>
      <c r="G276" s="21">
        <f t="shared" si="38"/>
        <v>1</v>
      </c>
      <c r="H276" s="635"/>
      <c r="I276" s="21">
        <f t="shared" si="39"/>
        <v>1</v>
      </c>
      <c r="J276" s="635"/>
      <c r="K276" s="21">
        <f t="shared" si="40"/>
        <v>1</v>
      </c>
      <c r="L276" s="635"/>
      <c r="M276" s="21">
        <f t="shared" si="41"/>
        <v>1</v>
      </c>
      <c r="N276" s="635"/>
      <c r="O276" s="21">
        <f t="shared" si="42"/>
        <v>1</v>
      </c>
      <c r="P276" s="635"/>
      <c r="Q276" s="21">
        <f t="shared" si="43"/>
        <v>1</v>
      </c>
      <c r="R276" s="21">
        <f t="shared" si="44"/>
        <v>0</v>
      </c>
      <c r="S276" s="308">
        <f t="shared" si="35"/>
        <v>0</v>
      </c>
    </row>
    <row r="277" spans="1:19">
      <c r="A277" s="142"/>
      <c r="B277" s="52"/>
      <c r="C277" s="21">
        <f t="shared" si="36"/>
        <v>1</v>
      </c>
      <c r="D277" s="635"/>
      <c r="E277" s="21">
        <f t="shared" si="37"/>
        <v>1</v>
      </c>
      <c r="F277" s="635"/>
      <c r="G277" s="21">
        <f t="shared" si="38"/>
        <v>1</v>
      </c>
      <c r="H277" s="635"/>
      <c r="I277" s="21">
        <f t="shared" si="39"/>
        <v>1</v>
      </c>
      <c r="J277" s="635"/>
      <c r="K277" s="21">
        <f t="shared" si="40"/>
        <v>1</v>
      </c>
      <c r="L277" s="635"/>
      <c r="M277" s="21">
        <f t="shared" si="41"/>
        <v>1</v>
      </c>
      <c r="N277" s="635"/>
      <c r="O277" s="21">
        <f t="shared" si="42"/>
        <v>1</v>
      </c>
      <c r="P277" s="635"/>
      <c r="Q277" s="21">
        <f t="shared" si="43"/>
        <v>1</v>
      </c>
      <c r="R277" s="21">
        <f t="shared" si="44"/>
        <v>0</v>
      </c>
      <c r="S277" s="308">
        <f t="shared" si="35"/>
        <v>0</v>
      </c>
    </row>
    <row r="278" spans="1:19">
      <c r="A278" s="142"/>
      <c r="B278" s="52"/>
      <c r="C278" s="21">
        <f t="shared" si="36"/>
        <v>1</v>
      </c>
      <c r="D278" s="635"/>
      <c r="E278" s="21">
        <f t="shared" si="37"/>
        <v>1</v>
      </c>
      <c r="F278" s="635"/>
      <c r="G278" s="21">
        <f t="shared" si="38"/>
        <v>1</v>
      </c>
      <c r="H278" s="635"/>
      <c r="I278" s="21">
        <f t="shared" si="39"/>
        <v>1</v>
      </c>
      <c r="J278" s="635"/>
      <c r="K278" s="21">
        <f t="shared" si="40"/>
        <v>1</v>
      </c>
      <c r="L278" s="635"/>
      <c r="M278" s="21">
        <f t="shared" si="41"/>
        <v>1</v>
      </c>
      <c r="N278" s="635"/>
      <c r="O278" s="21">
        <f t="shared" si="42"/>
        <v>1</v>
      </c>
      <c r="P278" s="635"/>
      <c r="Q278" s="21">
        <f t="shared" si="43"/>
        <v>1</v>
      </c>
      <c r="R278" s="21">
        <f t="shared" si="44"/>
        <v>0</v>
      </c>
      <c r="S278" s="308">
        <f t="shared" si="35"/>
        <v>0</v>
      </c>
    </row>
    <row r="279" spans="1:19">
      <c r="A279" s="142"/>
      <c r="B279" s="52"/>
      <c r="C279" s="21">
        <f t="shared" si="36"/>
        <v>1</v>
      </c>
      <c r="D279" s="635"/>
      <c r="E279" s="21">
        <f t="shared" si="37"/>
        <v>1</v>
      </c>
      <c r="F279" s="635"/>
      <c r="G279" s="21">
        <f t="shared" si="38"/>
        <v>1</v>
      </c>
      <c r="H279" s="635"/>
      <c r="I279" s="21">
        <f t="shared" si="39"/>
        <v>1</v>
      </c>
      <c r="J279" s="635"/>
      <c r="K279" s="21">
        <f t="shared" si="40"/>
        <v>1</v>
      </c>
      <c r="L279" s="635"/>
      <c r="M279" s="21">
        <f t="shared" si="41"/>
        <v>1</v>
      </c>
      <c r="N279" s="635"/>
      <c r="O279" s="21">
        <f t="shared" si="42"/>
        <v>1</v>
      </c>
      <c r="P279" s="635"/>
      <c r="Q279" s="21">
        <f t="shared" si="43"/>
        <v>1</v>
      </c>
      <c r="R279" s="21">
        <f t="shared" si="44"/>
        <v>0</v>
      </c>
      <c r="S279" s="308">
        <f t="shared" si="35"/>
        <v>0</v>
      </c>
    </row>
    <row r="280" spans="1:19">
      <c r="A280" s="142"/>
      <c r="B280" s="52"/>
      <c r="C280" s="21">
        <f t="shared" si="36"/>
        <v>1</v>
      </c>
      <c r="D280" s="635"/>
      <c r="E280" s="21">
        <f t="shared" si="37"/>
        <v>1</v>
      </c>
      <c r="F280" s="635"/>
      <c r="G280" s="21">
        <f t="shared" si="38"/>
        <v>1</v>
      </c>
      <c r="H280" s="635"/>
      <c r="I280" s="21">
        <f t="shared" si="39"/>
        <v>1</v>
      </c>
      <c r="J280" s="635"/>
      <c r="K280" s="21">
        <f t="shared" si="40"/>
        <v>1</v>
      </c>
      <c r="L280" s="635"/>
      <c r="M280" s="21">
        <f t="shared" si="41"/>
        <v>1</v>
      </c>
      <c r="N280" s="635"/>
      <c r="O280" s="21">
        <f t="shared" si="42"/>
        <v>1</v>
      </c>
      <c r="P280" s="635"/>
      <c r="Q280" s="21">
        <f t="shared" si="43"/>
        <v>1</v>
      </c>
      <c r="R280" s="21">
        <f t="shared" si="44"/>
        <v>0</v>
      </c>
      <c r="S280" s="308">
        <f t="shared" ref="S280:S343" si="45">ROUND(R280*B280/10000,0)</f>
        <v>0</v>
      </c>
    </row>
    <row r="281" spans="1:19">
      <c r="A281" s="142"/>
      <c r="B281" s="52"/>
      <c r="C281" s="21">
        <f t="shared" si="36"/>
        <v>1</v>
      </c>
      <c r="D281" s="635"/>
      <c r="E281" s="21">
        <f t="shared" si="37"/>
        <v>1</v>
      </c>
      <c r="F281" s="635"/>
      <c r="G281" s="21">
        <f t="shared" si="38"/>
        <v>1</v>
      </c>
      <c r="H281" s="635"/>
      <c r="I281" s="21">
        <f t="shared" si="39"/>
        <v>1</v>
      </c>
      <c r="J281" s="635"/>
      <c r="K281" s="21">
        <f t="shared" si="40"/>
        <v>1</v>
      </c>
      <c r="L281" s="635"/>
      <c r="M281" s="21">
        <f t="shared" si="41"/>
        <v>1</v>
      </c>
      <c r="N281" s="635"/>
      <c r="O281" s="21">
        <f t="shared" si="42"/>
        <v>1</v>
      </c>
      <c r="P281" s="635"/>
      <c r="Q281" s="21">
        <f t="shared" si="43"/>
        <v>1</v>
      </c>
      <c r="R281" s="21">
        <f t="shared" si="44"/>
        <v>0</v>
      </c>
      <c r="S281" s="308">
        <f t="shared" si="45"/>
        <v>0</v>
      </c>
    </row>
    <row r="282" spans="1:19">
      <c r="A282" s="142"/>
      <c r="B282" s="52"/>
      <c r="C282" s="21">
        <f t="shared" ref="C282:C345" si="46">IF(B282="",1,(LOOKUP(B282,$3:$3,$4:$4)-LOOKUP($B$24,$3:$3,$4:$4)+100)/100)</f>
        <v>1</v>
      </c>
      <c r="D282" s="635"/>
      <c r="E282" s="21">
        <f t="shared" ref="E282:E345" si="47">(SUMIF($5:$5,D282,$6:$6)-SUMIF($5:$5,$D$24,$6:$6)+100)/100</f>
        <v>1</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1</v>
      </c>
      <c r="R282" s="21">
        <f t="shared" ref="R282:R345" si="54">IF(B282="",0,ROUND($R$24*C282*E282*G282*I282*K282*M282*O282*Q282,0))</f>
        <v>0</v>
      </c>
      <c r="S282" s="308">
        <f t="shared" si="45"/>
        <v>0</v>
      </c>
    </row>
    <row r="283" spans="1:19">
      <c r="A283" s="142"/>
      <c r="B283" s="52"/>
      <c r="C283" s="21">
        <f t="shared" si="46"/>
        <v>1</v>
      </c>
      <c r="D283" s="635"/>
      <c r="E283" s="21">
        <f t="shared" si="47"/>
        <v>1</v>
      </c>
      <c r="F283" s="635"/>
      <c r="G283" s="21">
        <f t="shared" si="48"/>
        <v>1</v>
      </c>
      <c r="H283" s="635"/>
      <c r="I283" s="21">
        <f t="shared" si="49"/>
        <v>1</v>
      </c>
      <c r="J283" s="635"/>
      <c r="K283" s="21">
        <f t="shared" si="50"/>
        <v>1</v>
      </c>
      <c r="L283" s="635"/>
      <c r="M283" s="21">
        <f t="shared" si="51"/>
        <v>1</v>
      </c>
      <c r="N283" s="635"/>
      <c r="O283" s="21">
        <f t="shared" si="52"/>
        <v>1</v>
      </c>
      <c r="P283" s="635"/>
      <c r="Q283" s="21">
        <f t="shared" si="53"/>
        <v>1</v>
      </c>
      <c r="R283" s="21">
        <f t="shared" si="54"/>
        <v>0</v>
      </c>
      <c r="S283" s="308">
        <f t="shared" si="45"/>
        <v>0</v>
      </c>
    </row>
    <row r="284" spans="1:19">
      <c r="A284" s="142"/>
      <c r="B284" s="52"/>
      <c r="C284" s="21">
        <f t="shared" si="46"/>
        <v>1</v>
      </c>
      <c r="D284" s="635"/>
      <c r="E284" s="21">
        <f t="shared" si="47"/>
        <v>1</v>
      </c>
      <c r="F284" s="635"/>
      <c r="G284" s="21">
        <f t="shared" si="48"/>
        <v>1</v>
      </c>
      <c r="H284" s="635"/>
      <c r="I284" s="21">
        <f t="shared" si="49"/>
        <v>1</v>
      </c>
      <c r="J284" s="635"/>
      <c r="K284" s="21">
        <f t="shared" si="50"/>
        <v>1</v>
      </c>
      <c r="L284" s="635"/>
      <c r="M284" s="21">
        <f t="shared" si="51"/>
        <v>1</v>
      </c>
      <c r="N284" s="635"/>
      <c r="O284" s="21">
        <f t="shared" si="52"/>
        <v>1</v>
      </c>
      <c r="P284" s="635"/>
      <c r="Q284" s="21">
        <f t="shared" si="53"/>
        <v>1</v>
      </c>
      <c r="R284" s="21">
        <f t="shared" si="54"/>
        <v>0</v>
      </c>
      <c r="S284" s="308">
        <f t="shared" si="45"/>
        <v>0</v>
      </c>
    </row>
    <row r="285" spans="1:19">
      <c r="A285" s="142"/>
      <c r="B285" s="52"/>
      <c r="C285" s="21">
        <f t="shared" si="46"/>
        <v>1</v>
      </c>
      <c r="D285" s="635"/>
      <c r="E285" s="21">
        <f t="shared" si="47"/>
        <v>1</v>
      </c>
      <c r="F285" s="635"/>
      <c r="G285" s="21">
        <f t="shared" si="48"/>
        <v>1</v>
      </c>
      <c r="H285" s="635"/>
      <c r="I285" s="21">
        <f t="shared" si="49"/>
        <v>1</v>
      </c>
      <c r="J285" s="635"/>
      <c r="K285" s="21">
        <f t="shared" si="50"/>
        <v>1</v>
      </c>
      <c r="L285" s="635"/>
      <c r="M285" s="21">
        <f t="shared" si="51"/>
        <v>1</v>
      </c>
      <c r="N285" s="635"/>
      <c r="O285" s="21">
        <f t="shared" si="52"/>
        <v>1</v>
      </c>
      <c r="P285" s="635"/>
      <c r="Q285" s="21">
        <f t="shared" si="53"/>
        <v>1</v>
      </c>
      <c r="R285" s="21">
        <f t="shared" si="54"/>
        <v>0</v>
      </c>
      <c r="S285" s="308">
        <f t="shared" si="45"/>
        <v>0</v>
      </c>
    </row>
    <row r="286" spans="1:19">
      <c r="A286" s="142"/>
      <c r="B286" s="52"/>
      <c r="C286" s="21">
        <f t="shared" si="46"/>
        <v>1</v>
      </c>
      <c r="D286" s="635"/>
      <c r="E286" s="21">
        <f t="shared" si="47"/>
        <v>1</v>
      </c>
      <c r="F286" s="635"/>
      <c r="G286" s="21">
        <f t="shared" si="48"/>
        <v>1</v>
      </c>
      <c r="H286" s="635"/>
      <c r="I286" s="21">
        <f t="shared" si="49"/>
        <v>1</v>
      </c>
      <c r="J286" s="635"/>
      <c r="K286" s="21">
        <f t="shared" si="50"/>
        <v>1</v>
      </c>
      <c r="L286" s="635"/>
      <c r="M286" s="21">
        <f t="shared" si="51"/>
        <v>1</v>
      </c>
      <c r="N286" s="635"/>
      <c r="O286" s="21">
        <f t="shared" si="52"/>
        <v>1</v>
      </c>
      <c r="P286" s="635"/>
      <c r="Q286" s="21">
        <f t="shared" si="53"/>
        <v>1</v>
      </c>
      <c r="R286" s="21">
        <f t="shared" si="54"/>
        <v>0</v>
      </c>
      <c r="S286" s="308">
        <f t="shared" si="45"/>
        <v>0</v>
      </c>
    </row>
    <row r="287" spans="1:19">
      <c r="A287" s="142"/>
      <c r="B287" s="52"/>
      <c r="C287" s="21">
        <f t="shared" si="46"/>
        <v>1</v>
      </c>
      <c r="D287" s="635"/>
      <c r="E287" s="21">
        <f t="shared" si="47"/>
        <v>1</v>
      </c>
      <c r="F287" s="635"/>
      <c r="G287" s="21">
        <f t="shared" si="48"/>
        <v>1</v>
      </c>
      <c r="H287" s="635"/>
      <c r="I287" s="21">
        <f t="shared" si="49"/>
        <v>1</v>
      </c>
      <c r="J287" s="635"/>
      <c r="K287" s="21">
        <f t="shared" si="50"/>
        <v>1</v>
      </c>
      <c r="L287" s="635"/>
      <c r="M287" s="21">
        <f t="shared" si="51"/>
        <v>1</v>
      </c>
      <c r="N287" s="635"/>
      <c r="O287" s="21">
        <f t="shared" si="52"/>
        <v>1</v>
      </c>
      <c r="P287" s="635"/>
      <c r="Q287" s="21">
        <f t="shared" si="53"/>
        <v>1</v>
      </c>
      <c r="R287" s="21">
        <f t="shared" si="54"/>
        <v>0</v>
      </c>
      <c r="S287" s="308">
        <f t="shared" si="45"/>
        <v>0</v>
      </c>
    </row>
    <row r="288" spans="1:19">
      <c r="A288" s="142"/>
      <c r="B288" s="52"/>
      <c r="C288" s="21">
        <f t="shared" si="46"/>
        <v>1</v>
      </c>
      <c r="D288" s="635"/>
      <c r="E288" s="21">
        <f t="shared" si="47"/>
        <v>1</v>
      </c>
      <c r="F288" s="635"/>
      <c r="G288" s="21">
        <f t="shared" si="48"/>
        <v>1</v>
      </c>
      <c r="H288" s="635"/>
      <c r="I288" s="21">
        <f t="shared" si="49"/>
        <v>1</v>
      </c>
      <c r="J288" s="635"/>
      <c r="K288" s="21">
        <f t="shared" si="50"/>
        <v>1</v>
      </c>
      <c r="L288" s="635"/>
      <c r="M288" s="21">
        <f t="shared" si="51"/>
        <v>1</v>
      </c>
      <c r="N288" s="635"/>
      <c r="O288" s="21">
        <f t="shared" si="52"/>
        <v>1</v>
      </c>
      <c r="P288" s="635"/>
      <c r="Q288" s="21">
        <f t="shared" si="53"/>
        <v>1</v>
      </c>
      <c r="R288" s="21">
        <f t="shared" si="54"/>
        <v>0</v>
      </c>
      <c r="S288" s="308">
        <f t="shared" si="45"/>
        <v>0</v>
      </c>
    </row>
    <row r="289" spans="1:19">
      <c r="A289" s="142"/>
      <c r="B289" s="52"/>
      <c r="C289" s="21">
        <f t="shared" si="46"/>
        <v>1</v>
      </c>
      <c r="D289" s="635"/>
      <c r="E289" s="21">
        <f t="shared" si="47"/>
        <v>1</v>
      </c>
      <c r="F289" s="635"/>
      <c r="G289" s="21">
        <f t="shared" si="48"/>
        <v>1</v>
      </c>
      <c r="H289" s="635"/>
      <c r="I289" s="21">
        <f t="shared" si="49"/>
        <v>1</v>
      </c>
      <c r="J289" s="635"/>
      <c r="K289" s="21">
        <f t="shared" si="50"/>
        <v>1</v>
      </c>
      <c r="L289" s="635"/>
      <c r="M289" s="21">
        <f t="shared" si="51"/>
        <v>1</v>
      </c>
      <c r="N289" s="635"/>
      <c r="O289" s="21">
        <f t="shared" si="52"/>
        <v>1</v>
      </c>
      <c r="P289" s="635"/>
      <c r="Q289" s="21">
        <f t="shared" si="53"/>
        <v>1</v>
      </c>
      <c r="R289" s="21">
        <f t="shared" si="54"/>
        <v>0</v>
      </c>
      <c r="S289" s="308">
        <f t="shared" si="45"/>
        <v>0</v>
      </c>
    </row>
    <row r="290" spans="1:19">
      <c r="A290" s="142"/>
      <c r="B290" s="52"/>
      <c r="C290" s="21">
        <f t="shared" si="46"/>
        <v>1</v>
      </c>
      <c r="D290" s="635"/>
      <c r="E290" s="21">
        <f t="shared" si="47"/>
        <v>1</v>
      </c>
      <c r="F290" s="635"/>
      <c r="G290" s="21">
        <f t="shared" si="48"/>
        <v>1</v>
      </c>
      <c r="H290" s="635"/>
      <c r="I290" s="21">
        <f t="shared" si="49"/>
        <v>1</v>
      </c>
      <c r="J290" s="635"/>
      <c r="K290" s="21">
        <f t="shared" si="50"/>
        <v>1</v>
      </c>
      <c r="L290" s="635"/>
      <c r="M290" s="21">
        <f t="shared" si="51"/>
        <v>1</v>
      </c>
      <c r="N290" s="635"/>
      <c r="O290" s="21">
        <f t="shared" si="52"/>
        <v>1</v>
      </c>
      <c r="P290" s="635"/>
      <c r="Q290" s="21">
        <f t="shared" si="53"/>
        <v>1</v>
      </c>
      <c r="R290" s="21">
        <f t="shared" si="54"/>
        <v>0</v>
      </c>
      <c r="S290" s="308">
        <f t="shared" si="45"/>
        <v>0</v>
      </c>
    </row>
    <row r="291" spans="1:19">
      <c r="A291" s="142"/>
      <c r="B291" s="52"/>
      <c r="C291" s="21">
        <f t="shared" si="46"/>
        <v>1</v>
      </c>
      <c r="D291" s="635"/>
      <c r="E291" s="21">
        <f t="shared" si="47"/>
        <v>1</v>
      </c>
      <c r="F291" s="635"/>
      <c r="G291" s="21">
        <f t="shared" si="48"/>
        <v>1</v>
      </c>
      <c r="H291" s="635"/>
      <c r="I291" s="21">
        <f t="shared" si="49"/>
        <v>1</v>
      </c>
      <c r="J291" s="635"/>
      <c r="K291" s="21">
        <f t="shared" si="50"/>
        <v>1</v>
      </c>
      <c r="L291" s="635"/>
      <c r="M291" s="21">
        <f t="shared" si="51"/>
        <v>1</v>
      </c>
      <c r="N291" s="635"/>
      <c r="O291" s="21">
        <f t="shared" si="52"/>
        <v>1</v>
      </c>
      <c r="P291" s="635"/>
      <c r="Q291" s="21">
        <f t="shared" si="53"/>
        <v>1</v>
      </c>
      <c r="R291" s="21">
        <f t="shared" si="54"/>
        <v>0</v>
      </c>
      <c r="S291" s="308">
        <f t="shared" si="45"/>
        <v>0</v>
      </c>
    </row>
    <row r="292" spans="1:19">
      <c r="A292" s="142"/>
      <c r="B292" s="52"/>
      <c r="C292" s="21">
        <f t="shared" si="46"/>
        <v>1</v>
      </c>
      <c r="D292" s="635"/>
      <c r="E292" s="21">
        <f t="shared" si="47"/>
        <v>1</v>
      </c>
      <c r="F292" s="635"/>
      <c r="G292" s="21">
        <f t="shared" si="48"/>
        <v>1</v>
      </c>
      <c r="H292" s="635"/>
      <c r="I292" s="21">
        <f t="shared" si="49"/>
        <v>1</v>
      </c>
      <c r="J292" s="635"/>
      <c r="K292" s="21">
        <f t="shared" si="50"/>
        <v>1</v>
      </c>
      <c r="L292" s="635"/>
      <c r="M292" s="21">
        <f t="shared" si="51"/>
        <v>1</v>
      </c>
      <c r="N292" s="635"/>
      <c r="O292" s="21">
        <f t="shared" si="52"/>
        <v>1</v>
      </c>
      <c r="P292" s="635"/>
      <c r="Q292" s="21">
        <f t="shared" si="53"/>
        <v>1</v>
      </c>
      <c r="R292" s="21">
        <f t="shared" si="54"/>
        <v>0</v>
      </c>
      <c r="S292" s="308">
        <f t="shared" si="45"/>
        <v>0</v>
      </c>
    </row>
    <row r="293" spans="1:19">
      <c r="A293" s="142"/>
      <c r="B293" s="52"/>
      <c r="C293" s="21">
        <f t="shared" si="46"/>
        <v>1</v>
      </c>
      <c r="D293" s="635"/>
      <c r="E293" s="21">
        <f t="shared" si="47"/>
        <v>1</v>
      </c>
      <c r="F293" s="635"/>
      <c r="G293" s="21">
        <f t="shared" si="48"/>
        <v>1</v>
      </c>
      <c r="H293" s="635"/>
      <c r="I293" s="21">
        <f t="shared" si="49"/>
        <v>1</v>
      </c>
      <c r="J293" s="635"/>
      <c r="K293" s="21">
        <f t="shared" si="50"/>
        <v>1</v>
      </c>
      <c r="L293" s="635"/>
      <c r="M293" s="21">
        <f t="shared" si="51"/>
        <v>1</v>
      </c>
      <c r="N293" s="635"/>
      <c r="O293" s="21">
        <f t="shared" si="52"/>
        <v>1</v>
      </c>
      <c r="P293" s="635"/>
      <c r="Q293" s="21">
        <f t="shared" si="53"/>
        <v>1</v>
      </c>
      <c r="R293" s="21">
        <f t="shared" si="54"/>
        <v>0</v>
      </c>
      <c r="S293" s="308">
        <f t="shared" si="45"/>
        <v>0</v>
      </c>
    </row>
    <row r="294" spans="1:19">
      <c r="A294" s="142"/>
      <c r="B294" s="52"/>
      <c r="C294" s="21">
        <f t="shared" si="46"/>
        <v>1</v>
      </c>
      <c r="D294" s="635"/>
      <c r="E294" s="21">
        <f t="shared" si="47"/>
        <v>1</v>
      </c>
      <c r="F294" s="635"/>
      <c r="G294" s="21">
        <f t="shared" si="48"/>
        <v>1</v>
      </c>
      <c r="H294" s="635"/>
      <c r="I294" s="21">
        <f t="shared" si="49"/>
        <v>1</v>
      </c>
      <c r="J294" s="635"/>
      <c r="K294" s="21">
        <f t="shared" si="50"/>
        <v>1</v>
      </c>
      <c r="L294" s="635"/>
      <c r="M294" s="21">
        <f t="shared" si="51"/>
        <v>1</v>
      </c>
      <c r="N294" s="635"/>
      <c r="O294" s="21">
        <f t="shared" si="52"/>
        <v>1</v>
      </c>
      <c r="P294" s="635"/>
      <c r="Q294" s="21">
        <f t="shared" si="53"/>
        <v>1</v>
      </c>
      <c r="R294" s="21">
        <f t="shared" si="54"/>
        <v>0</v>
      </c>
      <c r="S294" s="308">
        <f t="shared" si="45"/>
        <v>0</v>
      </c>
    </row>
    <row r="295" spans="1:19">
      <c r="A295" s="142"/>
      <c r="B295" s="52"/>
      <c r="C295" s="21">
        <f t="shared" si="46"/>
        <v>1</v>
      </c>
      <c r="D295" s="635"/>
      <c r="E295" s="21">
        <f t="shared" si="47"/>
        <v>1</v>
      </c>
      <c r="F295" s="635"/>
      <c r="G295" s="21">
        <f t="shared" si="48"/>
        <v>1</v>
      </c>
      <c r="H295" s="635"/>
      <c r="I295" s="21">
        <f t="shared" si="49"/>
        <v>1</v>
      </c>
      <c r="J295" s="635"/>
      <c r="K295" s="21">
        <f t="shared" si="50"/>
        <v>1</v>
      </c>
      <c r="L295" s="635"/>
      <c r="M295" s="21">
        <f t="shared" si="51"/>
        <v>1</v>
      </c>
      <c r="N295" s="635"/>
      <c r="O295" s="21">
        <f t="shared" si="52"/>
        <v>1</v>
      </c>
      <c r="P295" s="635"/>
      <c r="Q295" s="21">
        <f t="shared" si="53"/>
        <v>1</v>
      </c>
      <c r="R295" s="21">
        <f t="shared" si="54"/>
        <v>0</v>
      </c>
      <c r="S295" s="308">
        <f t="shared" si="45"/>
        <v>0</v>
      </c>
    </row>
    <row r="296" spans="1:19">
      <c r="A296" s="142"/>
      <c r="B296" s="52"/>
      <c r="C296" s="21">
        <f t="shared" si="46"/>
        <v>1</v>
      </c>
      <c r="D296" s="635"/>
      <c r="E296" s="21">
        <f t="shared" si="47"/>
        <v>1</v>
      </c>
      <c r="F296" s="635"/>
      <c r="G296" s="21">
        <f t="shared" si="48"/>
        <v>1</v>
      </c>
      <c r="H296" s="635"/>
      <c r="I296" s="21">
        <f t="shared" si="49"/>
        <v>1</v>
      </c>
      <c r="J296" s="635"/>
      <c r="K296" s="21">
        <f t="shared" si="50"/>
        <v>1</v>
      </c>
      <c r="L296" s="635"/>
      <c r="M296" s="21">
        <f t="shared" si="51"/>
        <v>1</v>
      </c>
      <c r="N296" s="635"/>
      <c r="O296" s="21">
        <f t="shared" si="52"/>
        <v>1</v>
      </c>
      <c r="P296" s="635"/>
      <c r="Q296" s="21">
        <f t="shared" si="53"/>
        <v>1</v>
      </c>
      <c r="R296" s="21">
        <f t="shared" si="54"/>
        <v>0</v>
      </c>
      <c r="S296" s="308">
        <f t="shared" si="45"/>
        <v>0</v>
      </c>
    </row>
    <row r="297" spans="1:19">
      <c r="A297" s="142"/>
      <c r="B297" s="52"/>
      <c r="C297" s="21">
        <f t="shared" si="46"/>
        <v>1</v>
      </c>
      <c r="D297" s="635"/>
      <c r="E297" s="21">
        <f t="shared" si="47"/>
        <v>1</v>
      </c>
      <c r="F297" s="635"/>
      <c r="G297" s="21">
        <f t="shared" si="48"/>
        <v>1</v>
      </c>
      <c r="H297" s="635"/>
      <c r="I297" s="21">
        <f t="shared" si="49"/>
        <v>1</v>
      </c>
      <c r="J297" s="635"/>
      <c r="K297" s="21">
        <f t="shared" si="50"/>
        <v>1</v>
      </c>
      <c r="L297" s="635"/>
      <c r="M297" s="21">
        <f t="shared" si="51"/>
        <v>1</v>
      </c>
      <c r="N297" s="635"/>
      <c r="O297" s="21">
        <f t="shared" si="52"/>
        <v>1</v>
      </c>
      <c r="P297" s="635"/>
      <c r="Q297" s="21">
        <f t="shared" si="53"/>
        <v>1</v>
      </c>
      <c r="R297" s="21">
        <f t="shared" si="54"/>
        <v>0</v>
      </c>
      <c r="S297" s="308">
        <f t="shared" si="45"/>
        <v>0</v>
      </c>
    </row>
    <row r="298" spans="1:19">
      <c r="A298" s="142"/>
      <c r="B298" s="52"/>
      <c r="C298" s="21">
        <f t="shared" si="46"/>
        <v>1</v>
      </c>
      <c r="D298" s="635"/>
      <c r="E298" s="21">
        <f t="shared" si="47"/>
        <v>1</v>
      </c>
      <c r="F298" s="635"/>
      <c r="G298" s="21">
        <f t="shared" si="48"/>
        <v>1</v>
      </c>
      <c r="H298" s="635"/>
      <c r="I298" s="21">
        <f t="shared" si="49"/>
        <v>1</v>
      </c>
      <c r="J298" s="635"/>
      <c r="K298" s="21">
        <f t="shared" si="50"/>
        <v>1</v>
      </c>
      <c r="L298" s="635"/>
      <c r="M298" s="21">
        <f t="shared" si="51"/>
        <v>1</v>
      </c>
      <c r="N298" s="635"/>
      <c r="O298" s="21">
        <f t="shared" si="52"/>
        <v>1</v>
      </c>
      <c r="P298" s="635"/>
      <c r="Q298" s="21">
        <f t="shared" si="53"/>
        <v>1</v>
      </c>
      <c r="R298" s="21">
        <f t="shared" si="54"/>
        <v>0</v>
      </c>
      <c r="S298" s="308">
        <f t="shared" si="45"/>
        <v>0</v>
      </c>
    </row>
    <row r="299" spans="1:19">
      <c r="A299" s="142"/>
      <c r="B299" s="52"/>
      <c r="C299" s="21">
        <f t="shared" si="46"/>
        <v>1</v>
      </c>
      <c r="D299" s="635"/>
      <c r="E299" s="21">
        <f t="shared" si="47"/>
        <v>1</v>
      </c>
      <c r="F299" s="635"/>
      <c r="G299" s="21">
        <f t="shared" si="48"/>
        <v>1</v>
      </c>
      <c r="H299" s="635"/>
      <c r="I299" s="21">
        <f t="shared" si="49"/>
        <v>1</v>
      </c>
      <c r="J299" s="635"/>
      <c r="K299" s="21">
        <f t="shared" si="50"/>
        <v>1</v>
      </c>
      <c r="L299" s="635"/>
      <c r="M299" s="21">
        <f t="shared" si="51"/>
        <v>1</v>
      </c>
      <c r="N299" s="635"/>
      <c r="O299" s="21">
        <f t="shared" si="52"/>
        <v>1</v>
      </c>
      <c r="P299" s="635"/>
      <c r="Q299" s="21">
        <f t="shared" si="53"/>
        <v>1</v>
      </c>
      <c r="R299" s="21">
        <f t="shared" si="54"/>
        <v>0</v>
      </c>
      <c r="S299" s="308">
        <f t="shared" si="45"/>
        <v>0</v>
      </c>
    </row>
    <row r="300" spans="1:19">
      <c r="A300" s="142"/>
      <c r="B300" s="52"/>
      <c r="C300" s="21">
        <f t="shared" si="46"/>
        <v>1</v>
      </c>
      <c r="D300" s="635"/>
      <c r="E300" s="21">
        <f t="shared" si="47"/>
        <v>1</v>
      </c>
      <c r="F300" s="635"/>
      <c r="G300" s="21">
        <f t="shared" si="48"/>
        <v>1</v>
      </c>
      <c r="H300" s="635"/>
      <c r="I300" s="21">
        <f t="shared" si="49"/>
        <v>1</v>
      </c>
      <c r="J300" s="635"/>
      <c r="K300" s="21">
        <f t="shared" si="50"/>
        <v>1</v>
      </c>
      <c r="L300" s="635"/>
      <c r="M300" s="21">
        <f t="shared" si="51"/>
        <v>1</v>
      </c>
      <c r="N300" s="635"/>
      <c r="O300" s="21">
        <f t="shared" si="52"/>
        <v>1</v>
      </c>
      <c r="P300" s="635"/>
      <c r="Q300" s="21">
        <f t="shared" si="53"/>
        <v>1</v>
      </c>
      <c r="R300" s="21">
        <f t="shared" si="54"/>
        <v>0</v>
      </c>
      <c r="S300" s="308">
        <f t="shared" si="45"/>
        <v>0</v>
      </c>
    </row>
    <row r="301" spans="1:19">
      <c r="A301" s="142"/>
      <c r="B301" s="52"/>
      <c r="C301" s="21">
        <f t="shared" si="46"/>
        <v>1</v>
      </c>
      <c r="D301" s="635"/>
      <c r="E301" s="21">
        <f t="shared" si="47"/>
        <v>1</v>
      </c>
      <c r="F301" s="635"/>
      <c r="G301" s="21">
        <f t="shared" si="48"/>
        <v>1</v>
      </c>
      <c r="H301" s="635"/>
      <c r="I301" s="21">
        <f t="shared" si="49"/>
        <v>1</v>
      </c>
      <c r="J301" s="635"/>
      <c r="K301" s="21">
        <f t="shared" si="50"/>
        <v>1</v>
      </c>
      <c r="L301" s="635"/>
      <c r="M301" s="21">
        <f t="shared" si="51"/>
        <v>1</v>
      </c>
      <c r="N301" s="635"/>
      <c r="O301" s="21">
        <f t="shared" si="52"/>
        <v>1</v>
      </c>
      <c r="P301" s="635"/>
      <c r="Q301" s="21">
        <f t="shared" si="53"/>
        <v>1</v>
      </c>
      <c r="R301" s="21">
        <f t="shared" si="54"/>
        <v>0</v>
      </c>
      <c r="S301" s="308">
        <f t="shared" si="45"/>
        <v>0</v>
      </c>
    </row>
    <row r="302" spans="1:19">
      <c r="A302" s="142"/>
      <c r="B302" s="52"/>
      <c r="C302" s="21">
        <f t="shared" si="46"/>
        <v>1</v>
      </c>
      <c r="D302" s="635"/>
      <c r="E302" s="21">
        <f t="shared" si="47"/>
        <v>1</v>
      </c>
      <c r="F302" s="635"/>
      <c r="G302" s="21">
        <f t="shared" si="48"/>
        <v>1</v>
      </c>
      <c r="H302" s="635"/>
      <c r="I302" s="21">
        <f t="shared" si="49"/>
        <v>1</v>
      </c>
      <c r="J302" s="635"/>
      <c r="K302" s="21">
        <f t="shared" si="50"/>
        <v>1</v>
      </c>
      <c r="L302" s="635"/>
      <c r="M302" s="21">
        <f t="shared" si="51"/>
        <v>1</v>
      </c>
      <c r="N302" s="635"/>
      <c r="O302" s="21">
        <f t="shared" si="52"/>
        <v>1</v>
      </c>
      <c r="P302" s="635"/>
      <c r="Q302" s="21">
        <f t="shared" si="53"/>
        <v>1</v>
      </c>
      <c r="R302" s="21">
        <f t="shared" si="54"/>
        <v>0</v>
      </c>
      <c r="S302" s="308">
        <f t="shared" si="45"/>
        <v>0</v>
      </c>
    </row>
    <row r="303" spans="1:19">
      <c r="A303" s="142"/>
      <c r="B303" s="52"/>
      <c r="C303" s="21">
        <f t="shared" si="46"/>
        <v>1</v>
      </c>
      <c r="D303" s="635"/>
      <c r="E303" s="21">
        <f t="shared" si="47"/>
        <v>1</v>
      </c>
      <c r="F303" s="635"/>
      <c r="G303" s="21">
        <f t="shared" si="48"/>
        <v>1</v>
      </c>
      <c r="H303" s="635"/>
      <c r="I303" s="21">
        <f t="shared" si="49"/>
        <v>1</v>
      </c>
      <c r="J303" s="635"/>
      <c r="K303" s="21">
        <f t="shared" si="50"/>
        <v>1</v>
      </c>
      <c r="L303" s="635"/>
      <c r="M303" s="21">
        <f t="shared" si="51"/>
        <v>1</v>
      </c>
      <c r="N303" s="635"/>
      <c r="O303" s="21">
        <f t="shared" si="52"/>
        <v>1</v>
      </c>
      <c r="P303" s="635"/>
      <c r="Q303" s="21">
        <f t="shared" si="53"/>
        <v>1</v>
      </c>
      <c r="R303" s="21">
        <f t="shared" si="54"/>
        <v>0</v>
      </c>
      <c r="S303" s="308">
        <f t="shared" si="45"/>
        <v>0</v>
      </c>
    </row>
    <row r="304" spans="1:19">
      <c r="A304" s="142"/>
      <c r="B304" s="52"/>
      <c r="C304" s="21">
        <f t="shared" si="46"/>
        <v>1</v>
      </c>
      <c r="D304" s="635"/>
      <c r="E304" s="21">
        <f t="shared" si="47"/>
        <v>1</v>
      </c>
      <c r="F304" s="635"/>
      <c r="G304" s="21">
        <f t="shared" si="48"/>
        <v>1</v>
      </c>
      <c r="H304" s="635"/>
      <c r="I304" s="21">
        <f t="shared" si="49"/>
        <v>1</v>
      </c>
      <c r="J304" s="635"/>
      <c r="K304" s="21">
        <f t="shared" si="50"/>
        <v>1</v>
      </c>
      <c r="L304" s="635"/>
      <c r="M304" s="21">
        <f t="shared" si="51"/>
        <v>1</v>
      </c>
      <c r="N304" s="635"/>
      <c r="O304" s="21">
        <f t="shared" si="52"/>
        <v>1</v>
      </c>
      <c r="P304" s="635"/>
      <c r="Q304" s="21">
        <f t="shared" si="53"/>
        <v>1</v>
      </c>
      <c r="R304" s="21">
        <f t="shared" si="54"/>
        <v>0</v>
      </c>
      <c r="S304" s="308">
        <f t="shared" si="45"/>
        <v>0</v>
      </c>
    </row>
    <row r="305" spans="1:19">
      <c r="A305" s="142"/>
      <c r="B305" s="52"/>
      <c r="C305" s="21">
        <f t="shared" si="46"/>
        <v>1</v>
      </c>
      <c r="D305" s="635"/>
      <c r="E305" s="21">
        <f t="shared" si="47"/>
        <v>1</v>
      </c>
      <c r="F305" s="635"/>
      <c r="G305" s="21">
        <f t="shared" si="48"/>
        <v>1</v>
      </c>
      <c r="H305" s="635"/>
      <c r="I305" s="21">
        <f t="shared" si="49"/>
        <v>1</v>
      </c>
      <c r="J305" s="635"/>
      <c r="K305" s="21">
        <f t="shared" si="50"/>
        <v>1</v>
      </c>
      <c r="L305" s="635"/>
      <c r="M305" s="21">
        <f t="shared" si="51"/>
        <v>1</v>
      </c>
      <c r="N305" s="635"/>
      <c r="O305" s="21">
        <f t="shared" si="52"/>
        <v>1</v>
      </c>
      <c r="P305" s="635"/>
      <c r="Q305" s="21">
        <f t="shared" si="53"/>
        <v>1</v>
      </c>
      <c r="R305" s="21">
        <f t="shared" si="54"/>
        <v>0</v>
      </c>
      <c r="S305" s="308">
        <f t="shared" si="45"/>
        <v>0</v>
      </c>
    </row>
    <row r="306" spans="1:19">
      <c r="A306" s="142"/>
      <c r="B306" s="52"/>
      <c r="C306" s="21">
        <f t="shared" si="46"/>
        <v>1</v>
      </c>
      <c r="D306" s="635"/>
      <c r="E306" s="21">
        <f t="shared" si="47"/>
        <v>1</v>
      </c>
      <c r="F306" s="635"/>
      <c r="G306" s="21">
        <f t="shared" si="48"/>
        <v>1</v>
      </c>
      <c r="H306" s="635"/>
      <c r="I306" s="21">
        <f t="shared" si="49"/>
        <v>1</v>
      </c>
      <c r="J306" s="635"/>
      <c r="K306" s="21">
        <f t="shared" si="50"/>
        <v>1</v>
      </c>
      <c r="L306" s="635"/>
      <c r="M306" s="21">
        <f t="shared" si="51"/>
        <v>1</v>
      </c>
      <c r="N306" s="635"/>
      <c r="O306" s="21">
        <f t="shared" si="52"/>
        <v>1</v>
      </c>
      <c r="P306" s="635"/>
      <c r="Q306" s="21">
        <f t="shared" si="53"/>
        <v>1</v>
      </c>
      <c r="R306" s="21">
        <f t="shared" si="54"/>
        <v>0</v>
      </c>
      <c r="S306" s="308">
        <f t="shared" si="45"/>
        <v>0</v>
      </c>
    </row>
    <row r="307" spans="1:19">
      <c r="A307" s="142"/>
      <c r="B307" s="52"/>
      <c r="C307" s="21">
        <f t="shared" si="46"/>
        <v>1</v>
      </c>
      <c r="D307" s="635"/>
      <c r="E307" s="21">
        <f t="shared" si="47"/>
        <v>1</v>
      </c>
      <c r="F307" s="635"/>
      <c r="G307" s="21">
        <f t="shared" si="48"/>
        <v>1</v>
      </c>
      <c r="H307" s="635"/>
      <c r="I307" s="21">
        <f t="shared" si="49"/>
        <v>1</v>
      </c>
      <c r="J307" s="635"/>
      <c r="K307" s="21">
        <f t="shared" si="50"/>
        <v>1</v>
      </c>
      <c r="L307" s="635"/>
      <c r="M307" s="21">
        <f t="shared" si="51"/>
        <v>1</v>
      </c>
      <c r="N307" s="635"/>
      <c r="O307" s="21">
        <f t="shared" si="52"/>
        <v>1</v>
      </c>
      <c r="P307" s="635"/>
      <c r="Q307" s="21">
        <f t="shared" si="53"/>
        <v>1</v>
      </c>
      <c r="R307" s="21">
        <f t="shared" si="54"/>
        <v>0</v>
      </c>
      <c r="S307" s="308">
        <f t="shared" si="45"/>
        <v>0</v>
      </c>
    </row>
    <row r="308" spans="1:19">
      <c r="A308" s="142"/>
      <c r="B308" s="52"/>
      <c r="C308" s="21">
        <f t="shared" si="46"/>
        <v>1</v>
      </c>
      <c r="D308" s="635"/>
      <c r="E308" s="21">
        <f t="shared" si="47"/>
        <v>1</v>
      </c>
      <c r="F308" s="635"/>
      <c r="G308" s="21">
        <f t="shared" si="48"/>
        <v>1</v>
      </c>
      <c r="H308" s="635"/>
      <c r="I308" s="21">
        <f t="shared" si="49"/>
        <v>1</v>
      </c>
      <c r="J308" s="635"/>
      <c r="K308" s="21">
        <f t="shared" si="50"/>
        <v>1</v>
      </c>
      <c r="L308" s="635"/>
      <c r="M308" s="21">
        <f t="shared" si="51"/>
        <v>1</v>
      </c>
      <c r="N308" s="635"/>
      <c r="O308" s="21">
        <f t="shared" si="52"/>
        <v>1</v>
      </c>
      <c r="P308" s="635"/>
      <c r="Q308" s="21">
        <f t="shared" si="53"/>
        <v>1</v>
      </c>
      <c r="R308" s="21">
        <f t="shared" si="54"/>
        <v>0</v>
      </c>
      <c r="S308" s="308">
        <f t="shared" si="45"/>
        <v>0</v>
      </c>
    </row>
    <row r="309" spans="1:19">
      <c r="A309" s="142"/>
      <c r="B309" s="52"/>
      <c r="C309" s="21">
        <f t="shared" si="46"/>
        <v>1</v>
      </c>
      <c r="D309" s="635"/>
      <c r="E309" s="21">
        <f t="shared" si="47"/>
        <v>1</v>
      </c>
      <c r="F309" s="635"/>
      <c r="G309" s="21">
        <f t="shared" si="48"/>
        <v>1</v>
      </c>
      <c r="H309" s="635"/>
      <c r="I309" s="21">
        <f t="shared" si="49"/>
        <v>1</v>
      </c>
      <c r="J309" s="635"/>
      <c r="K309" s="21">
        <f t="shared" si="50"/>
        <v>1</v>
      </c>
      <c r="L309" s="635"/>
      <c r="M309" s="21">
        <f t="shared" si="51"/>
        <v>1</v>
      </c>
      <c r="N309" s="635"/>
      <c r="O309" s="21">
        <f t="shared" si="52"/>
        <v>1</v>
      </c>
      <c r="P309" s="635"/>
      <c r="Q309" s="21">
        <f t="shared" si="53"/>
        <v>1</v>
      </c>
      <c r="R309" s="21">
        <f t="shared" si="54"/>
        <v>0</v>
      </c>
      <c r="S309" s="308">
        <f t="shared" si="45"/>
        <v>0</v>
      </c>
    </row>
    <row r="310" spans="1:19">
      <c r="A310" s="142"/>
      <c r="B310" s="52"/>
      <c r="C310" s="21">
        <f t="shared" si="46"/>
        <v>1</v>
      </c>
      <c r="D310" s="635"/>
      <c r="E310" s="21">
        <f t="shared" si="47"/>
        <v>1</v>
      </c>
      <c r="F310" s="635"/>
      <c r="G310" s="21">
        <f t="shared" si="48"/>
        <v>1</v>
      </c>
      <c r="H310" s="635"/>
      <c r="I310" s="21">
        <f t="shared" si="49"/>
        <v>1</v>
      </c>
      <c r="J310" s="635"/>
      <c r="K310" s="21">
        <f t="shared" si="50"/>
        <v>1</v>
      </c>
      <c r="L310" s="635"/>
      <c r="M310" s="21">
        <f t="shared" si="51"/>
        <v>1</v>
      </c>
      <c r="N310" s="635"/>
      <c r="O310" s="21">
        <f t="shared" si="52"/>
        <v>1</v>
      </c>
      <c r="P310" s="635"/>
      <c r="Q310" s="21">
        <f t="shared" si="53"/>
        <v>1</v>
      </c>
      <c r="R310" s="21">
        <f t="shared" si="54"/>
        <v>0</v>
      </c>
      <c r="S310" s="308">
        <f t="shared" si="45"/>
        <v>0</v>
      </c>
    </row>
    <row r="311" spans="1:19">
      <c r="A311" s="142"/>
      <c r="B311" s="52"/>
      <c r="C311" s="21">
        <f t="shared" si="46"/>
        <v>1</v>
      </c>
      <c r="D311" s="635"/>
      <c r="E311" s="21">
        <f t="shared" si="47"/>
        <v>1</v>
      </c>
      <c r="F311" s="635"/>
      <c r="G311" s="21">
        <f t="shared" si="48"/>
        <v>1</v>
      </c>
      <c r="H311" s="635"/>
      <c r="I311" s="21">
        <f t="shared" si="49"/>
        <v>1</v>
      </c>
      <c r="J311" s="635"/>
      <c r="K311" s="21">
        <f t="shared" si="50"/>
        <v>1</v>
      </c>
      <c r="L311" s="635"/>
      <c r="M311" s="21">
        <f t="shared" si="51"/>
        <v>1</v>
      </c>
      <c r="N311" s="635"/>
      <c r="O311" s="21">
        <f t="shared" si="52"/>
        <v>1</v>
      </c>
      <c r="P311" s="635"/>
      <c r="Q311" s="21">
        <f t="shared" si="53"/>
        <v>1</v>
      </c>
      <c r="R311" s="21">
        <f t="shared" si="54"/>
        <v>0</v>
      </c>
      <c r="S311" s="308">
        <f t="shared" si="45"/>
        <v>0</v>
      </c>
    </row>
    <row r="312" spans="1:19">
      <c r="A312" s="142"/>
      <c r="B312" s="52"/>
      <c r="C312" s="21">
        <f t="shared" si="46"/>
        <v>1</v>
      </c>
      <c r="D312" s="635"/>
      <c r="E312" s="21">
        <f t="shared" si="47"/>
        <v>1</v>
      </c>
      <c r="F312" s="635"/>
      <c r="G312" s="21">
        <f t="shared" si="48"/>
        <v>1</v>
      </c>
      <c r="H312" s="635"/>
      <c r="I312" s="21">
        <f t="shared" si="49"/>
        <v>1</v>
      </c>
      <c r="J312" s="635"/>
      <c r="K312" s="21">
        <f t="shared" si="50"/>
        <v>1</v>
      </c>
      <c r="L312" s="635"/>
      <c r="M312" s="21">
        <f t="shared" si="51"/>
        <v>1</v>
      </c>
      <c r="N312" s="635"/>
      <c r="O312" s="21">
        <f t="shared" si="52"/>
        <v>1</v>
      </c>
      <c r="P312" s="635"/>
      <c r="Q312" s="21">
        <f t="shared" si="53"/>
        <v>1</v>
      </c>
      <c r="R312" s="21">
        <f t="shared" si="54"/>
        <v>0</v>
      </c>
      <c r="S312" s="308">
        <f t="shared" si="45"/>
        <v>0</v>
      </c>
    </row>
    <row r="313" spans="1:19">
      <c r="A313" s="142"/>
      <c r="B313" s="52"/>
      <c r="C313" s="21">
        <f t="shared" si="46"/>
        <v>1</v>
      </c>
      <c r="D313" s="635"/>
      <c r="E313" s="21">
        <f t="shared" si="47"/>
        <v>1</v>
      </c>
      <c r="F313" s="635"/>
      <c r="G313" s="21">
        <f t="shared" si="48"/>
        <v>1</v>
      </c>
      <c r="H313" s="635"/>
      <c r="I313" s="21">
        <f t="shared" si="49"/>
        <v>1</v>
      </c>
      <c r="J313" s="635"/>
      <c r="K313" s="21">
        <f t="shared" si="50"/>
        <v>1</v>
      </c>
      <c r="L313" s="635"/>
      <c r="M313" s="21">
        <f t="shared" si="51"/>
        <v>1</v>
      </c>
      <c r="N313" s="635"/>
      <c r="O313" s="21">
        <f t="shared" si="52"/>
        <v>1</v>
      </c>
      <c r="P313" s="635"/>
      <c r="Q313" s="21">
        <f t="shared" si="53"/>
        <v>1</v>
      </c>
      <c r="R313" s="21">
        <f t="shared" si="54"/>
        <v>0</v>
      </c>
      <c r="S313" s="308">
        <f t="shared" si="45"/>
        <v>0</v>
      </c>
    </row>
    <row r="314" spans="1:19">
      <c r="A314" s="142"/>
      <c r="B314" s="52"/>
      <c r="C314" s="21">
        <f t="shared" si="46"/>
        <v>1</v>
      </c>
      <c r="D314" s="635"/>
      <c r="E314" s="21">
        <f t="shared" si="47"/>
        <v>1</v>
      </c>
      <c r="F314" s="635"/>
      <c r="G314" s="21">
        <f t="shared" si="48"/>
        <v>1</v>
      </c>
      <c r="H314" s="635"/>
      <c r="I314" s="21">
        <f t="shared" si="49"/>
        <v>1</v>
      </c>
      <c r="J314" s="635"/>
      <c r="K314" s="21">
        <f t="shared" si="50"/>
        <v>1</v>
      </c>
      <c r="L314" s="635"/>
      <c r="M314" s="21">
        <f t="shared" si="51"/>
        <v>1</v>
      </c>
      <c r="N314" s="635"/>
      <c r="O314" s="21">
        <f t="shared" si="52"/>
        <v>1</v>
      </c>
      <c r="P314" s="635"/>
      <c r="Q314" s="21">
        <f t="shared" si="53"/>
        <v>1</v>
      </c>
      <c r="R314" s="21">
        <f t="shared" si="54"/>
        <v>0</v>
      </c>
      <c r="S314" s="308">
        <f t="shared" si="45"/>
        <v>0</v>
      </c>
    </row>
    <row r="315" spans="1:19">
      <c r="A315" s="142"/>
      <c r="B315" s="52"/>
      <c r="C315" s="21">
        <f t="shared" si="46"/>
        <v>1</v>
      </c>
      <c r="D315" s="635"/>
      <c r="E315" s="21">
        <f t="shared" si="47"/>
        <v>1</v>
      </c>
      <c r="F315" s="635"/>
      <c r="G315" s="21">
        <f t="shared" si="48"/>
        <v>1</v>
      </c>
      <c r="H315" s="635"/>
      <c r="I315" s="21">
        <f t="shared" si="49"/>
        <v>1</v>
      </c>
      <c r="J315" s="635"/>
      <c r="K315" s="21">
        <f t="shared" si="50"/>
        <v>1</v>
      </c>
      <c r="L315" s="635"/>
      <c r="M315" s="21">
        <f t="shared" si="51"/>
        <v>1</v>
      </c>
      <c r="N315" s="635"/>
      <c r="O315" s="21">
        <f t="shared" si="52"/>
        <v>1</v>
      </c>
      <c r="P315" s="635"/>
      <c r="Q315" s="21">
        <f t="shared" si="53"/>
        <v>1</v>
      </c>
      <c r="R315" s="21">
        <f t="shared" si="54"/>
        <v>0</v>
      </c>
      <c r="S315" s="308">
        <f t="shared" si="45"/>
        <v>0</v>
      </c>
    </row>
    <row r="316" spans="1:19">
      <c r="A316" s="142"/>
      <c r="B316" s="52"/>
      <c r="C316" s="21">
        <f t="shared" si="46"/>
        <v>1</v>
      </c>
      <c r="D316" s="635"/>
      <c r="E316" s="21">
        <f t="shared" si="47"/>
        <v>1</v>
      </c>
      <c r="F316" s="635"/>
      <c r="G316" s="21">
        <f t="shared" si="48"/>
        <v>1</v>
      </c>
      <c r="H316" s="635"/>
      <c r="I316" s="21">
        <f t="shared" si="49"/>
        <v>1</v>
      </c>
      <c r="J316" s="635"/>
      <c r="K316" s="21">
        <f t="shared" si="50"/>
        <v>1</v>
      </c>
      <c r="L316" s="635"/>
      <c r="M316" s="21">
        <f t="shared" si="51"/>
        <v>1</v>
      </c>
      <c r="N316" s="635"/>
      <c r="O316" s="21">
        <f t="shared" si="52"/>
        <v>1</v>
      </c>
      <c r="P316" s="635"/>
      <c r="Q316" s="21">
        <f t="shared" si="53"/>
        <v>1</v>
      </c>
      <c r="R316" s="21">
        <f t="shared" si="54"/>
        <v>0</v>
      </c>
      <c r="S316" s="308">
        <f t="shared" si="45"/>
        <v>0</v>
      </c>
    </row>
    <row r="317" spans="1:19">
      <c r="A317" s="142"/>
      <c r="B317" s="52"/>
      <c r="C317" s="21">
        <f t="shared" si="46"/>
        <v>1</v>
      </c>
      <c r="D317" s="635"/>
      <c r="E317" s="21">
        <f t="shared" si="47"/>
        <v>1</v>
      </c>
      <c r="F317" s="635"/>
      <c r="G317" s="21">
        <f t="shared" si="48"/>
        <v>1</v>
      </c>
      <c r="H317" s="635"/>
      <c r="I317" s="21">
        <f t="shared" si="49"/>
        <v>1</v>
      </c>
      <c r="J317" s="635"/>
      <c r="K317" s="21">
        <f t="shared" si="50"/>
        <v>1</v>
      </c>
      <c r="L317" s="635"/>
      <c r="M317" s="21">
        <f t="shared" si="51"/>
        <v>1</v>
      </c>
      <c r="N317" s="635"/>
      <c r="O317" s="21">
        <f t="shared" si="52"/>
        <v>1</v>
      </c>
      <c r="P317" s="635"/>
      <c r="Q317" s="21">
        <f t="shared" si="53"/>
        <v>1</v>
      </c>
      <c r="R317" s="21">
        <f t="shared" si="54"/>
        <v>0</v>
      </c>
      <c r="S317" s="308">
        <f t="shared" si="45"/>
        <v>0</v>
      </c>
    </row>
    <row r="318" spans="1:19">
      <c r="A318" s="142"/>
      <c r="B318" s="52"/>
      <c r="C318" s="21">
        <f t="shared" si="46"/>
        <v>1</v>
      </c>
      <c r="D318" s="635"/>
      <c r="E318" s="21">
        <f t="shared" si="47"/>
        <v>1</v>
      </c>
      <c r="F318" s="635"/>
      <c r="G318" s="21">
        <f t="shared" si="48"/>
        <v>1</v>
      </c>
      <c r="H318" s="635"/>
      <c r="I318" s="21">
        <f t="shared" si="49"/>
        <v>1</v>
      </c>
      <c r="J318" s="635"/>
      <c r="K318" s="21">
        <f t="shared" si="50"/>
        <v>1</v>
      </c>
      <c r="L318" s="635"/>
      <c r="M318" s="21">
        <f t="shared" si="51"/>
        <v>1</v>
      </c>
      <c r="N318" s="635"/>
      <c r="O318" s="21">
        <f t="shared" si="52"/>
        <v>1</v>
      </c>
      <c r="P318" s="635"/>
      <c r="Q318" s="21">
        <f t="shared" si="53"/>
        <v>1</v>
      </c>
      <c r="R318" s="21">
        <f t="shared" si="54"/>
        <v>0</v>
      </c>
      <c r="S318" s="308">
        <f t="shared" si="45"/>
        <v>0</v>
      </c>
    </row>
    <row r="319" spans="1:19">
      <c r="A319" s="142"/>
      <c r="B319" s="52"/>
      <c r="C319" s="21">
        <f t="shared" si="46"/>
        <v>1</v>
      </c>
      <c r="D319" s="635"/>
      <c r="E319" s="21">
        <f t="shared" si="47"/>
        <v>1</v>
      </c>
      <c r="F319" s="635"/>
      <c r="G319" s="21">
        <f t="shared" si="48"/>
        <v>1</v>
      </c>
      <c r="H319" s="635"/>
      <c r="I319" s="21">
        <f t="shared" si="49"/>
        <v>1</v>
      </c>
      <c r="J319" s="635"/>
      <c r="K319" s="21">
        <f t="shared" si="50"/>
        <v>1</v>
      </c>
      <c r="L319" s="635"/>
      <c r="M319" s="21">
        <f t="shared" si="51"/>
        <v>1</v>
      </c>
      <c r="N319" s="635"/>
      <c r="O319" s="21">
        <f t="shared" si="52"/>
        <v>1</v>
      </c>
      <c r="P319" s="635"/>
      <c r="Q319" s="21">
        <f t="shared" si="53"/>
        <v>1</v>
      </c>
      <c r="R319" s="21">
        <f t="shared" si="54"/>
        <v>0</v>
      </c>
      <c r="S319" s="308">
        <f t="shared" si="45"/>
        <v>0</v>
      </c>
    </row>
    <row r="320" spans="1:19">
      <c r="A320" s="142"/>
      <c r="B320" s="52"/>
      <c r="C320" s="21">
        <f t="shared" si="46"/>
        <v>1</v>
      </c>
      <c r="D320" s="635"/>
      <c r="E320" s="21">
        <f t="shared" si="47"/>
        <v>1</v>
      </c>
      <c r="F320" s="635"/>
      <c r="G320" s="21">
        <f t="shared" si="48"/>
        <v>1</v>
      </c>
      <c r="H320" s="635"/>
      <c r="I320" s="21">
        <f t="shared" si="49"/>
        <v>1</v>
      </c>
      <c r="J320" s="635"/>
      <c r="K320" s="21">
        <f t="shared" si="50"/>
        <v>1</v>
      </c>
      <c r="L320" s="635"/>
      <c r="M320" s="21">
        <f t="shared" si="51"/>
        <v>1</v>
      </c>
      <c r="N320" s="635"/>
      <c r="O320" s="21">
        <f t="shared" si="52"/>
        <v>1</v>
      </c>
      <c r="P320" s="635"/>
      <c r="Q320" s="21">
        <f t="shared" si="53"/>
        <v>1</v>
      </c>
      <c r="R320" s="21">
        <f t="shared" si="54"/>
        <v>0</v>
      </c>
      <c r="S320" s="308">
        <f t="shared" si="45"/>
        <v>0</v>
      </c>
    </row>
    <row r="321" spans="1:19">
      <c r="A321" s="142"/>
      <c r="B321" s="52"/>
      <c r="C321" s="21">
        <f t="shared" si="46"/>
        <v>1</v>
      </c>
      <c r="D321" s="635"/>
      <c r="E321" s="21">
        <f t="shared" si="47"/>
        <v>1</v>
      </c>
      <c r="F321" s="635"/>
      <c r="G321" s="21">
        <f t="shared" si="48"/>
        <v>1</v>
      </c>
      <c r="H321" s="635"/>
      <c r="I321" s="21">
        <f t="shared" si="49"/>
        <v>1</v>
      </c>
      <c r="J321" s="635"/>
      <c r="K321" s="21">
        <f t="shared" si="50"/>
        <v>1</v>
      </c>
      <c r="L321" s="635"/>
      <c r="M321" s="21">
        <f t="shared" si="51"/>
        <v>1</v>
      </c>
      <c r="N321" s="635"/>
      <c r="O321" s="21">
        <f t="shared" si="52"/>
        <v>1</v>
      </c>
      <c r="P321" s="635"/>
      <c r="Q321" s="21">
        <f t="shared" si="53"/>
        <v>1</v>
      </c>
      <c r="R321" s="21">
        <f t="shared" si="54"/>
        <v>0</v>
      </c>
      <c r="S321" s="308">
        <f t="shared" si="45"/>
        <v>0</v>
      </c>
    </row>
    <row r="322" spans="1:19">
      <c r="A322" s="142"/>
      <c r="B322" s="52"/>
      <c r="C322" s="21">
        <f t="shared" si="46"/>
        <v>1</v>
      </c>
      <c r="D322" s="635"/>
      <c r="E322" s="21">
        <f t="shared" si="47"/>
        <v>1</v>
      </c>
      <c r="F322" s="635"/>
      <c r="G322" s="21">
        <f t="shared" si="48"/>
        <v>1</v>
      </c>
      <c r="H322" s="635"/>
      <c r="I322" s="21">
        <f t="shared" si="49"/>
        <v>1</v>
      </c>
      <c r="J322" s="635"/>
      <c r="K322" s="21">
        <f t="shared" si="50"/>
        <v>1</v>
      </c>
      <c r="L322" s="635"/>
      <c r="M322" s="21">
        <f t="shared" si="51"/>
        <v>1</v>
      </c>
      <c r="N322" s="635"/>
      <c r="O322" s="21">
        <f t="shared" si="52"/>
        <v>1</v>
      </c>
      <c r="P322" s="635"/>
      <c r="Q322" s="21">
        <f t="shared" si="53"/>
        <v>1</v>
      </c>
      <c r="R322" s="21">
        <f t="shared" si="54"/>
        <v>0</v>
      </c>
      <c r="S322" s="308">
        <f t="shared" si="45"/>
        <v>0</v>
      </c>
    </row>
    <row r="323" spans="1:19">
      <c r="A323" s="142"/>
      <c r="B323" s="52"/>
      <c r="C323" s="21">
        <f t="shared" si="46"/>
        <v>1</v>
      </c>
      <c r="D323" s="635"/>
      <c r="E323" s="21">
        <f t="shared" si="47"/>
        <v>1</v>
      </c>
      <c r="F323" s="635"/>
      <c r="G323" s="21">
        <f t="shared" si="48"/>
        <v>1</v>
      </c>
      <c r="H323" s="635"/>
      <c r="I323" s="21">
        <f t="shared" si="49"/>
        <v>1</v>
      </c>
      <c r="J323" s="635"/>
      <c r="K323" s="21">
        <f t="shared" si="50"/>
        <v>1</v>
      </c>
      <c r="L323" s="635"/>
      <c r="M323" s="21">
        <f t="shared" si="51"/>
        <v>1</v>
      </c>
      <c r="N323" s="635"/>
      <c r="O323" s="21">
        <f t="shared" si="52"/>
        <v>1</v>
      </c>
      <c r="P323" s="635"/>
      <c r="Q323" s="21">
        <f t="shared" si="53"/>
        <v>1</v>
      </c>
      <c r="R323" s="21">
        <f t="shared" si="54"/>
        <v>0</v>
      </c>
      <c r="S323" s="308">
        <f t="shared" si="45"/>
        <v>0</v>
      </c>
    </row>
    <row r="324" spans="1:19">
      <c r="A324" s="142"/>
      <c r="B324" s="52"/>
      <c r="C324" s="21">
        <f t="shared" si="46"/>
        <v>1</v>
      </c>
      <c r="D324" s="635"/>
      <c r="E324" s="21">
        <f t="shared" si="47"/>
        <v>1</v>
      </c>
      <c r="F324" s="635"/>
      <c r="G324" s="21">
        <f t="shared" si="48"/>
        <v>1</v>
      </c>
      <c r="H324" s="635"/>
      <c r="I324" s="21">
        <f t="shared" si="49"/>
        <v>1</v>
      </c>
      <c r="J324" s="635"/>
      <c r="K324" s="21">
        <f t="shared" si="50"/>
        <v>1</v>
      </c>
      <c r="L324" s="635"/>
      <c r="M324" s="21">
        <f t="shared" si="51"/>
        <v>1</v>
      </c>
      <c r="N324" s="635"/>
      <c r="O324" s="21">
        <f t="shared" si="52"/>
        <v>1</v>
      </c>
      <c r="P324" s="635"/>
      <c r="Q324" s="21">
        <f t="shared" si="53"/>
        <v>1</v>
      </c>
      <c r="R324" s="21">
        <f t="shared" si="54"/>
        <v>0</v>
      </c>
      <c r="S324" s="308">
        <f t="shared" si="45"/>
        <v>0</v>
      </c>
    </row>
    <row r="325" spans="1:19">
      <c r="A325" s="142"/>
      <c r="B325" s="52"/>
      <c r="C325" s="21">
        <f t="shared" si="46"/>
        <v>1</v>
      </c>
      <c r="D325" s="635"/>
      <c r="E325" s="21">
        <f t="shared" si="47"/>
        <v>1</v>
      </c>
      <c r="F325" s="635"/>
      <c r="G325" s="21">
        <f t="shared" si="48"/>
        <v>1</v>
      </c>
      <c r="H325" s="635"/>
      <c r="I325" s="21">
        <f t="shared" si="49"/>
        <v>1</v>
      </c>
      <c r="J325" s="635"/>
      <c r="K325" s="21">
        <f t="shared" si="50"/>
        <v>1</v>
      </c>
      <c r="L325" s="635"/>
      <c r="M325" s="21">
        <f t="shared" si="51"/>
        <v>1</v>
      </c>
      <c r="N325" s="635"/>
      <c r="O325" s="21">
        <f t="shared" si="52"/>
        <v>1</v>
      </c>
      <c r="P325" s="635"/>
      <c r="Q325" s="21">
        <f t="shared" si="53"/>
        <v>1</v>
      </c>
      <c r="R325" s="21">
        <f t="shared" si="54"/>
        <v>0</v>
      </c>
      <c r="S325" s="308">
        <f t="shared" si="45"/>
        <v>0</v>
      </c>
    </row>
    <row r="326" spans="1:19">
      <c r="A326" s="142"/>
      <c r="B326" s="52"/>
      <c r="C326" s="21">
        <f t="shared" si="46"/>
        <v>1</v>
      </c>
      <c r="D326" s="635"/>
      <c r="E326" s="21">
        <f t="shared" si="47"/>
        <v>1</v>
      </c>
      <c r="F326" s="635"/>
      <c r="G326" s="21">
        <f t="shared" si="48"/>
        <v>1</v>
      </c>
      <c r="H326" s="635"/>
      <c r="I326" s="21">
        <f t="shared" si="49"/>
        <v>1</v>
      </c>
      <c r="J326" s="635"/>
      <c r="K326" s="21">
        <f t="shared" si="50"/>
        <v>1</v>
      </c>
      <c r="L326" s="635"/>
      <c r="M326" s="21">
        <f t="shared" si="51"/>
        <v>1</v>
      </c>
      <c r="N326" s="635"/>
      <c r="O326" s="21">
        <f t="shared" si="52"/>
        <v>1</v>
      </c>
      <c r="P326" s="635"/>
      <c r="Q326" s="21">
        <f t="shared" si="53"/>
        <v>1</v>
      </c>
      <c r="R326" s="21">
        <f t="shared" si="54"/>
        <v>0</v>
      </c>
      <c r="S326" s="308">
        <f t="shared" si="45"/>
        <v>0</v>
      </c>
    </row>
    <row r="327" spans="1:19">
      <c r="A327" s="142"/>
      <c r="B327" s="52"/>
      <c r="C327" s="21">
        <f t="shared" si="46"/>
        <v>1</v>
      </c>
      <c r="D327" s="635"/>
      <c r="E327" s="21">
        <f t="shared" si="47"/>
        <v>1</v>
      </c>
      <c r="F327" s="635"/>
      <c r="G327" s="21">
        <f t="shared" si="48"/>
        <v>1</v>
      </c>
      <c r="H327" s="635"/>
      <c r="I327" s="21">
        <f t="shared" si="49"/>
        <v>1</v>
      </c>
      <c r="J327" s="635"/>
      <c r="K327" s="21">
        <f t="shared" si="50"/>
        <v>1</v>
      </c>
      <c r="L327" s="635"/>
      <c r="M327" s="21">
        <f t="shared" si="51"/>
        <v>1</v>
      </c>
      <c r="N327" s="635"/>
      <c r="O327" s="21">
        <f t="shared" si="52"/>
        <v>1</v>
      </c>
      <c r="P327" s="635"/>
      <c r="Q327" s="21">
        <f t="shared" si="53"/>
        <v>1</v>
      </c>
      <c r="R327" s="21">
        <f t="shared" si="54"/>
        <v>0</v>
      </c>
      <c r="S327" s="308">
        <f t="shared" si="45"/>
        <v>0</v>
      </c>
    </row>
    <row r="328" spans="1:19">
      <c r="A328" s="142"/>
      <c r="B328" s="52"/>
      <c r="C328" s="21">
        <f t="shared" si="46"/>
        <v>1</v>
      </c>
      <c r="D328" s="635"/>
      <c r="E328" s="21">
        <f t="shared" si="47"/>
        <v>1</v>
      </c>
      <c r="F328" s="635"/>
      <c r="G328" s="21">
        <f t="shared" si="48"/>
        <v>1</v>
      </c>
      <c r="H328" s="635"/>
      <c r="I328" s="21">
        <f t="shared" si="49"/>
        <v>1</v>
      </c>
      <c r="J328" s="635"/>
      <c r="K328" s="21">
        <f t="shared" si="50"/>
        <v>1</v>
      </c>
      <c r="L328" s="635"/>
      <c r="M328" s="21">
        <f t="shared" si="51"/>
        <v>1</v>
      </c>
      <c r="N328" s="635"/>
      <c r="O328" s="21">
        <f t="shared" si="52"/>
        <v>1</v>
      </c>
      <c r="P328" s="635"/>
      <c r="Q328" s="21">
        <f t="shared" si="53"/>
        <v>1</v>
      </c>
      <c r="R328" s="21">
        <f t="shared" si="54"/>
        <v>0</v>
      </c>
      <c r="S328" s="308">
        <f t="shared" si="45"/>
        <v>0</v>
      </c>
    </row>
    <row r="329" spans="1:19">
      <c r="A329" s="142"/>
      <c r="B329" s="52"/>
      <c r="C329" s="21">
        <f t="shared" si="46"/>
        <v>1</v>
      </c>
      <c r="D329" s="635"/>
      <c r="E329" s="21">
        <f t="shared" si="47"/>
        <v>1</v>
      </c>
      <c r="F329" s="635"/>
      <c r="G329" s="21">
        <f t="shared" si="48"/>
        <v>1</v>
      </c>
      <c r="H329" s="635"/>
      <c r="I329" s="21">
        <f t="shared" si="49"/>
        <v>1</v>
      </c>
      <c r="J329" s="635"/>
      <c r="K329" s="21">
        <f t="shared" si="50"/>
        <v>1</v>
      </c>
      <c r="L329" s="635"/>
      <c r="M329" s="21">
        <f t="shared" si="51"/>
        <v>1</v>
      </c>
      <c r="N329" s="635"/>
      <c r="O329" s="21">
        <f t="shared" si="52"/>
        <v>1</v>
      </c>
      <c r="P329" s="635"/>
      <c r="Q329" s="21">
        <f t="shared" si="53"/>
        <v>1</v>
      </c>
      <c r="R329" s="21">
        <f t="shared" si="54"/>
        <v>0</v>
      </c>
      <c r="S329" s="308">
        <f t="shared" si="45"/>
        <v>0</v>
      </c>
    </row>
    <row r="330" spans="1:19">
      <c r="A330" s="142"/>
      <c r="B330" s="52"/>
      <c r="C330" s="21">
        <f t="shared" si="46"/>
        <v>1</v>
      </c>
      <c r="D330" s="635"/>
      <c r="E330" s="21">
        <f t="shared" si="47"/>
        <v>1</v>
      </c>
      <c r="F330" s="635"/>
      <c r="G330" s="21">
        <f t="shared" si="48"/>
        <v>1</v>
      </c>
      <c r="H330" s="635"/>
      <c r="I330" s="21">
        <f t="shared" si="49"/>
        <v>1</v>
      </c>
      <c r="J330" s="635"/>
      <c r="K330" s="21">
        <f t="shared" si="50"/>
        <v>1</v>
      </c>
      <c r="L330" s="635"/>
      <c r="M330" s="21">
        <f t="shared" si="51"/>
        <v>1</v>
      </c>
      <c r="N330" s="635"/>
      <c r="O330" s="21">
        <f t="shared" si="52"/>
        <v>1</v>
      </c>
      <c r="P330" s="635"/>
      <c r="Q330" s="21">
        <f t="shared" si="53"/>
        <v>1</v>
      </c>
      <c r="R330" s="21">
        <f t="shared" si="54"/>
        <v>0</v>
      </c>
      <c r="S330" s="308">
        <f t="shared" si="45"/>
        <v>0</v>
      </c>
    </row>
    <row r="331" spans="1:19">
      <c r="A331" s="142"/>
      <c r="B331" s="52"/>
      <c r="C331" s="21">
        <f t="shared" si="46"/>
        <v>1</v>
      </c>
      <c r="D331" s="635"/>
      <c r="E331" s="21">
        <f t="shared" si="47"/>
        <v>1</v>
      </c>
      <c r="F331" s="635"/>
      <c r="G331" s="21">
        <f t="shared" si="48"/>
        <v>1</v>
      </c>
      <c r="H331" s="635"/>
      <c r="I331" s="21">
        <f t="shared" si="49"/>
        <v>1</v>
      </c>
      <c r="J331" s="635"/>
      <c r="K331" s="21">
        <f t="shared" si="50"/>
        <v>1</v>
      </c>
      <c r="L331" s="635"/>
      <c r="M331" s="21">
        <f t="shared" si="51"/>
        <v>1</v>
      </c>
      <c r="N331" s="635"/>
      <c r="O331" s="21">
        <f t="shared" si="52"/>
        <v>1</v>
      </c>
      <c r="P331" s="635"/>
      <c r="Q331" s="21">
        <f t="shared" si="53"/>
        <v>1</v>
      </c>
      <c r="R331" s="21">
        <f t="shared" si="54"/>
        <v>0</v>
      </c>
      <c r="S331" s="308">
        <f t="shared" si="45"/>
        <v>0</v>
      </c>
    </row>
    <row r="332" spans="1:19">
      <c r="A332" s="142"/>
      <c r="B332" s="52"/>
      <c r="C332" s="21">
        <f t="shared" si="46"/>
        <v>1</v>
      </c>
      <c r="D332" s="635"/>
      <c r="E332" s="21">
        <f t="shared" si="47"/>
        <v>1</v>
      </c>
      <c r="F332" s="635"/>
      <c r="G332" s="21">
        <f t="shared" si="48"/>
        <v>1</v>
      </c>
      <c r="H332" s="635"/>
      <c r="I332" s="21">
        <f t="shared" si="49"/>
        <v>1</v>
      </c>
      <c r="J332" s="635"/>
      <c r="K332" s="21">
        <f t="shared" si="50"/>
        <v>1</v>
      </c>
      <c r="L332" s="635"/>
      <c r="M332" s="21">
        <f t="shared" si="51"/>
        <v>1</v>
      </c>
      <c r="N332" s="635"/>
      <c r="O332" s="21">
        <f t="shared" si="52"/>
        <v>1</v>
      </c>
      <c r="P332" s="635"/>
      <c r="Q332" s="21">
        <f t="shared" si="53"/>
        <v>1</v>
      </c>
      <c r="R332" s="21">
        <f t="shared" si="54"/>
        <v>0</v>
      </c>
      <c r="S332" s="308">
        <f t="shared" si="45"/>
        <v>0</v>
      </c>
    </row>
    <row r="333" spans="1:19">
      <c r="A333" s="142"/>
      <c r="B333" s="52"/>
      <c r="C333" s="21">
        <f t="shared" si="46"/>
        <v>1</v>
      </c>
      <c r="D333" s="635"/>
      <c r="E333" s="21">
        <f t="shared" si="47"/>
        <v>1</v>
      </c>
      <c r="F333" s="635"/>
      <c r="G333" s="21">
        <f t="shared" si="48"/>
        <v>1</v>
      </c>
      <c r="H333" s="635"/>
      <c r="I333" s="21">
        <f t="shared" si="49"/>
        <v>1</v>
      </c>
      <c r="J333" s="635"/>
      <c r="K333" s="21">
        <f t="shared" si="50"/>
        <v>1</v>
      </c>
      <c r="L333" s="635"/>
      <c r="M333" s="21">
        <f t="shared" si="51"/>
        <v>1</v>
      </c>
      <c r="N333" s="635"/>
      <c r="O333" s="21">
        <f t="shared" si="52"/>
        <v>1</v>
      </c>
      <c r="P333" s="635"/>
      <c r="Q333" s="21">
        <f t="shared" si="53"/>
        <v>1</v>
      </c>
      <c r="R333" s="21">
        <f t="shared" si="54"/>
        <v>0</v>
      </c>
      <c r="S333" s="308">
        <f t="shared" si="45"/>
        <v>0</v>
      </c>
    </row>
    <row r="334" spans="1:19">
      <c r="A334" s="142"/>
      <c r="B334" s="52"/>
      <c r="C334" s="21">
        <f t="shared" si="46"/>
        <v>1</v>
      </c>
      <c r="D334" s="635"/>
      <c r="E334" s="21">
        <f t="shared" si="47"/>
        <v>1</v>
      </c>
      <c r="F334" s="635"/>
      <c r="G334" s="21">
        <f t="shared" si="48"/>
        <v>1</v>
      </c>
      <c r="H334" s="635"/>
      <c r="I334" s="21">
        <f t="shared" si="49"/>
        <v>1</v>
      </c>
      <c r="J334" s="635"/>
      <c r="K334" s="21">
        <f t="shared" si="50"/>
        <v>1</v>
      </c>
      <c r="L334" s="635"/>
      <c r="M334" s="21">
        <f t="shared" si="51"/>
        <v>1</v>
      </c>
      <c r="N334" s="635"/>
      <c r="O334" s="21">
        <f t="shared" si="52"/>
        <v>1</v>
      </c>
      <c r="P334" s="635"/>
      <c r="Q334" s="21">
        <f t="shared" si="53"/>
        <v>1</v>
      </c>
      <c r="R334" s="21">
        <f t="shared" si="54"/>
        <v>0</v>
      </c>
      <c r="S334" s="308">
        <f t="shared" si="45"/>
        <v>0</v>
      </c>
    </row>
    <row r="335" spans="1:19">
      <c r="A335" s="142"/>
      <c r="B335" s="52"/>
      <c r="C335" s="21">
        <f t="shared" si="46"/>
        <v>1</v>
      </c>
      <c r="D335" s="635"/>
      <c r="E335" s="21">
        <f t="shared" si="47"/>
        <v>1</v>
      </c>
      <c r="F335" s="635"/>
      <c r="G335" s="21">
        <f t="shared" si="48"/>
        <v>1</v>
      </c>
      <c r="H335" s="635"/>
      <c r="I335" s="21">
        <f t="shared" si="49"/>
        <v>1</v>
      </c>
      <c r="J335" s="635"/>
      <c r="K335" s="21">
        <f t="shared" si="50"/>
        <v>1</v>
      </c>
      <c r="L335" s="635"/>
      <c r="M335" s="21">
        <f t="shared" si="51"/>
        <v>1</v>
      </c>
      <c r="N335" s="635"/>
      <c r="O335" s="21">
        <f t="shared" si="52"/>
        <v>1</v>
      </c>
      <c r="P335" s="635"/>
      <c r="Q335" s="21">
        <f t="shared" si="53"/>
        <v>1</v>
      </c>
      <c r="R335" s="21">
        <f t="shared" si="54"/>
        <v>0</v>
      </c>
      <c r="S335" s="308">
        <f t="shared" si="45"/>
        <v>0</v>
      </c>
    </row>
    <row r="336" spans="1:19">
      <c r="A336" s="142"/>
      <c r="B336" s="52"/>
      <c r="C336" s="21">
        <f t="shared" si="46"/>
        <v>1</v>
      </c>
      <c r="D336" s="635"/>
      <c r="E336" s="21">
        <f t="shared" si="47"/>
        <v>1</v>
      </c>
      <c r="F336" s="635"/>
      <c r="G336" s="21">
        <f t="shared" si="48"/>
        <v>1</v>
      </c>
      <c r="H336" s="635"/>
      <c r="I336" s="21">
        <f t="shared" si="49"/>
        <v>1</v>
      </c>
      <c r="J336" s="635"/>
      <c r="K336" s="21">
        <f t="shared" si="50"/>
        <v>1</v>
      </c>
      <c r="L336" s="635"/>
      <c r="M336" s="21">
        <f t="shared" si="51"/>
        <v>1</v>
      </c>
      <c r="N336" s="635"/>
      <c r="O336" s="21">
        <f t="shared" si="52"/>
        <v>1</v>
      </c>
      <c r="P336" s="635"/>
      <c r="Q336" s="21">
        <f t="shared" si="53"/>
        <v>1</v>
      </c>
      <c r="R336" s="21">
        <f t="shared" si="54"/>
        <v>0</v>
      </c>
      <c r="S336" s="308">
        <f t="shared" si="45"/>
        <v>0</v>
      </c>
    </row>
    <row r="337" spans="1:19">
      <c r="A337" s="142"/>
      <c r="B337" s="52"/>
      <c r="C337" s="21">
        <f t="shared" si="46"/>
        <v>1</v>
      </c>
      <c r="D337" s="635"/>
      <c r="E337" s="21">
        <f t="shared" si="47"/>
        <v>1</v>
      </c>
      <c r="F337" s="635"/>
      <c r="G337" s="21">
        <f t="shared" si="48"/>
        <v>1</v>
      </c>
      <c r="H337" s="635"/>
      <c r="I337" s="21">
        <f t="shared" si="49"/>
        <v>1</v>
      </c>
      <c r="J337" s="635"/>
      <c r="K337" s="21">
        <f t="shared" si="50"/>
        <v>1</v>
      </c>
      <c r="L337" s="635"/>
      <c r="M337" s="21">
        <f t="shared" si="51"/>
        <v>1</v>
      </c>
      <c r="N337" s="635"/>
      <c r="O337" s="21">
        <f t="shared" si="52"/>
        <v>1</v>
      </c>
      <c r="P337" s="635"/>
      <c r="Q337" s="21">
        <f t="shared" si="53"/>
        <v>1</v>
      </c>
      <c r="R337" s="21">
        <f t="shared" si="54"/>
        <v>0</v>
      </c>
      <c r="S337" s="308">
        <f t="shared" si="45"/>
        <v>0</v>
      </c>
    </row>
    <row r="338" spans="1:19">
      <c r="A338" s="142"/>
      <c r="B338" s="52"/>
      <c r="C338" s="21">
        <f t="shared" si="46"/>
        <v>1</v>
      </c>
      <c r="D338" s="635"/>
      <c r="E338" s="21">
        <f t="shared" si="47"/>
        <v>1</v>
      </c>
      <c r="F338" s="635"/>
      <c r="G338" s="21">
        <f t="shared" si="48"/>
        <v>1</v>
      </c>
      <c r="H338" s="635"/>
      <c r="I338" s="21">
        <f t="shared" si="49"/>
        <v>1</v>
      </c>
      <c r="J338" s="635"/>
      <c r="K338" s="21">
        <f t="shared" si="50"/>
        <v>1</v>
      </c>
      <c r="L338" s="635"/>
      <c r="M338" s="21">
        <f t="shared" si="51"/>
        <v>1</v>
      </c>
      <c r="N338" s="635"/>
      <c r="O338" s="21">
        <f t="shared" si="52"/>
        <v>1</v>
      </c>
      <c r="P338" s="635"/>
      <c r="Q338" s="21">
        <f t="shared" si="53"/>
        <v>1</v>
      </c>
      <c r="R338" s="21">
        <f t="shared" si="54"/>
        <v>0</v>
      </c>
      <c r="S338" s="308">
        <f t="shared" si="45"/>
        <v>0</v>
      </c>
    </row>
    <row r="339" spans="1:19">
      <c r="A339" s="142"/>
      <c r="B339" s="52"/>
      <c r="C339" s="21">
        <f t="shared" si="46"/>
        <v>1</v>
      </c>
      <c r="D339" s="635"/>
      <c r="E339" s="21">
        <f t="shared" si="47"/>
        <v>1</v>
      </c>
      <c r="F339" s="635"/>
      <c r="G339" s="21">
        <f t="shared" si="48"/>
        <v>1</v>
      </c>
      <c r="H339" s="635"/>
      <c r="I339" s="21">
        <f t="shared" si="49"/>
        <v>1</v>
      </c>
      <c r="J339" s="635"/>
      <c r="K339" s="21">
        <f t="shared" si="50"/>
        <v>1</v>
      </c>
      <c r="L339" s="635"/>
      <c r="M339" s="21">
        <f t="shared" si="51"/>
        <v>1</v>
      </c>
      <c r="N339" s="635"/>
      <c r="O339" s="21">
        <f t="shared" si="52"/>
        <v>1</v>
      </c>
      <c r="P339" s="635"/>
      <c r="Q339" s="21">
        <f t="shared" si="53"/>
        <v>1</v>
      </c>
      <c r="R339" s="21">
        <f t="shared" si="54"/>
        <v>0</v>
      </c>
      <c r="S339" s="308">
        <f t="shared" si="45"/>
        <v>0</v>
      </c>
    </row>
    <row r="340" spans="1:19">
      <c r="A340" s="142"/>
      <c r="B340" s="52"/>
      <c r="C340" s="21">
        <f t="shared" si="46"/>
        <v>1</v>
      </c>
      <c r="D340" s="635"/>
      <c r="E340" s="21">
        <f t="shared" si="47"/>
        <v>1</v>
      </c>
      <c r="F340" s="635"/>
      <c r="G340" s="21">
        <f t="shared" si="48"/>
        <v>1</v>
      </c>
      <c r="H340" s="635"/>
      <c r="I340" s="21">
        <f t="shared" si="49"/>
        <v>1</v>
      </c>
      <c r="J340" s="635"/>
      <c r="K340" s="21">
        <f t="shared" si="50"/>
        <v>1</v>
      </c>
      <c r="L340" s="635"/>
      <c r="M340" s="21">
        <f t="shared" si="51"/>
        <v>1</v>
      </c>
      <c r="N340" s="635"/>
      <c r="O340" s="21">
        <f t="shared" si="52"/>
        <v>1</v>
      </c>
      <c r="P340" s="635"/>
      <c r="Q340" s="21">
        <f t="shared" si="53"/>
        <v>1</v>
      </c>
      <c r="R340" s="21">
        <f t="shared" si="54"/>
        <v>0</v>
      </c>
      <c r="S340" s="308">
        <f t="shared" si="45"/>
        <v>0</v>
      </c>
    </row>
    <row r="341" spans="1:19">
      <c r="A341" s="142"/>
      <c r="B341" s="52"/>
      <c r="C341" s="21">
        <f t="shared" si="46"/>
        <v>1</v>
      </c>
      <c r="D341" s="635"/>
      <c r="E341" s="21">
        <f t="shared" si="47"/>
        <v>1</v>
      </c>
      <c r="F341" s="635"/>
      <c r="G341" s="21">
        <f t="shared" si="48"/>
        <v>1</v>
      </c>
      <c r="H341" s="635"/>
      <c r="I341" s="21">
        <f t="shared" si="49"/>
        <v>1</v>
      </c>
      <c r="J341" s="635"/>
      <c r="K341" s="21">
        <f t="shared" si="50"/>
        <v>1</v>
      </c>
      <c r="L341" s="635"/>
      <c r="M341" s="21">
        <f t="shared" si="51"/>
        <v>1</v>
      </c>
      <c r="N341" s="635"/>
      <c r="O341" s="21">
        <f t="shared" si="52"/>
        <v>1</v>
      </c>
      <c r="P341" s="635"/>
      <c r="Q341" s="21">
        <f t="shared" si="53"/>
        <v>1</v>
      </c>
      <c r="R341" s="21">
        <f t="shared" si="54"/>
        <v>0</v>
      </c>
      <c r="S341" s="308">
        <f t="shared" si="45"/>
        <v>0</v>
      </c>
    </row>
    <row r="342" spans="1:19">
      <c r="A342" s="142"/>
      <c r="B342" s="52"/>
      <c r="C342" s="21">
        <f t="shared" si="46"/>
        <v>1</v>
      </c>
      <c r="D342" s="635"/>
      <c r="E342" s="21">
        <f t="shared" si="47"/>
        <v>1</v>
      </c>
      <c r="F342" s="635"/>
      <c r="G342" s="21">
        <f t="shared" si="48"/>
        <v>1</v>
      </c>
      <c r="H342" s="635"/>
      <c r="I342" s="21">
        <f t="shared" si="49"/>
        <v>1</v>
      </c>
      <c r="J342" s="635"/>
      <c r="K342" s="21">
        <f t="shared" si="50"/>
        <v>1</v>
      </c>
      <c r="L342" s="635"/>
      <c r="M342" s="21">
        <f t="shared" si="51"/>
        <v>1</v>
      </c>
      <c r="N342" s="635"/>
      <c r="O342" s="21">
        <f t="shared" si="52"/>
        <v>1</v>
      </c>
      <c r="P342" s="635"/>
      <c r="Q342" s="21">
        <f t="shared" si="53"/>
        <v>1</v>
      </c>
      <c r="R342" s="21">
        <f t="shared" si="54"/>
        <v>0</v>
      </c>
      <c r="S342" s="308">
        <f t="shared" si="45"/>
        <v>0</v>
      </c>
    </row>
    <row r="343" spans="1:19">
      <c r="A343" s="142"/>
      <c r="B343" s="52"/>
      <c r="C343" s="21">
        <f t="shared" si="46"/>
        <v>1</v>
      </c>
      <c r="D343" s="635"/>
      <c r="E343" s="21">
        <f t="shared" si="47"/>
        <v>1</v>
      </c>
      <c r="F343" s="635"/>
      <c r="G343" s="21">
        <f t="shared" si="48"/>
        <v>1</v>
      </c>
      <c r="H343" s="635"/>
      <c r="I343" s="21">
        <f t="shared" si="49"/>
        <v>1</v>
      </c>
      <c r="J343" s="635"/>
      <c r="K343" s="21">
        <f t="shared" si="50"/>
        <v>1</v>
      </c>
      <c r="L343" s="635"/>
      <c r="M343" s="21">
        <f t="shared" si="51"/>
        <v>1</v>
      </c>
      <c r="N343" s="635"/>
      <c r="O343" s="21">
        <f t="shared" si="52"/>
        <v>1</v>
      </c>
      <c r="P343" s="635"/>
      <c r="Q343" s="21">
        <f t="shared" si="53"/>
        <v>1</v>
      </c>
      <c r="R343" s="21">
        <f t="shared" si="54"/>
        <v>0</v>
      </c>
      <c r="S343" s="308">
        <f t="shared" si="45"/>
        <v>0</v>
      </c>
    </row>
    <row r="344" spans="1:19">
      <c r="A344" s="142"/>
      <c r="B344" s="52"/>
      <c r="C344" s="21">
        <f t="shared" si="46"/>
        <v>1</v>
      </c>
      <c r="D344" s="635"/>
      <c r="E344" s="21">
        <f t="shared" si="47"/>
        <v>1</v>
      </c>
      <c r="F344" s="635"/>
      <c r="G344" s="21">
        <f t="shared" si="48"/>
        <v>1</v>
      </c>
      <c r="H344" s="635"/>
      <c r="I344" s="21">
        <f t="shared" si="49"/>
        <v>1</v>
      </c>
      <c r="J344" s="635"/>
      <c r="K344" s="21">
        <f t="shared" si="50"/>
        <v>1</v>
      </c>
      <c r="L344" s="635"/>
      <c r="M344" s="21">
        <f t="shared" si="51"/>
        <v>1</v>
      </c>
      <c r="N344" s="635"/>
      <c r="O344" s="21">
        <f t="shared" si="52"/>
        <v>1</v>
      </c>
      <c r="P344" s="635"/>
      <c r="Q344" s="21">
        <f t="shared" si="53"/>
        <v>1</v>
      </c>
      <c r="R344" s="21">
        <f t="shared" si="54"/>
        <v>0</v>
      </c>
      <c r="S344" s="308">
        <f t="shared" ref="S344:S407" si="55">ROUND(R344*B344/10000,0)</f>
        <v>0</v>
      </c>
    </row>
    <row r="345" spans="1:19">
      <c r="A345" s="142"/>
      <c r="B345" s="52"/>
      <c r="C345" s="21">
        <f t="shared" si="46"/>
        <v>1</v>
      </c>
      <c r="D345" s="635"/>
      <c r="E345" s="21">
        <f t="shared" si="47"/>
        <v>1</v>
      </c>
      <c r="F345" s="635"/>
      <c r="G345" s="21">
        <f t="shared" si="48"/>
        <v>1</v>
      </c>
      <c r="H345" s="635"/>
      <c r="I345" s="21">
        <f t="shared" si="49"/>
        <v>1</v>
      </c>
      <c r="J345" s="635"/>
      <c r="K345" s="21">
        <f t="shared" si="50"/>
        <v>1</v>
      </c>
      <c r="L345" s="635"/>
      <c r="M345" s="21">
        <f t="shared" si="51"/>
        <v>1</v>
      </c>
      <c r="N345" s="635"/>
      <c r="O345" s="21">
        <f t="shared" si="52"/>
        <v>1</v>
      </c>
      <c r="P345" s="635"/>
      <c r="Q345" s="21">
        <f t="shared" si="53"/>
        <v>1</v>
      </c>
      <c r="R345" s="21">
        <f t="shared" si="54"/>
        <v>0</v>
      </c>
      <c r="S345" s="308">
        <f t="shared" si="55"/>
        <v>0</v>
      </c>
    </row>
    <row r="346" spans="1:19">
      <c r="A346" s="142"/>
      <c r="B346" s="52"/>
      <c r="C346" s="21">
        <f t="shared" ref="C346:C409" si="56">IF(B346="",1,(LOOKUP(B346,$3:$3,$4:$4)-LOOKUP($B$24,$3:$3,$4:$4)+100)/100)</f>
        <v>1</v>
      </c>
      <c r="D346" s="635"/>
      <c r="E346" s="21">
        <f t="shared" ref="E346:E409" si="57">(SUMIF($5:$5,D346,$6:$6)-SUMIF($5:$5,$D$24,$6:$6)+100)/100</f>
        <v>1</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1</v>
      </c>
      <c r="R346" s="21">
        <f t="shared" ref="R346:R409" si="64">IF(B346="",0,ROUND($R$24*C346*E346*G346*I346*K346*M346*O346*Q346,0))</f>
        <v>0</v>
      </c>
      <c r="S346" s="308">
        <f t="shared" si="55"/>
        <v>0</v>
      </c>
    </row>
    <row r="347" spans="1:19">
      <c r="A347" s="142"/>
      <c r="B347" s="52"/>
      <c r="C347" s="21">
        <f t="shared" si="56"/>
        <v>1</v>
      </c>
      <c r="D347" s="635"/>
      <c r="E347" s="21">
        <f t="shared" si="57"/>
        <v>1</v>
      </c>
      <c r="F347" s="635"/>
      <c r="G347" s="21">
        <f t="shared" si="58"/>
        <v>1</v>
      </c>
      <c r="H347" s="635"/>
      <c r="I347" s="21">
        <f t="shared" si="59"/>
        <v>1</v>
      </c>
      <c r="J347" s="635"/>
      <c r="K347" s="21">
        <f t="shared" si="60"/>
        <v>1</v>
      </c>
      <c r="L347" s="635"/>
      <c r="M347" s="21">
        <f t="shared" si="61"/>
        <v>1</v>
      </c>
      <c r="N347" s="635"/>
      <c r="O347" s="21">
        <f t="shared" si="62"/>
        <v>1</v>
      </c>
      <c r="P347" s="635"/>
      <c r="Q347" s="21">
        <f t="shared" si="63"/>
        <v>1</v>
      </c>
      <c r="R347" s="21">
        <f t="shared" si="64"/>
        <v>0</v>
      </c>
      <c r="S347" s="308">
        <f t="shared" si="55"/>
        <v>0</v>
      </c>
    </row>
    <row r="348" spans="1:19">
      <c r="A348" s="142"/>
      <c r="B348" s="52"/>
      <c r="C348" s="21">
        <f t="shared" si="56"/>
        <v>1</v>
      </c>
      <c r="D348" s="635"/>
      <c r="E348" s="21">
        <f t="shared" si="57"/>
        <v>1</v>
      </c>
      <c r="F348" s="635"/>
      <c r="G348" s="21">
        <f t="shared" si="58"/>
        <v>1</v>
      </c>
      <c r="H348" s="635"/>
      <c r="I348" s="21">
        <f t="shared" si="59"/>
        <v>1</v>
      </c>
      <c r="J348" s="635"/>
      <c r="K348" s="21">
        <f t="shared" si="60"/>
        <v>1</v>
      </c>
      <c r="L348" s="635"/>
      <c r="M348" s="21">
        <f t="shared" si="61"/>
        <v>1</v>
      </c>
      <c r="N348" s="635"/>
      <c r="O348" s="21">
        <f t="shared" si="62"/>
        <v>1</v>
      </c>
      <c r="P348" s="635"/>
      <c r="Q348" s="21">
        <f t="shared" si="63"/>
        <v>1</v>
      </c>
      <c r="R348" s="21">
        <f t="shared" si="64"/>
        <v>0</v>
      </c>
      <c r="S348" s="308">
        <f t="shared" si="55"/>
        <v>0</v>
      </c>
    </row>
    <row r="349" spans="1:19">
      <c r="A349" s="142"/>
      <c r="B349" s="52"/>
      <c r="C349" s="21">
        <f t="shared" si="56"/>
        <v>1</v>
      </c>
      <c r="D349" s="635"/>
      <c r="E349" s="21">
        <f t="shared" si="57"/>
        <v>1</v>
      </c>
      <c r="F349" s="635"/>
      <c r="G349" s="21">
        <f t="shared" si="58"/>
        <v>1</v>
      </c>
      <c r="H349" s="635"/>
      <c r="I349" s="21">
        <f t="shared" si="59"/>
        <v>1</v>
      </c>
      <c r="J349" s="635"/>
      <c r="K349" s="21">
        <f t="shared" si="60"/>
        <v>1</v>
      </c>
      <c r="L349" s="635"/>
      <c r="M349" s="21">
        <f t="shared" si="61"/>
        <v>1</v>
      </c>
      <c r="N349" s="635"/>
      <c r="O349" s="21">
        <f t="shared" si="62"/>
        <v>1</v>
      </c>
      <c r="P349" s="635"/>
      <c r="Q349" s="21">
        <f t="shared" si="63"/>
        <v>1</v>
      </c>
      <c r="R349" s="21">
        <f t="shared" si="64"/>
        <v>0</v>
      </c>
      <c r="S349" s="308">
        <f t="shared" si="55"/>
        <v>0</v>
      </c>
    </row>
    <row r="350" spans="1:19">
      <c r="A350" s="142"/>
      <c r="B350" s="52"/>
      <c r="C350" s="21">
        <f t="shared" si="56"/>
        <v>1</v>
      </c>
      <c r="D350" s="635"/>
      <c r="E350" s="21">
        <f t="shared" si="57"/>
        <v>1</v>
      </c>
      <c r="F350" s="635"/>
      <c r="G350" s="21">
        <f t="shared" si="58"/>
        <v>1</v>
      </c>
      <c r="H350" s="635"/>
      <c r="I350" s="21">
        <f t="shared" si="59"/>
        <v>1</v>
      </c>
      <c r="J350" s="635"/>
      <c r="K350" s="21">
        <f t="shared" si="60"/>
        <v>1</v>
      </c>
      <c r="L350" s="635"/>
      <c r="M350" s="21">
        <f t="shared" si="61"/>
        <v>1</v>
      </c>
      <c r="N350" s="635"/>
      <c r="O350" s="21">
        <f t="shared" si="62"/>
        <v>1</v>
      </c>
      <c r="P350" s="635"/>
      <c r="Q350" s="21">
        <f t="shared" si="63"/>
        <v>1</v>
      </c>
      <c r="R350" s="21">
        <f t="shared" si="64"/>
        <v>0</v>
      </c>
      <c r="S350" s="308">
        <f t="shared" si="55"/>
        <v>0</v>
      </c>
    </row>
    <row r="351" spans="1:19">
      <c r="A351" s="142"/>
      <c r="B351" s="52"/>
      <c r="C351" s="21">
        <f t="shared" si="56"/>
        <v>1</v>
      </c>
      <c r="D351" s="635"/>
      <c r="E351" s="21">
        <f t="shared" si="57"/>
        <v>1</v>
      </c>
      <c r="F351" s="635"/>
      <c r="G351" s="21">
        <f t="shared" si="58"/>
        <v>1</v>
      </c>
      <c r="H351" s="635"/>
      <c r="I351" s="21">
        <f t="shared" si="59"/>
        <v>1</v>
      </c>
      <c r="J351" s="635"/>
      <c r="K351" s="21">
        <f t="shared" si="60"/>
        <v>1</v>
      </c>
      <c r="L351" s="635"/>
      <c r="M351" s="21">
        <f t="shared" si="61"/>
        <v>1</v>
      </c>
      <c r="N351" s="635"/>
      <c r="O351" s="21">
        <f t="shared" si="62"/>
        <v>1</v>
      </c>
      <c r="P351" s="635"/>
      <c r="Q351" s="21">
        <f t="shared" si="63"/>
        <v>1</v>
      </c>
      <c r="R351" s="21">
        <f t="shared" si="64"/>
        <v>0</v>
      </c>
      <c r="S351" s="308">
        <f t="shared" si="55"/>
        <v>0</v>
      </c>
    </row>
    <row r="352" spans="1:19">
      <c r="A352" s="142"/>
      <c r="B352" s="52"/>
      <c r="C352" s="21">
        <f t="shared" si="56"/>
        <v>1</v>
      </c>
      <c r="D352" s="635"/>
      <c r="E352" s="21">
        <f t="shared" si="57"/>
        <v>1</v>
      </c>
      <c r="F352" s="635"/>
      <c r="G352" s="21">
        <f t="shared" si="58"/>
        <v>1</v>
      </c>
      <c r="H352" s="635"/>
      <c r="I352" s="21">
        <f t="shared" si="59"/>
        <v>1</v>
      </c>
      <c r="J352" s="635"/>
      <c r="K352" s="21">
        <f t="shared" si="60"/>
        <v>1</v>
      </c>
      <c r="L352" s="635"/>
      <c r="M352" s="21">
        <f t="shared" si="61"/>
        <v>1</v>
      </c>
      <c r="N352" s="635"/>
      <c r="O352" s="21">
        <f t="shared" si="62"/>
        <v>1</v>
      </c>
      <c r="P352" s="635"/>
      <c r="Q352" s="21">
        <f t="shared" si="63"/>
        <v>1</v>
      </c>
      <c r="R352" s="21">
        <f t="shared" si="64"/>
        <v>0</v>
      </c>
      <c r="S352" s="308">
        <f t="shared" si="55"/>
        <v>0</v>
      </c>
    </row>
    <row r="353" spans="1:19">
      <c r="A353" s="142"/>
      <c r="B353" s="52"/>
      <c r="C353" s="21">
        <f t="shared" si="56"/>
        <v>1</v>
      </c>
      <c r="D353" s="635"/>
      <c r="E353" s="21">
        <f t="shared" si="57"/>
        <v>1</v>
      </c>
      <c r="F353" s="635"/>
      <c r="G353" s="21">
        <f t="shared" si="58"/>
        <v>1</v>
      </c>
      <c r="H353" s="635"/>
      <c r="I353" s="21">
        <f t="shared" si="59"/>
        <v>1</v>
      </c>
      <c r="J353" s="635"/>
      <c r="K353" s="21">
        <f t="shared" si="60"/>
        <v>1</v>
      </c>
      <c r="L353" s="635"/>
      <c r="M353" s="21">
        <f t="shared" si="61"/>
        <v>1</v>
      </c>
      <c r="N353" s="635"/>
      <c r="O353" s="21">
        <f t="shared" si="62"/>
        <v>1</v>
      </c>
      <c r="P353" s="635"/>
      <c r="Q353" s="21">
        <f t="shared" si="63"/>
        <v>1</v>
      </c>
      <c r="R353" s="21">
        <f t="shared" si="64"/>
        <v>0</v>
      </c>
      <c r="S353" s="308">
        <f t="shared" si="55"/>
        <v>0</v>
      </c>
    </row>
    <row r="354" spans="1:19">
      <c r="A354" s="142"/>
      <c r="B354" s="52"/>
      <c r="C354" s="21">
        <f t="shared" si="56"/>
        <v>1</v>
      </c>
      <c r="D354" s="635"/>
      <c r="E354" s="21">
        <f t="shared" si="57"/>
        <v>1</v>
      </c>
      <c r="F354" s="635"/>
      <c r="G354" s="21">
        <f t="shared" si="58"/>
        <v>1</v>
      </c>
      <c r="H354" s="635"/>
      <c r="I354" s="21">
        <f t="shared" si="59"/>
        <v>1</v>
      </c>
      <c r="J354" s="635"/>
      <c r="K354" s="21">
        <f t="shared" si="60"/>
        <v>1</v>
      </c>
      <c r="L354" s="635"/>
      <c r="M354" s="21">
        <f t="shared" si="61"/>
        <v>1</v>
      </c>
      <c r="N354" s="635"/>
      <c r="O354" s="21">
        <f t="shared" si="62"/>
        <v>1</v>
      </c>
      <c r="P354" s="635"/>
      <c r="Q354" s="21">
        <f t="shared" si="63"/>
        <v>1</v>
      </c>
      <c r="R354" s="21">
        <f t="shared" si="64"/>
        <v>0</v>
      </c>
      <c r="S354" s="308">
        <f t="shared" si="55"/>
        <v>0</v>
      </c>
    </row>
    <row r="355" spans="1:19">
      <c r="A355" s="142"/>
      <c r="B355" s="52"/>
      <c r="C355" s="21">
        <f t="shared" si="56"/>
        <v>1</v>
      </c>
      <c r="D355" s="635"/>
      <c r="E355" s="21">
        <f t="shared" si="57"/>
        <v>1</v>
      </c>
      <c r="F355" s="635"/>
      <c r="G355" s="21">
        <f t="shared" si="58"/>
        <v>1</v>
      </c>
      <c r="H355" s="635"/>
      <c r="I355" s="21">
        <f t="shared" si="59"/>
        <v>1</v>
      </c>
      <c r="J355" s="635"/>
      <c r="K355" s="21">
        <f t="shared" si="60"/>
        <v>1</v>
      </c>
      <c r="L355" s="635"/>
      <c r="M355" s="21">
        <f t="shared" si="61"/>
        <v>1</v>
      </c>
      <c r="N355" s="635"/>
      <c r="O355" s="21">
        <f t="shared" si="62"/>
        <v>1</v>
      </c>
      <c r="P355" s="635"/>
      <c r="Q355" s="21">
        <f t="shared" si="63"/>
        <v>1</v>
      </c>
      <c r="R355" s="21">
        <f t="shared" si="64"/>
        <v>0</v>
      </c>
      <c r="S355" s="308">
        <f t="shared" si="55"/>
        <v>0</v>
      </c>
    </row>
    <row r="356" spans="1:19">
      <c r="A356" s="142"/>
      <c r="B356" s="52"/>
      <c r="C356" s="21">
        <f t="shared" si="56"/>
        <v>1</v>
      </c>
      <c r="D356" s="635"/>
      <c r="E356" s="21">
        <f t="shared" si="57"/>
        <v>1</v>
      </c>
      <c r="F356" s="635"/>
      <c r="G356" s="21">
        <f t="shared" si="58"/>
        <v>1</v>
      </c>
      <c r="H356" s="635"/>
      <c r="I356" s="21">
        <f t="shared" si="59"/>
        <v>1</v>
      </c>
      <c r="J356" s="635"/>
      <c r="K356" s="21">
        <f t="shared" si="60"/>
        <v>1</v>
      </c>
      <c r="L356" s="635"/>
      <c r="M356" s="21">
        <f t="shared" si="61"/>
        <v>1</v>
      </c>
      <c r="N356" s="635"/>
      <c r="O356" s="21">
        <f t="shared" si="62"/>
        <v>1</v>
      </c>
      <c r="P356" s="635"/>
      <c r="Q356" s="21">
        <f t="shared" si="63"/>
        <v>1</v>
      </c>
      <c r="R356" s="21">
        <f t="shared" si="64"/>
        <v>0</v>
      </c>
      <c r="S356" s="308">
        <f t="shared" si="55"/>
        <v>0</v>
      </c>
    </row>
    <row r="357" spans="1:19">
      <c r="A357" s="142"/>
      <c r="B357" s="52"/>
      <c r="C357" s="21">
        <f t="shared" si="56"/>
        <v>1</v>
      </c>
      <c r="D357" s="635"/>
      <c r="E357" s="21">
        <f t="shared" si="57"/>
        <v>1</v>
      </c>
      <c r="F357" s="635"/>
      <c r="G357" s="21">
        <f t="shared" si="58"/>
        <v>1</v>
      </c>
      <c r="H357" s="635"/>
      <c r="I357" s="21">
        <f t="shared" si="59"/>
        <v>1</v>
      </c>
      <c r="J357" s="635"/>
      <c r="K357" s="21">
        <f t="shared" si="60"/>
        <v>1</v>
      </c>
      <c r="L357" s="635"/>
      <c r="M357" s="21">
        <f t="shared" si="61"/>
        <v>1</v>
      </c>
      <c r="N357" s="635"/>
      <c r="O357" s="21">
        <f t="shared" si="62"/>
        <v>1</v>
      </c>
      <c r="P357" s="635"/>
      <c r="Q357" s="21">
        <f t="shared" si="63"/>
        <v>1</v>
      </c>
      <c r="R357" s="21">
        <f t="shared" si="64"/>
        <v>0</v>
      </c>
      <c r="S357" s="308">
        <f t="shared" si="55"/>
        <v>0</v>
      </c>
    </row>
    <row r="358" spans="1:19">
      <c r="A358" s="142"/>
      <c r="B358" s="52"/>
      <c r="C358" s="21">
        <f t="shared" si="56"/>
        <v>1</v>
      </c>
      <c r="D358" s="635"/>
      <c r="E358" s="21">
        <f t="shared" si="57"/>
        <v>1</v>
      </c>
      <c r="F358" s="635"/>
      <c r="G358" s="21">
        <f t="shared" si="58"/>
        <v>1</v>
      </c>
      <c r="H358" s="635"/>
      <c r="I358" s="21">
        <f t="shared" si="59"/>
        <v>1</v>
      </c>
      <c r="J358" s="635"/>
      <c r="K358" s="21">
        <f t="shared" si="60"/>
        <v>1</v>
      </c>
      <c r="L358" s="635"/>
      <c r="M358" s="21">
        <f t="shared" si="61"/>
        <v>1</v>
      </c>
      <c r="N358" s="635"/>
      <c r="O358" s="21">
        <f t="shared" si="62"/>
        <v>1</v>
      </c>
      <c r="P358" s="635"/>
      <c r="Q358" s="21">
        <f t="shared" si="63"/>
        <v>1</v>
      </c>
      <c r="R358" s="21">
        <f t="shared" si="64"/>
        <v>0</v>
      </c>
      <c r="S358" s="308">
        <f t="shared" si="55"/>
        <v>0</v>
      </c>
    </row>
    <row r="359" spans="1:19">
      <c r="A359" s="142"/>
      <c r="B359" s="52"/>
      <c r="C359" s="21">
        <f t="shared" si="56"/>
        <v>1</v>
      </c>
      <c r="D359" s="635"/>
      <c r="E359" s="21">
        <f t="shared" si="57"/>
        <v>1</v>
      </c>
      <c r="F359" s="635"/>
      <c r="G359" s="21">
        <f t="shared" si="58"/>
        <v>1</v>
      </c>
      <c r="H359" s="635"/>
      <c r="I359" s="21">
        <f t="shared" si="59"/>
        <v>1</v>
      </c>
      <c r="J359" s="635"/>
      <c r="K359" s="21">
        <f t="shared" si="60"/>
        <v>1</v>
      </c>
      <c r="L359" s="635"/>
      <c r="M359" s="21">
        <f t="shared" si="61"/>
        <v>1</v>
      </c>
      <c r="N359" s="635"/>
      <c r="O359" s="21">
        <f t="shared" si="62"/>
        <v>1</v>
      </c>
      <c r="P359" s="635"/>
      <c r="Q359" s="21">
        <f t="shared" si="63"/>
        <v>1</v>
      </c>
      <c r="R359" s="21">
        <f t="shared" si="64"/>
        <v>0</v>
      </c>
      <c r="S359" s="308">
        <f t="shared" si="55"/>
        <v>0</v>
      </c>
    </row>
    <row r="360" spans="1:19">
      <c r="A360" s="142"/>
      <c r="B360" s="52"/>
      <c r="C360" s="21">
        <f t="shared" si="56"/>
        <v>1</v>
      </c>
      <c r="D360" s="635"/>
      <c r="E360" s="21">
        <f t="shared" si="57"/>
        <v>1</v>
      </c>
      <c r="F360" s="635"/>
      <c r="G360" s="21">
        <f t="shared" si="58"/>
        <v>1</v>
      </c>
      <c r="H360" s="635"/>
      <c r="I360" s="21">
        <f t="shared" si="59"/>
        <v>1</v>
      </c>
      <c r="J360" s="635"/>
      <c r="K360" s="21">
        <f t="shared" si="60"/>
        <v>1</v>
      </c>
      <c r="L360" s="635"/>
      <c r="M360" s="21">
        <f t="shared" si="61"/>
        <v>1</v>
      </c>
      <c r="N360" s="635"/>
      <c r="O360" s="21">
        <f t="shared" si="62"/>
        <v>1</v>
      </c>
      <c r="P360" s="635"/>
      <c r="Q360" s="21">
        <f t="shared" si="63"/>
        <v>1</v>
      </c>
      <c r="R360" s="21">
        <f t="shared" si="64"/>
        <v>0</v>
      </c>
      <c r="S360" s="308">
        <f t="shared" si="55"/>
        <v>0</v>
      </c>
    </row>
    <row r="361" spans="1:19">
      <c r="A361" s="142"/>
      <c r="B361" s="52"/>
      <c r="C361" s="21">
        <f t="shared" si="56"/>
        <v>1</v>
      </c>
      <c r="D361" s="635"/>
      <c r="E361" s="21">
        <f t="shared" si="57"/>
        <v>1</v>
      </c>
      <c r="F361" s="635"/>
      <c r="G361" s="21">
        <f t="shared" si="58"/>
        <v>1</v>
      </c>
      <c r="H361" s="635"/>
      <c r="I361" s="21">
        <f t="shared" si="59"/>
        <v>1</v>
      </c>
      <c r="J361" s="635"/>
      <c r="K361" s="21">
        <f t="shared" si="60"/>
        <v>1</v>
      </c>
      <c r="L361" s="635"/>
      <c r="M361" s="21">
        <f t="shared" si="61"/>
        <v>1</v>
      </c>
      <c r="N361" s="635"/>
      <c r="O361" s="21">
        <f t="shared" si="62"/>
        <v>1</v>
      </c>
      <c r="P361" s="635"/>
      <c r="Q361" s="21">
        <f t="shared" si="63"/>
        <v>1</v>
      </c>
      <c r="R361" s="21">
        <f t="shared" si="64"/>
        <v>0</v>
      </c>
      <c r="S361" s="308">
        <f t="shared" si="55"/>
        <v>0</v>
      </c>
    </row>
    <row r="362" spans="1:19">
      <c r="A362" s="142"/>
      <c r="B362" s="52"/>
      <c r="C362" s="21">
        <f t="shared" si="56"/>
        <v>1</v>
      </c>
      <c r="D362" s="635"/>
      <c r="E362" s="21">
        <f t="shared" si="57"/>
        <v>1</v>
      </c>
      <c r="F362" s="635"/>
      <c r="G362" s="21">
        <f t="shared" si="58"/>
        <v>1</v>
      </c>
      <c r="H362" s="635"/>
      <c r="I362" s="21">
        <f t="shared" si="59"/>
        <v>1</v>
      </c>
      <c r="J362" s="635"/>
      <c r="K362" s="21">
        <f t="shared" si="60"/>
        <v>1</v>
      </c>
      <c r="L362" s="635"/>
      <c r="M362" s="21">
        <f t="shared" si="61"/>
        <v>1</v>
      </c>
      <c r="N362" s="635"/>
      <c r="O362" s="21">
        <f t="shared" si="62"/>
        <v>1</v>
      </c>
      <c r="P362" s="635"/>
      <c r="Q362" s="21">
        <f t="shared" si="63"/>
        <v>1</v>
      </c>
      <c r="R362" s="21">
        <f t="shared" si="64"/>
        <v>0</v>
      </c>
      <c r="S362" s="308">
        <f t="shared" si="55"/>
        <v>0</v>
      </c>
    </row>
    <row r="363" spans="1:19">
      <c r="A363" s="142"/>
      <c r="B363" s="52"/>
      <c r="C363" s="21">
        <f t="shared" si="56"/>
        <v>1</v>
      </c>
      <c r="D363" s="635"/>
      <c r="E363" s="21">
        <f t="shared" si="57"/>
        <v>1</v>
      </c>
      <c r="F363" s="635"/>
      <c r="G363" s="21">
        <f t="shared" si="58"/>
        <v>1</v>
      </c>
      <c r="H363" s="635"/>
      <c r="I363" s="21">
        <f t="shared" si="59"/>
        <v>1</v>
      </c>
      <c r="J363" s="635"/>
      <c r="K363" s="21">
        <f t="shared" si="60"/>
        <v>1</v>
      </c>
      <c r="L363" s="635"/>
      <c r="M363" s="21">
        <f t="shared" si="61"/>
        <v>1</v>
      </c>
      <c r="N363" s="635"/>
      <c r="O363" s="21">
        <f t="shared" si="62"/>
        <v>1</v>
      </c>
      <c r="P363" s="635"/>
      <c r="Q363" s="21">
        <f t="shared" si="63"/>
        <v>1</v>
      </c>
      <c r="R363" s="21">
        <f t="shared" si="64"/>
        <v>0</v>
      </c>
      <c r="S363" s="308">
        <f t="shared" si="55"/>
        <v>0</v>
      </c>
    </row>
    <row r="364" spans="1:19">
      <c r="A364" s="142"/>
      <c r="B364" s="52"/>
      <c r="C364" s="21">
        <f t="shared" si="56"/>
        <v>1</v>
      </c>
      <c r="D364" s="635"/>
      <c r="E364" s="21">
        <f t="shared" si="57"/>
        <v>1</v>
      </c>
      <c r="F364" s="635"/>
      <c r="G364" s="21">
        <f t="shared" si="58"/>
        <v>1</v>
      </c>
      <c r="H364" s="635"/>
      <c r="I364" s="21">
        <f t="shared" si="59"/>
        <v>1</v>
      </c>
      <c r="J364" s="635"/>
      <c r="K364" s="21">
        <f t="shared" si="60"/>
        <v>1</v>
      </c>
      <c r="L364" s="635"/>
      <c r="M364" s="21">
        <f t="shared" si="61"/>
        <v>1</v>
      </c>
      <c r="N364" s="635"/>
      <c r="O364" s="21">
        <f t="shared" si="62"/>
        <v>1</v>
      </c>
      <c r="P364" s="635"/>
      <c r="Q364" s="21">
        <f t="shared" si="63"/>
        <v>1</v>
      </c>
      <c r="R364" s="21">
        <f t="shared" si="64"/>
        <v>0</v>
      </c>
      <c r="S364" s="308">
        <f t="shared" si="55"/>
        <v>0</v>
      </c>
    </row>
    <row r="365" spans="1:19">
      <c r="A365" s="142"/>
      <c r="B365" s="52"/>
      <c r="C365" s="21">
        <f t="shared" si="56"/>
        <v>1</v>
      </c>
      <c r="D365" s="635"/>
      <c r="E365" s="21">
        <f t="shared" si="57"/>
        <v>1</v>
      </c>
      <c r="F365" s="635"/>
      <c r="G365" s="21">
        <f t="shared" si="58"/>
        <v>1</v>
      </c>
      <c r="H365" s="635"/>
      <c r="I365" s="21">
        <f t="shared" si="59"/>
        <v>1</v>
      </c>
      <c r="J365" s="635"/>
      <c r="K365" s="21">
        <f t="shared" si="60"/>
        <v>1</v>
      </c>
      <c r="L365" s="635"/>
      <c r="M365" s="21">
        <f t="shared" si="61"/>
        <v>1</v>
      </c>
      <c r="N365" s="635"/>
      <c r="O365" s="21">
        <f t="shared" si="62"/>
        <v>1</v>
      </c>
      <c r="P365" s="635"/>
      <c r="Q365" s="21">
        <f t="shared" si="63"/>
        <v>1</v>
      </c>
      <c r="R365" s="21">
        <f t="shared" si="64"/>
        <v>0</v>
      </c>
      <c r="S365" s="308">
        <f t="shared" si="55"/>
        <v>0</v>
      </c>
    </row>
    <row r="366" spans="1:19">
      <c r="A366" s="142"/>
      <c r="B366" s="52"/>
      <c r="C366" s="21">
        <f t="shared" si="56"/>
        <v>1</v>
      </c>
      <c r="D366" s="635"/>
      <c r="E366" s="21">
        <f t="shared" si="57"/>
        <v>1</v>
      </c>
      <c r="F366" s="635"/>
      <c r="G366" s="21">
        <f t="shared" si="58"/>
        <v>1</v>
      </c>
      <c r="H366" s="635"/>
      <c r="I366" s="21">
        <f t="shared" si="59"/>
        <v>1</v>
      </c>
      <c r="J366" s="635"/>
      <c r="K366" s="21">
        <f t="shared" si="60"/>
        <v>1</v>
      </c>
      <c r="L366" s="635"/>
      <c r="M366" s="21">
        <f t="shared" si="61"/>
        <v>1</v>
      </c>
      <c r="N366" s="635"/>
      <c r="O366" s="21">
        <f t="shared" si="62"/>
        <v>1</v>
      </c>
      <c r="P366" s="635"/>
      <c r="Q366" s="21">
        <f t="shared" si="63"/>
        <v>1</v>
      </c>
      <c r="R366" s="21">
        <f t="shared" si="64"/>
        <v>0</v>
      </c>
      <c r="S366" s="308">
        <f t="shared" si="55"/>
        <v>0</v>
      </c>
    </row>
    <row r="367" spans="1:19">
      <c r="A367" s="142"/>
      <c r="B367" s="52"/>
      <c r="C367" s="21">
        <f t="shared" si="56"/>
        <v>1</v>
      </c>
      <c r="D367" s="635"/>
      <c r="E367" s="21">
        <f t="shared" si="57"/>
        <v>1</v>
      </c>
      <c r="F367" s="635"/>
      <c r="G367" s="21">
        <f t="shared" si="58"/>
        <v>1</v>
      </c>
      <c r="H367" s="635"/>
      <c r="I367" s="21">
        <f t="shared" si="59"/>
        <v>1</v>
      </c>
      <c r="J367" s="635"/>
      <c r="K367" s="21">
        <f t="shared" si="60"/>
        <v>1</v>
      </c>
      <c r="L367" s="635"/>
      <c r="M367" s="21">
        <f t="shared" si="61"/>
        <v>1</v>
      </c>
      <c r="N367" s="635"/>
      <c r="O367" s="21">
        <f t="shared" si="62"/>
        <v>1</v>
      </c>
      <c r="P367" s="635"/>
      <c r="Q367" s="21">
        <f t="shared" si="63"/>
        <v>1</v>
      </c>
      <c r="R367" s="21">
        <f t="shared" si="64"/>
        <v>0</v>
      </c>
      <c r="S367" s="308">
        <f t="shared" si="55"/>
        <v>0</v>
      </c>
    </row>
    <row r="368" spans="1:19">
      <c r="A368" s="142"/>
      <c r="B368" s="52"/>
      <c r="C368" s="21">
        <f t="shared" si="56"/>
        <v>1</v>
      </c>
      <c r="D368" s="635"/>
      <c r="E368" s="21">
        <f t="shared" si="57"/>
        <v>1</v>
      </c>
      <c r="F368" s="635"/>
      <c r="G368" s="21">
        <f t="shared" si="58"/>
        <v>1</v>
      </c>
      <c r="H368" s="635"/>
      <c r="I368" s="21">
        <f t="shared" si="59"/>
        <v>1</v>
      </c>
      <c r="J368" s="635"/>
      <c r="K368" s="21">
        <f t="shared" si="60"/>
        <v>1</v>
      </c>
      <c r="L368" s="635"/>
      <c r="M368" s="21">
        <f t="shared" si="61"/>
        <v>1</v>
      </c>
      <c r="N368" s="635"/>
      <c r="O368" s="21">
        <f t="shared" si="62"/>
        <v>1</v>
      </c>
      <c r="P368" s="635"/>
      <c r="Q368" s="21">
        <f t="shared" si="63"/>
        <v>1</v>
      </c>
      <c r="R368" s="21">
        <f t="shared" si="64"/>
        <v>0</v>
      </c>
      <c r="S368" s="308">
        <f t="shared" si="55"/>
        <v>0</v>
      </c>
    </row>
    <row r="369" spans="1:19">
      <c r="A369" s="142"/>
      <c r="B369" s="52"/>
      <c r="C369" s="21">
        <f t="shared" si="56"/>
        <v>1</v>
      </c>
      <c r="D369" s="635"/>
      <c r="E369" s="21">
        <f t="shared" si="57"/>
        <v>1</v>
      </c>
      <c r="F369" s="635"/>
      <c r="G369" s="21">
        <f t="shared" si="58"/>
        <v>1</v>
      </c>
      <c r="H369" s="635"/>
      <c r="I369" s="21">
        <f t="shared" si="59"/>
        <v>1</v>
      </c>
      <c r="J369" s="635"/>
      <c r="K369" s="21">
        <f t="shared" si="60"/>
        <v>1</v>
      </c>
      <c r="L369" s="635"/>
      <c r="M369" s="21">
        <f t="shared" si="61"/>
        <v>1</v>
      </c>
      <c r="N369" s="635"/>
      <c r="O369" s="21">
        <f t="shared" si="62"/>
        <v>1</v>
      </c>
      <c r="P369" s="635"/>
      <c r="Q369" s="21">
        <f t="shared" si="63"/>
        <v>1</v>
      </c>
      <c r="R369" s="21">
        <f t="shared" si="64"/>
        <v>0</v>
      </c>
      <c r="S369" s="308">
        <f t="shared" si="55"/>
        <v>0</v>
      </c>
    </row>
    <row r="370" spans="1:19">
      <c r="A370" s="142"/>
      <c r="B370" s="52"/>
      <c r="C370" s="21">
        <f t="shared" si="56"/>
        <v>1</v>
      </c>
      <c r="D370" s="635"/>
      <c r="E370" s="21">
        <f t="shared" si="57"/>
        <v>1</v>
      </c>
      <c r="F370" s="635"/>
      <c r="G370" s="21">
        <f t="shared" si="58"/>
        <v>1</v>
      </c>
      <c r="H370" s="635"/>
      <c r="I370" s="21">
        <f t="shared" si="59"/>
        <v>1</v>
      </c>
      <c r="J370" s="635"/>
      <c r="K370" s="21">
        <f t="shared" si="60"/>
        <v>1</v>
      </c>
      <c r="L370" s="635"/>
      <c r="M370" s="21">
        <f t="shared" si="61"/>
        <v>1</v>
      </c>
      <c r="N370" s="635"/>
      <c r="O370" s="21">
        <f t="shared" si="62"/>
        <v>1</v>
      </c>
      <c r="P370" s="635"/>
      <c r="Q370" s="21">
        <f t="shared" si="63"/>
        <v>1</v>
      </c>
      <c r="R370" s="21">
        <f t="shared" si="64"/>
        <v>0</v>
      </c>
      <c r="S370" s="308">
        <f t="shared" si="55"/>
        <v>0</v>
      </c>
    </row>
    <row r="371" spans="1:19">
      <c r="A371" s="142"/>
      <c r="B371" s="52"/>
      <c r="C371" s="21">
        <f t="shared" si="56"/>
        <v>1</v>
      </c>
      <c r="D371" s="635"/>
      <c r="E371" s="21">
        <f t="shared" si="57"/>
        <v>1</v>
      </c>
      <c r="F371" s="635"/>
      <c r="G371" s="21">
        <f t="shared" si="58"/>
        <v>1</v>
      </c>
      <c r="H371" s="635"/>
      <c r="I371" s="21">
        <f t="shared" si="59"/>
        <v>1</v>
      </c>
      <c r="J371" s="635"/>
      <c r="K371" s="21">
        <f t="shared" si="60"/>
        <v>1</v>
      </c>
      <c r="L371" s="635"/>
      <c r="M371" s="21">
        <f t="shared" si="61"/>
        <v>1</v>
      </c>
      <c r="N371" s="635"/>
      <c r="O371" s="21">
        <f t="shared" si="62"/>
        <v>1</v>
      </c>
      <c r="P371" s="635"/>
      <c r="Q371" s="21">
        <f t="shared" si="63"/>
        <v>1</v>
      </c>
      <c r="R371" s="21">
        <f t="shared" si="64"/>
        <v>0</v>
      </c>
      <c r="S371" s="308">
        <f t="shared" si="55"/>
        <v>0</v>
      </c>
    </row>
    <row r="372" spans="1:19">
      <c r="A372" s="142"/>
      <c r="B372" s="52"/>
      <c r="C372" s="21">
        <f t="shared" si="56"/>
        <v>1</v>
      </c>
      <c r="D372" s="635"/>
      <c r="E372" s="21">
        <f t="shared" si="57"/>
        <v>1</v>
      </c>
      <c r="F372" s="635"/>
      <c r="G372" s="21">
        <f t="shared" si="58"/>
        <v>1</v>
      </c>
      <c r="H372" s="635"/>
      <c r="I372" s="21">
        <f t="shared" si="59"/>
        <v>1</v>
      </c>
      <c r="J372" s="635"/>
      <c r="K372" s="21">
        <f t="shared" si="60"/>
        <v>1</v>
      </c>
      <c r="L372" s="635"/>
      <c r="M372" s="21">
        <f t="shared" si="61"/>
        <v>1</v>
      </c>
      <c r="N372" s="635"/>
      <c r="O372" s="21">
        <f t="shared" si="62"/>
        <v>1</v>
      </c>
      <c r="P372" s="635"/>
      <c r="Q372" s="21">
        <f t="shared" si="63"/>
        <v>1</v>
      </c>
      <c r="R372" s="21">
        <f t="shared" si="64"/>
        <v>0</v>
      </c>
      <c r="S372" s="308">
        <f t="shared" si="55"/>
        <v>0</v>
      </c>
    </row>
    <row r="373" spans="1:19">
      <c r="A373" s="142"/>
      <c r="B373" s="52"/>
      <c r="C373" s="21">
        <f t="shared" si="56"/>
        <v>1</v>
      </c>
      <c r="D373" s="635"/>
      <c r="E373" s="21">
        <f t="shared" si="57"/>
        <v>1</v>
      </c>
      <c r="F373" s="635"/>
      <c r="G373" s="21">
        <f t="shared" si="58"/>
        <v>1</v>
      </c>
      <c r="H373" s="635"/>
      <c r="I373" s="21">
        <f t="shared" si="59"/>
        <v>1</v>
      </c>
      <c r="J373" s="635"/>
      <c r="K373" s="21">
        <f t="shared" si="60"/>
        <v>1</v>
      </c>
      <c r="L373" s="635"/>
      <c r="M373" s="21">
        <f t="shared" si="61"/>
        <v>1</v>
      </c>
      <c r="N373" s="635"/>
      <c r="O373" s="21">
        <f t="shared" si="62"/>
        <v>1</v>
      </c>
      <c r="P373" s="635"/>
      <c r="Q373" s="21">
        <f t="shared" si="63"/>
        <v>1</v>
      </c>
      <c r="R373" s="21">
        <f t="shared" si="64"/>
        <v>0</v>
      </c>
      <c r="S373" s="308">
        <f t="shared" si="55"/>
        <v>0</v>
      </c>
    </row>
    <row r="374" spans="1:19">
      <c r="A374" s="142"/>
      <c r="B374" s="52"/>
      <c r="C374" s="21">
        <f t="shared" si="56"/>
        <v>1</v>
      </c>
      <c r="D374" s="635"/>
      <c r="E374" s="21">
        <f t="shared" si="57"/>
        <v>1</v>
      </c>
      <c r="F374" s="635"/>
      <c r="G374" s="21">
        <f t="shared" si="58"/>
        <v>1</v>
      </c>
      <c r="H374" s="635"/>
      <c r="I374" s="21">
        <f t="shared" si="59"/>
        <v>1</v>
      </c>
      <c r="J374" s="635"/>
      <c r="K374" s="21">
        <f t="shared" si="60"/>
        <v>1</v>
      </c>
      <c r="L374" s="635"/>
      <c r="M374" s="21">
        <f t="shared" si="61"/>
        <v>1</v>
      </c>
      <c r="N374" s="635"/>
      <c r="O374" s="21">
        <f t="shared" si="62"/>
        <v>1</v>
      </c>
      <c r="P374" s="635"/>
      <c r="Q374" s="21">
        <f t="shared" si="63"/>
        <v>1</v>
      </c>
      <c r="R374" s="21">
        <f t="shared" si="64"/>
        <v>0</v>
      </c>
      <c r="S374" s="308">
        <f t="shared" si="55"/>
        <v>0</v>
      </c>
    </row>
    <row r="375" spans="1:19">
      <c r="A375" s="142"/>
      <c r="B375" s="52"/>
      <c r="C375" s="21">
        <f t="shared" si="56"/>
        <v>1</v>
      </c>
      <c r="D375" s="635"/>
      <c r="E375" s="21">
        <f t="shared" si="57"/>
        <v>1</v>
      </c>
      <c r="F375" s="635"/>
      <c r="G375" s="21">
        <f t="shared" si="58"/>
        <v>1</v>
      </c>
      <c r="H375" s="635"/>
      <c r="I375" s="21">
        <f t="shared" si="59"/>
        <v>1</v>
      </c>
      <c r="J375" s="635"/>
      <c r="K375" s="21">
        <f t="shared" si="60"/>
        <v>1</v>
      </c>
      <c r="L375" s="635"/>
      <c r="M375" s="21">
        <f t="shared" si="61"/>
        <v>1</v>
      </c>
      <c r="N375" s="635"/>
      <c r="O375" s="21">
        <f t="shared" si="62"/>
        <v>1</v>
      </c>
      <c r="P375" s="635"/>
      <c r="Q375" s="21">
        <f t="shared" si="63"/>
        <v>1</v>
      </c>
      <c r="R375" s="21">
        <f t="shared" si="64"/>
        <v>0</v>
      </c>
      <c r="S375" s="308">
        <f t="shared" si="55"/>
        <v>0</v>
      </c>
    </row>
    <row r="376" spans="1:19">
      <c r="A376" s="142"/>
      <c r="B376" s="52"/>
      <c r="C376" s="21">
        <f t="shared" si="56"/>
        <v>1</v>
      </c>
      <c r="D376" s="635"/>
      <c r="E376" s="21">
        <f t="shared" si="57"/>
        <v>1</v>
      </c>
      <c r="F376" s="635"/>
      <c r="G376" s="21">
        <f t="shared" si="58"/>
        <v>1</v>
      </c>
      <c r="H376" s="635"/>
      <c r="I376" s="21">
        <f t="shared" si="59"/>
        <v>1</v>
      </c>
      <c r="J376" s="635"/>
      <c r="K376" s="21">
        <f t="shared" si="60"/>
        <v>1</v>
      </c>
      <c r="L376" s="635"/>
      <c r="M376" s="21">
        <f t="shared" si="61"/>
        <v>1</v>
      </c>
      <c r="N376" s="635"/>
      <c r="O376" s="21">
        <f t="shared" si="62"/>
        <v>1</v>
      </c>
      <c r="P376" s="635"/>
      <c r="Q376" s="21">
        <f t="shared" si="63"/>
        <v>1</v>
      </c>
      <c r="R376" s="21">
        <f t="shared" si="64"/>
        <v>0</v>
      </c>
      <c r="S376" s="308">
        <f t="shared" si="55"/>
        <v>0</v>
      </c>
    </row>
    <row r="377" spans="1:19">
      <c r="A377" s="142"/>
      <c r="B377" s="52"/>
      <c r="C377" s="21">
        <f t="shared" si="56"/>
        <v>1</v>
      </c>
      <c r="D377" s="635"/>
      <c r="E377" s="21">
        <f t="shared" si="57"/>
        <v>1</v>
      </c>
      <c r="F377" s="635"/>
      <c r="G377" s="21">
        <f t="shared" si="58"/>
        <v>1</v>
      </c>
      <c r="H377" s="635"/>
      <c r="I377" s="21">
        <f t="shared" si="59"/>
        <v>1</v>
      </c>
      <c r="J377" s="635"/>
      <c r="K377" s="21">
        <f t="shared" si="60"/>
        <v>1</v>
      </c>
      <c r="L377" s="635"/>
      <c r="M377" s="21">
        <f t="shared" si="61"/>
        <v>1</v>
      </c>
      <c r="N377" s="635"/>
      <c r="O377" s="21">
        <f t="shared" si="62"/>
        <v>1</v>
      </c>
      <c r="P377" s="635"/>
      <c r="Q377" s="21">
        <f t="shared" si="63"/>
        <v>1</v>
      </c>
      <c r="R377" s="21">
        <f t="shared" si="64"/>
        <v>0</v>
      </c>
      <c r="S377" s="308">
        <f t="shared" si="55"/>
        <v>0</v>
      </c>
    </row>
    <row r="378" spans="1:19">
      <c r="A378" s="142"/>
      <c r="B378" s="52"/>
      <c r="C378" s="21">
        <f t="shared" si="56"/>
        <v>1</v>
      </c>
      <c r="D378" s="635"/>
      <c r="E378" s="21">
        <f t="shared" si="57"/>
        <v>1</v>
      </c>
      <c r="F378" s="635"/>
      <c r="G378" s="21">
        <f t="shared" si="58"/>
        <v>1</v>
      </c>
      <c r="H378" s="635"/>
      <c r="I378" s="21">
        <f t="shared" si="59"/>
        <v>1</v>
      </c>
      <c r="J378" s="635"/>
      <c r="K378" s="21">
        <f t="shared" si="60"/>
        <v>1</v>
      </c>
      <c r="L378" s="635"/>
      <c r="M378" s="21">
        <f t="shared" si="61"/>
        <v>1</v>
      </c>
      <c r="N378" s="635"/>
      <c r="O378" s="21">
        <f t="shared" si="62"/>
        <v>1</v>
      </c>
      <c r="P378" s="635"/>
      <c r="Q378" s="21">
        <f t="shared" si="63"/>
        <v>1</v>
      </c>
      <c r="R378" s="21">
        <f t="shared" si="64"/>
        <v>0</v>
      </c>
      <c r="S378" s="308">
        <f t="shared" si="55"/>
        <v>0</v>
      </c>
    </row>
    <row r="379" spans="1:19">
      <c r="A379" s="142"/>
      <c r="B379" s="52"/>
      <c r="C379" s="21">
        <f t="shared" si="56"/>
        <v>1</v>
      </c>
      <c r="D379" s="635"/>
      <c r="E379" s="21">
        <f t="shared" si="57"/>
        <v>1</v>
      </c>
      <c r="F379" s="635"/>
      <c r="G379" s="21">
        <f t="shared" si="58"/>
        <v>1</v>
      </c>
      <c r="H379" s="635"/>
      <c r="I379" s="21">
        <f t="shared" si="59"/>
        <v>1</v>
      </c>
      <c r="J379" s="635"/>
      <c r="K379" s="21">
        <f t="shared" si="60"/>
        <v>1</v>
      </c>
      <c r="L379" s="635"/>
      <c r="M379" s="21">
        <f t="shared" si="61"/>
        <v>1</v>
      </c>
      <c r="N379" s="635"/>
      <c r="O379" s="21">
        <f t="shared" si="62"/>
        <v>1</v>
      </c>
      <c r="P379" s="635"/>
      <c r="Q379" s="21">
        <f t="shared" si="63"/>
        <v>1</v>
      </c>
      <c r="R379" s="21">
        <f t="shared" si="64"/>
        <v>0</v>
      </c>
      <c r="S379" s="308">
        <f t="shared" si="55"/>
        <v>0</v>
      </c>
    </row>
    <row r="380" spans="1:19">
      <c r="A380" s="142"/>
      <c r="B380" s="52"/>
      <c r="C380" s="21">
        <f t="shared" si="56"/>
        <v>1</v>
      </c>
      <c r="D380" s="635"/>
      <c r="E380" s="21">
        <f t="shared" si="57"/>
        <v>1</v>
      </c>
      <c r="F380" s="635"/>
      <c r="G380" s="21">
        <f t="shared" si="58"/>
        <v>1</v>
      </c>
      <c r="H380" s="635"/>
      <c r="I380" s="21">
        <f t="shared" si="59"/>
        <v>1</v>
      </c>
      <c r="J380" s="635"/>
      <c r="K380" s="21">
        <f t="shared" si="60"/>
        <v>1</v>
      </c>
      <c r="L380" s="635"/>
      <c r="M380" s="21">
        <f t="shared" si="61"/>
        <v>1</v>
      </c>
      <c r="N380" s="635"/>
      <c r="O380" s="21">
        <f t="shared" si="62"/>
        <v>1</v>
      </c>
      <c r="P380" s="635"/>
      <c r="Q380" s="21">
        <f t="shared" si="63"/>
        <v>1</v>
      </c>
      <c r="R380" s="21">
        <f t="shared" si="64"/>
        <v>0</v>
      </c>
      <c r="S380" s="308">
        <f t="shared" si="55"/>
        <v>0</v>
      </c>
    </row>
    <row r="381" spans="1:19">
      <c r="A381" s="142"/>
      <c r="B381" s="52"/>
      <c r="C381" s="21">
        <f t="shared" si="56"/>
        <v>1</v>
      </c>
      <c r="D381" s="635"/>
      <c r="E381" s="21">
        <f t="shared" si="57"/>
        <v>1</v>
      </c>
      <c r="F381" s="635"/>
      <c r="G381" s="21">
        <f t="shared" si="58"/>
        <v>1</v>
      </c>
      <c r="H381" s="635"/>
      <c r="I381" s="21">
        <f t="shared" si="59"/>
        <v>1</v>
      </c>
      <c r="J381" s="635"/>
      <c r="K381" s="21">
        <f t="shared" si="60"/>
        <v>1</v>
      </c>
      <c r="L381" s="635"/>
      <c r="M381" s="21">
        <f t="shared" si="61"/>
        <v>1</v>
      </c>
      <c r="N381" s="635"/>
      <c r="O381" s="21">
        <f t="shared" si="62"/>
        <v>1</v>
      </c>
      <c r="P381" s="635"/>
      <c r="Q381" s="21">
        <f t="shared" si="63"/>
        <v>1</v>
      </c>
      <c r="R381" s="21">
        <f t="shared" si="64"/>
        <v>0</v>
      </c>
      <c r="S381" s="308">
        <f t="shared" si="55"/>
        <v>0</v>
      </c>
    </row>
    <row r="382" spans="1:19">
      <c r="A382" s="142"/>
      <c r="B382" s="52"/>
      <c r="C382" s="21">
        <f t="shared" si="56"/>
        <v>1</v>
      </c>
      <c r="D382" s="635"/>
      <c r="E382" s="21">
        <f t="shared" si="57"/>
        <v>1</v>
      </c>
      <c r="F382" s="635"/>
      <c r="G382" s="21">
        <f t="shared" si="58"/>
        <v>1</v>
      </c>
      <c r="H382" s="635"/>
      <c r="I382" s="21">
        <f t="shared" si="59"/>
        <v>1</v>
      </c>
      <c r="J382" s="635"/>
      <c r="K382" s="21">
        <f t="shared" si="60"/>
        <v>1</v>
      </c>
      <c r="L382" s="635"/>
      <c r="M382" s="21">
        <f t="shared" si="61"/>
        <v>1</v>
      </c>
      <c r="N382" s="635"/>
      <c r="O382" s="21">
        <f t="shared" si="62"/>
        <v>1</v>
      </c>
      <c r="P382" s="635"/>
      <c r="Q382" s="21">
        <f t="shared" si="63"/>
        <v>1</v>
      </c>
      <c r="R382" s="21">
        <f t="shared" si="64"/>
        <v>0</v>
      </c>
      <c r="S382" s="308">
        <f t="shared" si="55"/>
        <v>0</v>
      </c>
    </row>
    <row r="383" spans="1:19">
      <c r="A383" s="142"/>
      <c r="B383" s="52"/>
      <c r="C383" s="21">
        <f t="shared" si="56"/>
        <v>1</v>
      </c>
      <c r="D383" s="635"/>
      <c r="E383" s="21">
        <f t="shared" si="57"/>
        <v>1</v>
      </c>
      <c r="F383" s="635"/>
      <c r="G383" s="21">
        <f t="shared" si="58"/>
        <v>1</v>
      </c>
      <c r="H383" s="635"/>
      <c r="I383" s="21">
        <f t="shared" si="59"/>
        <v>1</v>
      </c>
      <c r="J383" s="635"/>
      <c r="K383" s="21">
        <f t="shared" si="60"/>
        <v>1</v>
      </c>
      <c r="L383" s="635"/>
      <c r="M383" s="21">
        <f t="shared" si="61"/>
        <v>1</v>
      </c>
      <c r="N383" s="635"/>
      <c r="O383" s="21">
        <f t="shared" si="62"/>
        <v>1</v>
      </c>
      <c r="P383" s="635"/>
      <c r="Q383" s="21">
        <f t="shared" si="63"/>
        <v>1</v>
      </c>
      <c r="R383" s="21">
        <f t="shared" si="64"/>
        <v>0</v>
      </c>
      <c r="S383" s="308">
        <f t="shared" si="55"/>
        <v>0</v>
      </c>
    </row>
    <row r="384" spans="1:19">
      <c r="A384" s="142"/>
      <c r="B384" s="52"/>
      <c r="C384" s="21">
        <f t="shared" si="56"/>
        <v>1</v>
      </c>
      <c r="D384" s="635"/>
      <c r="E384" s="21">
        <f t="shared" si="57"/>
        <v>1</v>
      </c>
      <c r="F384" s="635"/>
      <c r="G384" s="21">
        <f t="shared" si="58"/>
        <v>1</v>
      </c>
      <c r="H384" s="635"/>
      <c r="I384" s="21">
        <f t="shared" si="59"/>
        <v>1</v>
      </c>
      <c r="J384" s="635"/>
      <c r="K384" s="21">
        <f t="shared" si="60"/>
        <v>1</v>
      </c>
      <c r="L384" s="635"/>
      <c r="M384" s="21">
        <f t="shared" si="61"/>
        <v>1</v>
      </c>
      <c r="N384" s="635"/>
      <c r="O384" s="21">
        <f t="shared" si="62"/>
        <v>1</v>
      </c>
      <c r="P384" s="635"/>
      <c r="Q384" s="21">
        <f t="shared" si="63"/>
        <v>1</v>
      </c>
      <c r="R384" s="21">
        <f t="shared" si="64"/>
        <v>0</v>
      </c>
      <c r="S384" s="308">
        <f t="shared" si="55"/>
        <v>0</v>
      </c>
    </row>
    <row r="385" spans="1:19">
      <c r="A385" s="142"/>
      <c r="B385" s="52"/>
      <c r="C385" s="21">
        <f t="shared" si="56"/>
        <v>1</v>
      </c>
      <c r="D385" s="635"/>
      <c r="E385" s="21">
        <f t="shared" si="57"/>
        <v>1</v>
      </c>
      <c r="F385" s="635"/>
      <c r="G385" s="21">
        <f t="shared" si="58"/>
        <v>1</v>
      </c>
      <c r="H385" s="635"/>
      <c r="I385" s="21">
        <f t="shared" si="59"/>
        <v>1</v>
      </c>
      <c r="J385" s="635"/>
      <c r="K385" s="21">
        <f t="shared" si="60"/>
        <v>1</v>
      </c>
      <c r="L385" s="635"/>
      <c r="M385" s="21">
        <f t="shared" si="61"/>
        <v>1</v>
      </c>
      <c r="N385" s="635"/>
      <c r="O385" s="21">
        <f t="shared" si="62"/>
        <v>1</v>
      </c>
      <c r="P385" s="635"/>
      <c r="Q385" s="21">
        <f t="shared" si="63"/>
        <v>1</v>
      </c>
      <c r="R385" s="21">
        <f t="shared" si="64"/>
        <v>0</v>
      </c>
      <c r="S385" s="308">
        <f t="shared" si="55"/>
        <v>0</v>
      </c>
    </row>
    <row r="386" spans="1:19">
      <c r="A386" s="142"/>
      <c r="B386" s="52"/>
      <c r="C386" s="21">
        <f t="shared" si="56"/>
        <v>1</v>
      </c>
      <c r="D386" s="635"/>
      <c r="E386" s="21">
        <f t="shared" si="57"/>
        <v>1</v>
      </c>
      <c r="F386" s="635"/>
      <c r="G386" s="21">
        <f t="shared" si="58"/>
        <v>1</v>
      </c>
      <c r="H386" s="635"/>
      <c r="I386" s="21">
        <f t="shared" si="59"/>
        <v>1</v>
      </c>
      <c r="J386" s="635"/>
      <c r="K386" s="21">
        <f t="shared" si="60"/>
        <v>1</v>
      </c>
      <c r="L386" s="635"/>
      <c r="M386" s="21">
        <f t="shared" si="61"/>
        <v>1</v>
      </c>
      <c r="N386" s="635"/>
      <c r="O386" s="21">
        <f t="shared" si="62"/>
        <v>1</v>
      </c>
      <c r="P386" s="635"/>
      <c r="Q386" s="21">
        <f t="shared" si="63"/>
        <v>1</v>
      </c>
      <c r="R386" s="21">
        <f t="shared" si="64"/>
        <v>0</v>
      </c>
      <c r="S386" s="308">
        <f t="shared" si="55"/>
        <v>0</v>
      </c>
    </row>
    <row r="387" spans="1:19">
      <c r="A387" s="142"/>
      <c r="B387" s="52"/>
      <c r="C387" s="21">
        <f t="shared" si="56"/>
        <v>1</v>
      </c>
      <c r="D387" s="635"/>
      <c r="E387" s="21">
        <f t="shared" si="57"/>
        <v>1</v>
      </c>
      <c r="F387" s="635"/>
      <c r="G387" s="21">
        <f t="shared" si="58"/>
        <v>1</v>
      </c>
      <c r="H387" s="635"/>
      <c r="I387" s="21">
        <f t="shared" si="59"/>
        <v>1</v>
      </c>
      <c r="J387" s="635"/>
      <c r="K387" s="21">
        <f t="shared" si="60"/>
        <v>1</v>
      </c>
      <c r="L387" s="635"/>
      <c r="M387" s="21">
        <f t="shared" si="61"/>
        <v>1</v>
      </c>
      <c r="N387" s="635"/>
      <c r="O387" s="21">
        <f t="shared" si="62"/>
        <v>1</v>
      </c>
      <c r="P387" s="635"/>
      <c r="Q387" s="21">
        <f t="shared" si="63"/>
        <v>1</v>
      </c>
      <c r="R387" s="21">
        <f t="shared" si="64"/>
        <v>0</v>
      </c>
      <c r="S387" s="308">
        <f t="shared" si="55"/>
        <v>0</v>
      </c>
    </row>
    <row r="388" spans="1:19">
      <c r="A388" s="142"/>
      <c r="B388" s="52"/>
      <c r="C388" s="21">
        <f t="shared" si="56"/>
        <v>1</v>
      </c>
      <c r="D388" s="635"/>
      <c r="E388" s="21">
        <f t="shared" si="57"/>
        <v>1</v>
      </c>
      <c r="F388" s="635"/>
      <c r="G388" s="21">
        <f t="shared" si="58"/>
        <v>1</v>
      </c>
      <c r="H388" s="635"/>
      <c r="I388" s="21">
        <f t="shared" si="59"/>
        <v>1</v>
      </c>
      <c r="J388" s="635"/>
      <c r="K388" s="21">
        <f t="shared" si="60"/>
        <v>1</v>
      </c>
      <c r="L388" s="635"/>
      <c r="M388" s="21">
        <f t="shared" si="61"/>
        <v>1</v>
      </c>
      <c r="N388" s="635"/>
      <c r="O388" s="21">
        <f t="shared" si="62"/>
        <v>1</v>
      </c>
      <c r="P388" s="635"/>
      <c r="Q388" s="21">
        <f t="shared" si="63"/>
        <v>1</v>
      </c>
      <c r="R388" s="21">
        <f t="shared" si="64"/>
        <v>0</v>
      </c>
      <c r="S388" s="308">
        <f t="shared" si="55"/>
        <v>0</v>
      </c>
    </row>
    <row r="389" spans="1:19">
      <c r="A389" s="142"/>
      <c r="B389" s="52"/>
      <c r="C389" s="21">
        <f t="shared" si="56"/>
        <v>1</v>
      </c>
      <c r="D389" s="635"/>
      <c r="E389" s="21">
        <f t="shared" si="57"/>
        <v>1</v>
      </c>
      <c r="F389" s="635"/>
      <c r="G389" s="21">
        <f t="shared" si="58"/>
        <v>1</v>
      </c>
      <c r="H389" s="635"/>
      <c r="I389" s="21">
        <f t="shared" si="59"/>
        <v>1</v>
      </c>
      <c r="J389" s="635"/>
      <c r="K389" s="21">
        <f t="shared" si="60"/>
        <v>1</v>
      </c>
      <c r="L389" s="635"/>
      <c r="M389" s="21">
        <f t="shared" si="61"/>
        <v>1</v>
      </c>
      <c r="N389" s="635"/>
      <c r="O389" s="21">
        <f t="shared" si="62"/>
        <v>1</v>
      </c>
      <c r="P389" s="635"/>
      <c r="Q389" s="21">
        <f t="shared" si="63"/>
        <v>1</v>
      </c>
      <c r="R389" s="21">
        <f t="shared" si="64"/>
        <v>0</v>
      </c>
      <c r="S389" s="308">
        <f t="shared" si="55"/>
        <v>0</v>
      </c>
    </row>
    <row r="390" spans="1:19">
      <c r="A390" s="142"/>
      <c r="B390" s="52"/>
      <c r="C390" s="21">
        <f t="shared" si="56"/>
        <v>1</v>
      </c>
      <c r="D390" s="635"/>
      <c r="E390" s="21">
        <f t="shared" si="57"/>
        <v>1</v>
      </c>
      <c r="F390" s="635"/>
      <c r="G390" s="21">
        <f t="shared" si="58"/>
        <v>1</v>
      </c>
      <c r="H390" s="635"/>
      <c r="I390" s="21">
        <f t="shared" si="59"/>
        <v>1</v>
      </c>
      <c r="J390" s="635"/>
      <c r="K390" s="21">
        <f t="shared" si="60"/>
        <v>1</v>
      </c>
      <c r="L390" s="635"/>
      <c r="M390" s="21">
        <f t="shared" si="61"/>
        <v>1</v>
      </c>
      <c r="N390" s="635"/>
      <c r="O390" s="21">
        <f t="shared" si="62"/>
        <v>1</v>
      </c>
      <c r="P390" s="635"/>
      <c r="Q390" s="21">
        <f t="shared" si="63"/>
        <v>1</v>
      </c>
      <c r="R390" s="21">
        <f t="shared" si="64"/>
        <v>0</v>
      </c>
      <c r="S390" s="308">
        <f t="shared" si="55"/>
        <v>0</v>
      </c>
    </row>
    <row r="391" spans="1:19">
      <c r="A391" s="142"/>
      <c r="B391" s="52"/>
      <c r="C391" s="21">
        <f t="shared" si="56"/>
        <v>1</v>
      </c>
      <c r="D391" s="635"/>
      <c r="E391" s="21">
        <f t="shared" si="57"/>
        <v>1</v>
      </c>
      <c r="F391" s="635"/>
      <c r="G391" s="21">
        <f t="shared" si="58"/>
        <v>1</v>
      </c>
      <c r="H391" s="635"/>
      <c r="I391" s="21">
        <f t="shared" si="59"/>
        <v>1</v>
      </c>
      <c r="J391" s="635"/>
      <c r="K391" s="21">
        <f t="shared" si="60"/>
        <v>1</v>
      </c>
      <c r="L391" s="635"/>
      <c r="M391" s="21">
        <f t="shared" si="61"/>
        <v>1</v>
      </c>
      <c r="N391" s="635"/>
      <c r="O391" s="21">
        <f t="shared" si="62"/>
        <v>1</v>
      </c>
      <c r="P391" s="635"/>
      <c r="Q391" s="21">
        <f t="shared" si="63"/>
        <v>1</v>
      </c>
      <c r="R391" s="21">
        <f t="shared" si="64"/>
        <v>0</v>
      </c>
      <c r="S391" s="308">
        <f t="shared" si="55"/>
        <v>0</v>
      </c>
    </row>
    <row r="392" spans="1:19">
      <c r="A392" s="142"/>
      <c r="B392" s="52"/>
      <c r="C392" s="21">
        <f t="shared" si="56"/>
        <v>1</v>
      </c>
      <c r="D392" s="635"/>
      <c r="E392" s="21">
        <f t="shared" si="57"/>
        <v>1</v>
      </c>
      <c r="F392" s="635"/>
      <c r="G392" s="21">
        <f t="shared" si="58"/>
        <v>1</v>
      </c>
      <c r="H392" s="635"/>
      <c r="I392" s="21">
        <f t="shared" si="59"/>
        <v>1</v>
      </c>
      <c r="J392" s="635"/>
      <c r="K392" s="21">
        <f t="shared" si="60"/>
        <v>1</v>
      </c>
      <c r="L392" s="635"/>
      <c r="M392" s="21">
        <f t="shared" si="61"/>
        <v>1</v>
      </c>
      <c r="N392" s="635"/>
      <c r="O392" s="21">
        <f t="shared" si="62"/>
        <v>1</v>
      </c>
      <c r="P392" s="635"/>
      <c r="Q392" s="21">
        <f t="shared" si="63"/>
        <v>1</v>
      </c>
      <c r="R392" s="21">
        <f t="shared" si="64"/>
        <v>0</v>
      </c>
      <c r="S392" s="308">
        <f t="shared" si="55"/>
        <v>0</v>
      </c>
    </row>
    <row r="393" spans="1:19">
      <c r="A393" s="142"/>
      <c r="B393" s="52"/>
      <c r="C393" s="21">
        <f t="shared" si="56"/>
        <v>1</v>
      </c>
      <c r="D393" s="635"/>
      <c r="E393" s="21">
        <f t="shared" si="57"/>
        <v>1</v>
      </c>
      <c r="F393" s="635"/>
      <c r="G393" s="21">
        <f t="shared" si="58"/>
        <v>1</v>
      </c>
      <c r="H393" s="635"/>
      <c r="I393" s="21">
        <f t="shared" si="59"/>
        <v>1</v>
      </c>
      <c r="J393" s="635"/>
      <c r="K393" s="21">
        <f t="shared" si="60"/>
        <v>1</v>
      </c>
      <c r="L393" s="635"/>
      <c r="M393" s="21">
        <f t="shared" si="61"/>
        <v>1</v>
      </c>
      <c r="N393" s="635"/>
      <c r="O393" s="21">
        <f t="shared" si="62"/>
        <v>1</v>
      </c>
      <c r="P393" s="635"/>
      <c r="Q393" s="21">
        <f t="shared" si="63"/>
        <v>1</v>
      </c>
      <c r="R393" s="21">
        <f t="shared" si="64"/>
        <v>0</v>
      </c>
      <c r="S393" s="308">
        <f t="shared" si="55"/>
        <v>0</v>
      </c>
    </row>
    <row r="394" spans="1:19">
      <c r="A394" s="142"/>
      <c r="B394" s="52"/>
      <c r="C394" s="21">
        <f t="shared" si="56"/>
        <v>1</v>
      </c>
      <c r="D394" s="635"/>
      <c r="E394" s="21">
        <f t="shared" si="57"/>
        <v>1</v>
      </c>
      <c r="F394" s="635"/>
      <c r="G394" s="21">
        <f t="shared" si="58"/>
        <v>1</v>
      </c>
      <c r="H394" s="635"/>
      <c r="I394" s="21">
        <f t="shared" si="59"/>
        <v>1</v>
      </c>
      <c r="J394" s="635"/>
      <c r="K394" s="21">
        <f t="shared" si="60"/>
        <v>1</v>
      </c>
      <c r="L394" s="635"/>
      <c r="M394" s="21">
        <f t="shared" si="61"/>
        <v>1</v>
      </c>
      <c r="N394" s="635"/>
      <c r="O394" s="21">
        <f t="shared" si="62"/>
        <v>1</v>
      </c>
      <c r="P394" s="635"/>
      <c r="Q394" s="21">
        <f t="shared" si="63"/>
        <v>1</v>
      </c>
      <c r="R394" s="21">
        <f t="shared" si="64"/>
        <v>0</v>
      </c>
      <c r="S394" s="308">
        <f t="shared" si="55"/>
        <v>0</v>
      </c>
    </row>
    <row r="395" spans="1:19">
      <c r="A395" s="142"/>
      <c r="B395" s="52"/>
      <c r="C395" s="21">
        <f t="shared" si="56"/>
        <v>1</v>
      </c>
      <c r="D395" s="635"/>
      <c r="E395" s="21">
        <f t="shared" si="57"/>
        <v>1</v>
      </c>
      <c r="F395" s="635"/>
      <c r="G395" s="21">
        <f t="shared" si="58"/>
        <v>1</v>
      </c>
      <c r="H395" s="635"/>
      <c r="I395" s="21">
        <f t="shared" si="59"/>
        <v>1</v>
      </c>
      <c r="J395" s="635"/>
      <c r="K395" s="21">
        <f t="shared" si="60"/>
        <v>1</v>
      </c>
      <c r="L395" s="635"/>
      <c r="M395" s="21">
        <f t="shared" si="61"/>
        <v>1</v>
      </c>
      <c r="N395" s="635"/>
      <c r="O395" s="21">
        <f t="shared" si="62"/>
        <v>1</v>
      </c>
      <c r="P395" s="635"/>
      <c r="Q395" s="21">
        <f t="shared" si="63"/>
        <v>1</v>
      </c>
      <c r="R395" s="21">
        <f t="shared" si="64"/>
        <v>0</v>
      </c>
      <c r="S395" s="308">
        <f t="shared" si="55"/>
        <v>0</v>
      </c>
    </row>
    <row r="396" spans="1:19">
      <c r="A396" s="142"/>
      <c r="B396" s="52"/>
      <c r="C396" s="21">
        <f t="shared" si="56"/>
        <v>1</v>
      </c>
      <c r="D396" s="635"/>
      <c r="E396" s="21">
        <f t="shared" si="57"/>
        <v>1</v>
      </c>
      <c r="F396" s="635"/>
      <c r="G396" s="21">
        <f t="shared" si="58"/>
        <v>1</v>
      </c>
      <c r="H396" s="635"/>
      <c r="I396" s="21">
        <f t="shared" si="59"/>
        <v>1</v>
      </c>
      <c r="J396" s="635"/>
      <c r="K396" s="21">
        <f t="shared" si="60"/>
        <v>1</v>
      </c>
      <c r="L396" s="635"/>
      <c r="M396" s="21">
        <f t="shared" si="61"/>
        <v>1</v>
      </c>
      <c r="N396" s="635"/>
      <c r="O396" s="21">
        <f t="shared" si="62"/>
        <v>1</v>
      </c>
      <c r="P396" s="635"/>
      <c r="Q396" s="21">
        <f t="shared" si="63"/>
        <v>1</v>
      </c>
      <c r="R396" s="21">
        <f t="shared" si="64"/>
        <v>0</v>
      </c>
      <c r="S396" s="308">
        <f t="shared" si="55"/>
        <v>0</v>
      </c>
    </row>
    <row r="397" spans="1:19">
      <c r="A397" s="142"/>
      <c r="B397" s="52"/>
      <c r="C397" s="21">
        <f t="shared" si="56"/>
        <v>1</v>
      </c>
      <c r="D397" s="635"/>
      <c r="E397" s="21">
        <f t="shared" si="57"/>
        <v>1</v>
      </c>
      <c r="F397" s="635"/>
      <c r="G397" s="21">
        <f t="shared" si="58"/>
        <v>1</v>
      </c>
      <c r="H397" s="635"/>
      <c r="I397" s="21">
        <f t="shared" si="59"/>
        <v>1</v>
      </c>
      <c r="J397" s="635"/>
      <c r="K397" s="21">
        <f t="shared" si="60"/>
        <v>1</v>
      </c>
      <c r="L397" s="635"/>
      <c r="M397" s="21">
        <f t="shared" si="61"/>
        <v>1</v>
      </c>
      <c r="N397" s="635"/>
      <c r="O397" s="21">
        <f t="shared" si="62"/>
        <v>1</v>
      </c>
      <c r="P397" s="635"/>
      <c r="Q397" s="21">
        <f t="shared" si="63"/>
        <v>1</v>
      </c>
      <c r="R397" s="21">
        <f t="shared" si="64"/>
        <v>0</v>
      </c>
      <c r="S397" s="308">
        <f t="shared" si="55"/>
        <v>0</v>
      </c>
    </row>
    <row r="398" spans="1:19">
      <c r="A398" s="142"/>
      <c r="B398" s="52"/>
      <c r="C398" s="21">
        <f t="shared" si="56"/>
        <v>1</v>
      </c>
      <c r="D398" s="635"/>
      <c r="E398" s="21">
        <f t="shared" si="57"/>
        <v>1</v>
      </c>
      <c r="F398" s="635"/>
      <c r="G398" s="21">
        <f t="shared" si="58"/>
        <v>1</v>
      </c>
      <c r="H398" s="635"/>
      <c r="I398" s="21">
        <f t="shared" si="59"/>
        <v>1</v>
      </c>
      <c r="J398" s="635"/>
      <c r="K398" s="21">
        <f t="shared" si="60"/>
        <v>1</v>
      </c>
      <c r="L398" s="635"/>
      <c r="M398" s="21">
        <f t="shared" si="61"/>
        <v>1</v>
      </c>
      <c r="N398" s="635"/>
      <c r="O398" s="21">
        <f t="shared" si="62"/>
        <v>1</v>
      </c>
      <c r="P398" s="635"/>
      <c r="Q398" s="21">
        <f t="shared" si="63"/>
        <v>1</v>
      </c>
      <c r="R398" s="21">
        <f t="shared" si="64"/>
        <v>0</v>
      </c>
      <c r="S398" s="308">
        <f t="shared" si="55"/>
        <v>0</v>
      </c>
    </row>
    <row r="399" spans="1:19">
      <c r="A399" s="142"/>
      <c r="B399" s="52"/>
      <c r="C399" s="21">
        <f t="shared" si="56"/>
        <v>1</v>
      </c>
      <c r="D399" s="635"/>
      <c r="E399" s="21">
        <f t="shared" si="57"/>
        <v>1</v>
      </c>
      <c r="F399" s="635"/>
      <c r="G399" s="21">
        <f t="shared" si="58"/>
        <v>1</v>
      </c>
      <c r="H399" s="635"/>
      <c r="I399" s="21">
        <f t="shared" si="59"/>
        <v>1</v>
      </c>
      <c r="J399" s="635"/>
      <c r="K399" s="21">
        <f t="shared" si="60"/>
        <v>1</v>
      </c>
      <c r="L399" s="635"/>
      <c r="M399" s="21">
        <f t="shared" si="61"/>
        <v>1</v>
      </c>
      <c r="N399" s="635"/>
      <c r="O399" s="21">
        <f t="shared" si="62"/>
        <v>1</v>
      </c>
      <c r="P399" s="635"/>
      <c r="Q399" s="21">
        <f t="shared" si="63"/>
        <v>1</v>
      </c>
      <c r="R399" s="21">
        <f t="shared" si="64"/>
        <v>0</v>
      </c>
      <c r="S399" s="308">
        <f t="shared" si="55"/>
        <v>0</v>
      </c>
    </row>
    <row r="400" spans="1:19">
      <c r="A400" s="142"/>
      <c r="B400" s="52"/>
      <c r="C400" s="21">
        <f t="shared" si="56"/>
        <v>1</v>
      </c>
      <c r="D400" s="635"/>
      <c r="E400" s="21">
        <f t="shared" si="57"/>
        <v>1</v>
      </c>
      <c r="F400" s="635"/>
      <c r="G400" s="21">
        <f t="shared" si="58"/>
        <v>1</v>
      </c>
      <c r="H400" s="635"/>
      <c r="I400" s="21">
        <f t="shared" si="59"/>
        <v>1</v>
      </c>
      <c r="J400" s="635"/>
      <c r="K400" s="21">
        <f t="shared" si="60"/>
        <v>1</v>
      </c>
      <c r="L400" s="635"/>
      <c r="M400" s="21">
        <f t="shared" si="61"/>
        <v>1</v>
      </c>
      <c r="N400" s="635"/>
      <c r="O400" s="21">
        <f t="shared" si="62"/>
        <v>1</v>
      </c>
      <c r="P400" s="635"/>
      <c r="Q400" s="21">
        <f t="shared" si="63"/>
        <v>1</v>
      </c>
      <c r="R400" s="21">
        <f t="shared" si="64"/>
        <v>0</v>
      </c>
      <c r="S400" s="308">
        <f t="shared" si="55"/>
        <v>0</v>
      </c>
    </row>
    <row r="401" spans="1:19">
      <c r="A401" s="142"/>
      <c r="B401" s="52"/>
      <c r="C401" s="21">
        <f t="shared" si="56"/>
        <v>1</v>
      </c>
      <c r="D401" s="635"/>
      <c r="E401" s="21">
        <f t="shared" si="57"/>
        <v>1</v>
      </c>
      <c r="F401" s="635"/>
      <c r="G401" s="21">
        <f t="shared" si="58"/>
        <v>1</v>
      </c>
      <c r="H401" s="635"/>
      <c r="I401" s="21">
        <f t="shared" si="59"/>
        <v>1</v>
      </c>
      <c r="J401" s="635"/>
      <c r="K401" s="21">
        <f t="shared" si="60"/>
        <v>1</v>
      </c>
      <c r="L401" s="635"/>
      <c r="M401" s="21">
        <f t="shared" si="61"/>
        <v>1</v>
      </c>
      <c r="N401" s="635"/>
      <c r="O401" s="21">
        <f t="shared" si="62"/>
        <v>1</v>
      </c>
      <c r="P401" s="635"/>
      <c r="Q401" s="21">
        <f t="shared" si="63"/>
        <v>1</v>
      </c>
      <c r="R401" s="21">
        <f t="shared" si="64"/>
        <v>0</v>
      </c>
      <c r="S401" s="308">
        <f t="shared" si="55"/>
        <v>0</v>
      </c>
    </row>
    <row r="402" spans="1:19">
      <c r="A402" s="142"/>
      <c r="B402" s="52"/>
      <c r="C402" s="21">
        <f t="shared" si="56"/>
        <v>1</v>
      </c>
      <c r="D402" s="635"/>
      <c r="E402" s="21">
        <f t="shared" si="57"/>
        <v>1</v>
      </c>
      <c r="F402" s="635"/>
      <c r="G402" s="21">
        <f t="shared" si="58"/>
        <v>1</v>
      </c>
      <c r="H402" s="635"/>
      <c r="I402" s="21">
        <f t="shared" si="59"/>
        <v>1</v>
      </c>
      <c r="J402" s="635"/>
      <c r="K402" s="21">
        <f t="shared" si="60"/>
        <v>1</v>
      </c>
      <c r="L402" s="635"/>
      <c r="M402" s="21">
        <f t="shared" si="61"/>
        <v>1</v>
      </c>
      <c r="N402" s="635"/>
      <c r="O402" s="21">
        <f t="shared" si="62"/>
        <v>1</v>
      </c>
      <c r="P402" s="635"/>
      <c r="Q402" s="21">
        <f t="shared" si="63"/>
        <v>1</v>
      </c>
      <c r="R402" s="21">
        <f t="shared" si="64"/>
        <v>0</v>
      </c>
      <c r="S402" s="308">
        <f t="shared" si="55"/>
        <v>0</v>
      </c>
    </row>
    <row r="403" spans="1:19">
      <c r="A403" s="142"/>
      <c r="B403" s="52"/>
      <c r="C403" s="21">
        <f t="shared" si="56"/>
        <v>1</v>
      </c>
      <c r="D403" s="635"/>
      <c r="E403" s="21">
        <f t="shared" si="57"/>
        <v>1</v>
      </c>
      <c r="F403" s="635"/>
      <c r="G403" s="21">
        <f t="shared" si="58"/>
        <v>1</v>
      </c>
      <c r="H403" s="635"/>
      <c r="I403" s="21">
        <f t="shared" si="59"/>
        <v>1</v>
      </c>
      <c r="J403" s="635"/>
      <c r="K403" s="21">
        <f t="shared" si="60"/>
        <v>1</v>
      </c>
      <c r="L403" s="635"/>
      <c r="M403" s="21">
        <f t="shared" si="61"/>
        <v>1</v>
      </c>
      <c r="N403" s="635"/>
      <c r="O403" s="21">
        <f t="shared" si="62"/>
        <v>1</v>
      </c>
      <c r="P403" s="635"/>
      <c r="Q403" s="21">
        <f t="shared" si="63"/>
        <v>1</v>
      </c>
      <c r="R403" s="21">
        <f t="shared" si="64"/>
        <v>0</v>
      </c>
      <c r="S403" s="308">
        <f t="shared" si="55"/>
        <v>0</v>
      </c>
    </row>
    <row r="404" spans="1:19">
      <c r="A404" s="142"/>
      <c r="B404" s="52"/>
      <c r="C404" s="21">
        <f t="shared" si="56"/>
        <v>1</v>
      </c>
      <c r="D404" s="635"/>
      <c r="E404" s="21">
        <f t="shared" si="57"/>
        <v>1</v>
      </c>
      <c r="F404" s="635"/>
      <c r="G404" s="21">
        <f t="shared" si="58"/>
        <v>1</v>
      </c>
      <c r="H404" s="635"/>
      <c r="I404" s="21">
        <f t="shared" si="59"/>
        <v>1</v>
      </c>
      <c r="J404" s="635"/>
      <c r="K404" s="21">
        <f t="shared" si="60"/>
        <v>1</v>
      </c>
      <c r="L404" s="635"/>
      <c r="M404" s="21">
        <f t="shared" si="61"/>
        <v>1</v>
      </c>
      <c r="N404" s="635"/>
      <c r="O404" s="21">
        <f t="shared" si="62"/>
        <v>1</v>
      </c>
      <c r="P404" s="635"/>
      <c r="Q404" s="21">
        <f t="shared" si="63"/>
        <v>1</v>
      </c>
      <c r="R404" s="21">
        <f t="shared" si="64"/>
        <v>0</v>
      </c>
      <c r="S404" s="308">
        <f t="shared" si="55"/>
        <v>0</v>
      </c>
    </row>
    <row r="405" spans="1:19">
      <c r="A405" s="142"/>
      <c r="B405" s="52"/>
      <c r="C405" s="21">
        <f t="shared" si="56"/>
        <v>1</v>
      </c>
      <c r="D405" s="635"/>
      <c r="E405" s="21">
        <f t="shared" si="57"/>
        <v>1</v>
      </c>
      <c r="F405" s="635"/>
      <c r="G405" s="21">
        <f t="shared" si="58"/>
        <v>1</v>
      </c>
      <c r="H405" s="635"/>
      <c r="I405" s="21">
        <f t="shared" si="59"/>
        <v>1</v>
      </c>
      <c r="J405" s="635"/>
      <c r="K405" s="21">
        <f t="shared" si="60"/>
        <v>1</v>
      </c>
      <c r="L405" s="635"/>
      <c r="M405" s="21">
        <f t="shared" si="61"/>
        <v>1</v>
      </c>
      <c r="N405" s="635"/>
      <c r="O405" s="21">
        <f t="shared" si="62"/>
        <v>1</v>
      </c>
      <c r="P405" s="635"/>
      <c r="Q405" s="21">
        <f t="shared" si="63"/>
        <v>1</v>
      </c>
      <c r="R405" s="21">
        <f t="shared" si="64"/>
        <v>0</v>
      </c>
      <c r="S405" s="308">
        <f t="shared" si="55"/>
        <v>0</v>
      </c>
    </row>
    <row r="406" spans="1:19">
      <c r="A406" s="142"/>
      <c r="B406" s="52"/>
      <c r="C406" s="21">
        <f t="shared" si="56"/>
        <v>1</v>
      </c>
      <c r="D406" s="635"/>
      <c r="E406" s="21">
        <f t="shared" si="57"/>
        <v>1</v>
      </c>
      <c r="F406" s="635"/>
      <c r="G406" s="21">
        <f t="shared" si="58"/>
        <v>1</v>
      </c>
      <c r="H406" s="635"/>
      <c r="I406" s="21">
        <f t="shared" si="59"/>
        <v>1</v>
      </c>
      <c r="J406" s="635"/>
      <c r="K406" s="21">
        <f t="shared" si="60"/>
        <v>1</v>
      </c>
      <c r="L406" s="635"/>
      <c r="M406" s="21">
        <f t="shared" si="61"/>
        <v>1</v>
      </c>
      <c r="N406" s="635"/>
      <c r="O406" s="21">
        <f t="shared" si="62"/>
        <v>1</v>
      </c>
      <c r="P406" s="635"/>
      <c r="Q406" s="21">
        <f t="shared" si="63"/>
        <v>1</v>
      </c>
      <c r="R406" s="21">
        <f t="shared" si="64"/>
        <v>0</v>
      </c>
      <c r="S406" s="308">
        <f t="shared" si="55"/>
        <v>0</v>
      </c>
    </row>
    <row r="407" spans="1:19">
      <c r="A407" s="142"/>
      <c r="B407" s="52"/>
      <c r="C407" s="21">
        <f t="shared" si="56"/>
        <v>1</v>
      </c>
      <c r="D407" s="635"/>
      <c r="E407" s="21">
        <f t="shared" si="57"/>
        <v>1</v>
      </c>
      <c r="F407" s="635"/>
      <c r="G407" s="21">
        <f t="shared" si="58"/>
        <v>1</v>
      </c>
      <c r="H407" s="635"/>
      <c r="I407" s="21">
        <f t="shared" si="59"/>
        <v>1</v>
      </c>
      <c r="J407" s="635"/>
      <c r="K407" s="21">
        <f t="shared" si="60"/>
        <v>1</v>
      </c>
      <c r="L407" s="635"/>
      <c r="M407" s="21">
        <f t="shared" si="61"/>
        <v>1</v>
      </c>
      <c r="N407" s="635"/>
      <c r="O407" s="21">
        <f t="shared" si="62"/>
        <v>1</v>
      </c>
      <c r="P407" s="635"/>
      <c r="Q407" s="21">
        <f t="shared" si="63"/>
        <v>1</v>
      </c>
      <c r="R407" s="21">
        <f t="shared" si="64"/>
        <v>0</v>
      </c>
      <c r="S407" s="308">
        <f t="shared" si="55"/>
        <v>0</v>
      </c>
    </row>
    <row r="408" spans="1:19">
      <c r="A408" s="142"/>
      <c r="B408" s="52"/>
      <c r="C408" s="21">
        <f t="shared" si="56"/>
        <v>1</v>
      </c>
      <c r="D408" s="635"/>
      <c r="E408" s="21">
        <f t="shared" si="57"/>
        <v>1</v>
      </c>
      <c r="F408" s="635"/>
      <c r="G408" s="21">
        <f t="shared" si="58"/>
        <v>1</v>
      </c>
      <c r="H408" s="635"/>
      <c r="I408" s="21">
        <f t="shared" si="59"/>
        <v>1</v>
      </c>
      <c r="J408" s="635"/>
      <c r="K408" s="21">
        <f t="shared" si="60"/>
        <v>1</v>
      </c>
      <c r="L408" s="635"/>
      <c r="M408" s="21">
        <f t="shared" si="61"/>
        <v>1</v>
      </c>
      <c r="N408" s="635"/>
      <c r="O408" s="21">
        <f t="shared" si="62"/>
        <v>1</v>
      </c>
      <c r="P408" s="635"/>
      <c r="Q408" s="21">
        <f t="shared" si="63"/>
        <v>1</v>
      </c>
      <c r="R408" s="21">
        <f t="shared" si="64"/>
        <v>0</v>
      </c>
      <c r="S408" s="308">
        <f t="shared" ref="S408:S471" si="65">ROUND(R408*B408/10000,0)</f>
        <v>0</v>
      </c>
    </row>
    <row r="409" spans="1:19">
      <c r="A409" s="142"/>
      <c r="B409" s="52"/>
      <c r="C409" s="21">
        <f t="shared" si="56"/>
        <v>1</v>
      </c>
      <c r="D409" s="635"/>
      <c r="E409" s="21">
        <f t="shared" si="57"/>
        <v>1</v>
      </c>
      <c r="F409" s="635"/>
      <c r="G409" s="21">
        <f t="shared" si="58"/>
        <v>1</v>
      </c>
      <c r="H409" s="635"/>
      <c r="I409" s="21">
        <f t="shared" si="59"/>
        <v>1</v>
      </c>
      <c r="J409" s="635"/>
      <c r="K409" s="21">
        <f t="shared" si="60"/>
        <v>1</v>
      </c>
      <c r="L409" s="635"/>
      <c r="M409" s="21">
        <f t="shared" si="61"/>
        <v>1</v>
      </c>
      <c r="N409" s="635"/>
      <c r="O409" s="21">
        <f t="shared" si="62"/>
        <v>1</v>
      </c>
      <c r="P409" s="635"/>
      <c r="Q409" s="21">
        <f t="shared" si="63"/>
        <v>1</v>
      </c>
      <c r="R409" s="21">
        <f t="shared" si="64"/>
        <v>0</v>
      </c>
      <c r="S409" s="308">
        <f t="shared" si="65"/>
        <v>0</v>
      </c>
    </row>
    <row r="410" spans="1:19">
      <c r="A410" s="142"/>
      <c r="B410" s="52"/>
      <c r="C410" s="21">
        <f t="shared" ref="C410:C473" si="66">IF(B410="",1,(LOOKUP(B410,$3:$3,$4:$4)-LOOKUP($B$24,$3:$3,$4:$4)+100)/100)</f>
        <v>1</v>
      </c>
      <c r="D410" s="635"/>
      <c r="E410" s="21">
        <f t="shared" ref="E410:E473" si="67">(SUMIF($5:$5,D410,$6:$6)-SUMIF($5:$5,$D$24,$6:$6)+100)/100</f>
        <v>1</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1</v>
      </c>
      <c r="R410" s="21">
        <f t="shared" ref="R410:R473" si="74">IF(B410="",0,ROUND($R$24*C410*E410*G410*I410*K410*M410*O410*Q410,0))</f>
        <v>0</v>
      </c>
      <c r="S410" s="308">
        <f t="shared" si="65"/>
        <v>0</v>
      </c>
    </row>
    <row r="411" spans="1:19">
      <c r="A411" s="142"/>
      <c r="B411" s="52"/>
      <c r="C411" s="21">
        <f t="shared" si="66"/>
        <v>1</v>
      </c>
      <c r="D411" s="635"/>
      <c r="E411" s="21">
        <f t="shared" si="67"/>
        <v>1</v>
      </c>
      <c r="F411" s="635"/>
      <c r="G411" s="21">
        <f t="shared" si="68"/>
        <v>1</v>
      </c>
      <c r="H411" s="635"/>
      <c r="I411" s="21">
        <f t="shared" si="69"/>
        <v>1</v>
      </c>
      <c r="J411" s="635"/>
      <c r="K411" s="21">
        <f t="shared" si="70"/>
        <v>1</v>
      </c>
      <c r="L411" s="635"/>
      <c r="M411" s="21">
        <f t="shared" si="71"/>
        <v>1</v>
      </c>
      <c r="N411" s="635"/>
      <c r="O411" s="21">
        <f t="shared" si="72"/>
        <v>1</v>
      </c>
      <c r="P411" s="635"/>
      <c r="Q411" s="21">
        <f t="shared" si="73"/>
        <v>1</v>
      </c>
      <c r="R411" s="21">
        <f t="shared" si="74"/>
        <v>0</v>
      </c>
      <c r="S411" s="308">
        <f t="shared" si="65"/>
        <v>0</v>
      </c>
    </row>
    <row r="412" spans="1:19">
      <c r="A412" s="142"/>
      <c r="B412" s="52"/>
      <c r="C412" s="21">
        <f t="shared" si="66"/>
        <v>1</v>
      </c>
      <c r="D412" s="635"/>
      <c r="E412" s="21">
        <f t="shared" si="67"/>
        <v>1</v>
      </c>
      <c r="F412" s="635"/>
      <c r="G412" s="21">
        <f t="shared" si="68"/>
        <v>1</v>
      </c>
      <c r="H412" s="635"/>
      <c r="I412" s="21">
        <f t="shared" si="69"/>
        <v>1</v>
      </c>
      <c r="J412" s="635"/>
      <c r="K412" s="21">
        <f t="shared" si="70"/>
        <v>1</v>
      </c>
      <c r="L412" s="635"/>
      <c r="M412" s="21">
        <f t="shared" si="71"/>
        <v>1</v>
      </c>
      <c r="N412" s="635"/>
      <c r="O412" s="21">
        <f t="shared" si="72"/>
        <v>1</v>
      </c>
      <c r="P412" s="635"/>
      <c r="Q412" s="21">
        <f t="shared" si="73"/>
        <v>1</v>
      </c>
      <c r="R412" s="21">
        <f t="shared" si="74"/>
        <v>0</v>
      </c>
      <c r="S412" s="308">
        <f t="shared" si="65"/>
        <v>0</v>
      </c>
    </row>
    <row r="413" spans="1:19">
      <c r="A413" s="142"/>
      <c r="B413" s="52"/>
      <c r="C413" s="21">
        <f t="shared" si="66"/>
        <v>1</v>
      </c>
      <c r="D413" s="635"/>
      <c r="E413" s="21">
        <f t="shared" si="67"/>
        <v>1</v>
      </c>
      <c r="F413" s="635"/>
      <c r="G413" s="21">
        <f t="shared" si="68"/>
        <v>1</v>
      </c>
      <c r="H413" s="635"/>
      <c r="I413" s="21">
        <f t="shared" si="69"/>
        <v>1</v>
      </c>
      <c r="J413" s="635"/>
      <c r="K413" s="21">
        <f t="shared" si="70"/>
        <v>1</v>
      </c>
      <c r="L413" s="635"/>
      <c r="M413" s="21">
        <f t="shared" si="71"/>
        <v>1</v>
      </c>
      <c r="N413" s="635"/>
      <c r="O413" s="21">
        <f t="shared" si="72"/>
        <v>1</v>
      </c>
      <c r="P413" s="635"/>
      <c r="Q413" s="21">
        <f t="shared" si="73"/>
        <v>1</v>
      </c>
      <c r="R413" s="21">
        <f t="shared" si="74"/>
        <v>0</v>
      </c>
      <c r="S413" s="308">
        <f t="shared" si="65"/>
        <v>0</v>
      </c>
    </row>
    <row r="414" spans="1:19">
      <c r="A414" s="142"/>
      <c r="B414" s="52"/>
      <c r="C414" s="21">
        <f t="shared" si="66"/>
        <v>1</v>
      </c>
      <c r="D414" s="635"/>
      <c r="E414" s="21">
        <f t="shared" si="67"/>
        <v>1</v>
      </c>
      <c r="F414" s="635"/>
      <c r="G414" s="21">
        <f t="shared" si="68"/>
        <v>1</v>
      </c>
      <c r="H414" s="635"/>
      <c r="I414" s="21">
        <f t="shared" si="69"/>
        <v>1</v>
      </c>
      <c r="J414" s="635"/>
      <c r="K414" s="21">
        <f t="shared" si="70"/>
        <v>1</v>
      </c>
      <c r="L414" s="635"/>
      <c r="M414" s="21">
        <f t="shared" si="71"/>
        <v>1</v>
      </c>
      <c r="N414" s="635"/>
      <c r="O414" s="21">
        <f t="shared" si="72"/>
        <v>1</v>
      </c>
      <c r="P414" s="635"/>
      <c r="Q414" s="21">
        <f t="shared" si="73"/>
        <v>1</v>
      </c>
      <c r="R414" s="21">
        <f t="shared" si="74"/>
        <v>0</v>
      </c>
      <c r="S414" s="308">
        <f t="shared" si="65"/>
        <v>0</v>
      </c>
    </row>
    <row r="415" spans="1:19">
      <c r="A415" s="142"/>
      <c r="B415" s="52"/>
      <c r="C415" s="21">
        <f t="shared" si="66"/>
        <v>1</v>
      </c>
      <c r="D415" s="635"/>
      <c r="E415" s="21">
        <f t="shared" si="67"/>
        <v>1</v>
      </c>
      <c r="F415" s="635"/>
      <c r="G415" s="21">
        <f t="shared" si="68"/>
        <v>1</v>
      </c>
      <c r="H415" s="635"/>
      <c r="I415" s="21">
        <f t="shared" si="69"/>
        <v>1</v>
      </c>
      <c r="J415" s="635"/>
      <c r="K415" s="21">
        <f t="shared" si="70"/>
        <v>1</v>
      </c>
      <c r="L415" s="635"/>
      <c r="M415" s="21">
        <f t="shared" si="71"/>
        <v>1</v>
      </c>
      <c r="N415" s="635"/>
      <c r="O415" s="21">
        <f t="shared" si="72"/>
        <v>1</v>
      </c>
      <c r="P415" s="635"/>
      <c r="Q415" s="21">
        <f t="shared" si="73"/>
        <v>1</v>
      </c>
      <c r="R415" s="21">
        <f t="shared" si="74"/>
        <v>0</v>
      </c>
      <c r="S415" s="308">
        <f t="shared" si="65"/>
        <v>0</v>
      </c>
    </row>
    <row r="416" spans="1:19">
      <c r="A416" s="142"/>
      <c r="B416" s="52"/>
      <c r="C416" s="21">
        <f t="shared" si="66"/>
        <v>1</v>
      </c>
      <c r="D416" s="635"/>
      <c r="E416" s="21">
        <f t="shared" si="67"/>
        <v>1</v>
      </c>
      <c r="F416" s="635"/>
      <c r="G416" s="21">
        <f t="shared" si="68"/>
        <v>1</v>
      </c>
      <c r="H416" s="635"/>
      <c r="I416" s="21">
        <f t="shared" si="69"/>
        <v>1</v>
      </c>
      <c r="J416" s="635"/>
      <c r="K416" s="21">
        <f t="shared" si="70"/>
        <v>1</v>
      </c>
      <c r="L416" s="635"/>
      <c r="M416" s="21">
        <f t="shared" si="71"/>
        <v>1</v>
      </c>
      <c r="N416" s="635"/>
      <c r="O416" s="21">
        <f t="shared" si="72"/>
        <v>1</v>
      </c>
      <c r="P416" s="635"/>
      <c r="Q416" s="21">
        <f t="shared" si="73"/>
        <v>1</v>
      </c>
      <c r="R416" s="21">
        <f t="shared" si="74"/>
        <v>0</v>
      </c>
      <c r="S416" s="308">
        <f t="shared" si="65"/>
        <v>0</v>
      </c>
    </row>
    <row r="417" spans="1:19">
      <c r="A417" s="142"/>
      <c r="B417" s="52"/>
      <c r="C417" s="21">
        <f t="shared" si="66"/>
        <v>1</v>
      </c>
      <c r="D417" s="635"/>
      <c r="E417" s="21">
        <f t="shared" si="67"/>
        <v>1</v>
      </c>
      <c r="F417" s="635"/>
      <c r="G417" s="21">
        <f t="shared" si="68"/>
        <v>1</v>
      </c>
      <c r="H417" s="635"/>
      <c r="I417" s="21">
        <f t="shared" si="69"/>
        <v>1</v>
      </c>
      <c r="J417" s="635"/>
      <c r="K417" s="21">
        <f t="shared" si="70"/>
        <v>1</v>
      </c>
      <c r="L417" s="635"/>
      <c r="M417" s="21">
        <f t="shared" si="71"/>
        <v>1</v>
      </c>
      <c r="N417" s="635"/>
      <c r="O417" s="21">
        <f t="shared" si="72"/>
        <v>1</v>
      </c>
      <c r="P417" s="635"/>
      <c r="Q417" s="21">
        <f t="shared" si="73"/>
        <v>1</v>
      </c>
      <c r="R417" s="21">
        <f t="shared" si="74"/>
        <v>0</v>
      </c>
      <c r="S417" s="308">
        <f t="shared" si="65"/>
        <v>0</v>
      </c>
    </row>
    <row r="418" spans="1:19">
      <c r="A418" s="142"/>
      <c r="B418" s="52"/>
      <c r="C418" s="21">
        <f t="shared" si="66"/>
        <v>1</v>
      </c>
      <c r="D418" s="635"/>
      <c r="E418" s="21">
        <f t="shared" si="67"/>
        <v>1</v>
      </c>
      <c r="F418" s="635"/>
      <c r="G418" s="21">
        <f t="shared" si="68"/>
        <v>1</v>
      </c>
      <c r="H418" s="635"/>
      <c r="I418" s="21">
        <f t="shared" si="69"/>
        <v>1</v>
      </c>
      <c r="J418" s="635"/>
      <c r="K418" s="21">
        <f t="shared" si="70"/>
        <v>1</v>
      </c>
      <c r="L418" s="635"/>
      <c r="M418" s="21">
        <f t="shared" si="71"/>
        <v>1</v>
      </c>
      <c r="N418" s="635"/>
      <c r="O418" s="21">
        <f t="shared" si="72"/>
        <v>1</v>
      </c>
      <c r="P418" s="635"/>
      <c r="Q418" s="21">
        <f t="shared" si="73"/>
        <v>1</v>
      </c>
      <c r="R418" s="21">
        <f t="shared" si="74"/>
        <v>0</v>
      </c>
      <c r="S418" s="308">
        <f t="shared" si="65"/>
        <v>0</v>
      </c>
    </row>
    <row r="419" spans="1:19">
      <c r="A419" s="142"/>
      <c r="B419" s="52"/>
      <c r="C419" s="21">
        <f t="shared" si="66"/>
        <v>1</v>
      </c>
      <c r="D419" s="635"/>
      <c r="E419" s="21">
        <f t="shared" si="67"/>
        <v>1</v>
      </c>
      <c r="F419" s="635"/>
      <c r="G419" s="21">
        <f t="shared" si="68"/>
        <v>1</v>
      </c>
      <c r="H419" s="635"/>
      <c r="I419" s="21">
        <f t="shared" si="69"/>
        <v>1</v>
      </c>
      <c r="J419" s="635"/>
      <c r="K419" s="21">
        <f t="shared" si="70"/>
        <v>1</v>
      </c>
      <c r="L419" s="635"/>
      <c r="M419" s="21">
        <f t="shared" si="71"/>
        <v>1</v>
      </c>
      <c r="N419" s="635"/>
      <c r="O419" s="21">
        <f t="shared" si="72"/>
        <v>1</v>
      </c>
      <c r="P419" s="635"/>
      <c r="Q419" s="21">
        <f t="shared" si="73"/>
        <v>1</v>
      </c>
      <c r="R419" s="21">
        <f t="shared" si="74"/>
        <v>0</v>
      </c>
      <c r="S419" s="308">
        <f t="shared" si="65"/>
        <v>0</v>
      </c>
    </row>
    <row r="420" spans="1:19">
      <c r="A420" s="142"/>
      <c r="B420" s="52"/>
      <c r="C420" s="21">
        <f t="shared" si="66"/>
        <v>1</v>
      </c>
      <c r="D420" s="635"/>
      <c r="E420" s="21">
        <f t="shared" si="67"/>
        <v>1</v>
      </c>
      <c r="F420" s="635"/>
      <c r="G420" s="21">
        <f t="shared" si="68"/>
        <v>1</v>
      </c>
      <c r="H420" s="635"/>
      <c r="I420" s="21">
        <f t="shared" si="69"/>
        <v>1</v>
      </c>
      <c r="J420" s="635"/>
      <c r="K420" s="21">
        <f t="shared" si="70"/>
        <v>1</v>
      </c>
      <c r="L420" s="635"/>
      <c r="M420" s="21">
        <f t="shared" si="71"/>
        <v>1</v>
      </c>
      <c r="N420" s="635"/>
      <c r="O420" s="21">
        <f t="shared" si="72"/>
        <v>1</v>
      </c>
      <c r="P420" s="635"/>
      <c r="Q420" s="21">
        <f t="shared" si="73"/>
        <v>1</v>
      </c>
      <c r="R420" s="21">
        <f t="shared" si="74"/>
        <v>0</v>
      </c>
      <c r="S420" s="308">
        <f t="shared" si="65"/>
        <v>0</v>
      </c>
    </row>
    <row r="421" spans="1:19">
      <c r="A421" s="142"/>
      <c r="B421" s="52"/>
      <c r="C421" s="21">
        <f t="shared" si="66"/>
        <v>1</v>
      </c>
      <c r="D421" s="635"/>
      <c r="E421" s="21">
        <f t="shared" si="67"/>
        <v>1</v>
      </c>
      <c r="F421" s="635"/>
      <c r="G421" s="21">
        <f t="shared" si="68"/>
        <v>1</v>
      </c>
      <c r="H421" s="635"/>
      <c r="I421" s="21">
        <f t="shared" si="69"/>
        <v>1</v>
      </c>
      <c r="J421" s="635"/>
      <c r="K421" s="21">
        <f t="shared" si="70"/>
        <v>1</v>
      </c>
      <c r="L421" s="635"/>
      <c r="M421" s="21">
        <f t="shared" si="71"/>
        <v>1</v>
      </c>
      <c r="N421" s="635"/>
      <c r="O421" s="21">
        <f t="shared" si="72"/>
        <v>1</v>
      </c>
      <c r="P421" s="635"/>
      <c r="Q421" s="21">
        <f t="shared" si="73"/>
        <v>1</v>
      </c>
      <c r="R421" s="21">
        <f t="shared" si="74"/>
        <v>0</v>
      </c>
      <c r="S421" s="308">
        <f t="shared" si="65"/>
        <v>0</v>
      </c>
    </row>
    <row r="422" spans="1:19">
      <c r="A422" s="142"/>
      <c r="B422" s="52"/>
      <c r="C422" s="21">
        <f t="shared" si="66"/>
        <v>1</v>
      </c>
      <c r="D422" s="635"/>
      <c r="E422" s="21">
        <f t="shared" si="67"/>
        <v>1</v>
      </c>
      <c r="F422" s="635"/>
      <c r="G422" s="21">
        <f t="shared" si="68"/>
        <v>1</v>
      </c>
      <c r="H422" s="635"/>
      <c r="I422" s="21">
        <f t="shared" si="69"/>
        <v>1</v>
      </c>
      <c r="J422" s="635"/>
      <c r="K422" s="21">
        <f t="shared" si="70"/>
        <v>1</v>
      </c>
      <c r="L422" s="635"/>
      <c r="M422" s="21">
        <f t="shared" si="71"/>
        <v>1</v>
      </c>
      <c r="N422" s="635"/>
      <c r="O422" s="21">
        <f t="shared" si="72"/>
        <v>1</v>
      </c>
      <c r="P422" s="635"/>
      <c r="Q422" s="21">
        <f t="shared" si="73"/>
        <v>1</v>
      </c>
      <c r="R422" s="21">
        <f t="shared" si="74"/>
        <v>0</v>
      </c>
      <c r="S422" s="308">
        <f t="shared" si="65"/>
        <v>0</v>
      </c>
    </row>
    <row r="423" spans="1:19">
      <c r="A423" s="142"/>
      <c r="B423" s="52"/>
      <c r="C423" s="21">
        <f t="shared" si="66"/>
        <v>1</v>
      </c>
      <c r="D423" s="635"/>
      <c r="E423" s="21">
        <f t="shared" si="67"/>
        <v>1</v>
      </c>
      <c r="F423" s="635"/>
      <c r="G423" s="21">
        <f t="shared" si="68"/>
        <v>1</v>
      </c>
      <c r="H423" s="635"/>
      <c r="I423" s="21">
        <f t="shared" si="69"/>
        <v>1</v>
      </c>
      <c r="J423" s="635"/>
      <c r="K423" s="21">
        <f t="shared" si="70"/>
        <v>1</v>
      </c>
      <c r="L423" s="635"/>
      <c r="M423" s="21">
        <f t="shared" si="71"/>
        <v>1</v>
      </c>
      <c r="N423" s="635"/>
      <c r="O423" s="21">
        <f t="shared" si="72"/>
        <v>1</v>
      </c>
      <c r="P423" s="635"/>
      <c r="Q423" s="21">
        <f t="shared" si="73"/>
        <v>1</v>
      </c>
      <c r="R423" s="21">
        <f t="shared" si="74"/>
        <v>0</v>
      </c>
      <c r="S423" s="308">
        <f t="shared" si="65"/>
        <v>0</v>
      </c>
    </row>
    <row r="424" spans="1:19">
      <c r="A424" s="142"/>
      <c r="B424" s="52"/>
      <c r="C424" s="21">
        <f t="shared" si="66"/>
        <v>1</v>
      </c>
      <c r="D424" s="635"/>
      <c r="E424" s="21">
        <f t="shared" si="67"/>
        <v>1</v>
      </c>
      <c r="F424" s="635"/>
      <c r="G424" s="21">
        <f t="shared" si="68"/>
        <v>1</v>
      </c>
      <c r="H424" s="635"/>
      <c r="I424" s="21">
        <f t="shared" si="69"/>
        <v>1</v>
      </c>
      <c r="J424" s="635"/>
      <c r="K424" s="21">
        <f t="shared" si="70"/>
        <v>1</v>
      </c>
      <c r="L424" s="635"/>
      <c r="M424" s="21">
        <f t="shared" si="71"/>
        <v>1</v>
      </c>
      <c r="N424" s="635"/>
      <c r="O424" s="21">
        <f t="shared" si="72"/>
        <v>1</v>
      </c>
      <c r="P424" s="635"/>
      <c r="Q424" s="21">
        <f t="shared" si="73"/>
        <v>1</v>
      </c>
      <c r="R424" s="21">
        <f t="shared" si="74"/>
        <v>0</v>
      </c>
      <c r="S424" s="308">
        <f t="shared" si="65"/>
        <v>0</v>
      </c>
    </row>
    <row r="425" spans="1:19">
      <c r="A425" s="142"/>
      <c r="B425" s="52"/>
      <c r="C425" s="21">
        <f t="shared" si="66"/>
        <v>1</v>
      </c>
      <c r="D425" s="635"/>
      <c r="E425" s="21">
        <f t="shared" si="67"/>
        <v>1</v>
      </c>
      <c r="F425" s="635"/>
      <c r="G425" s="21">
        <f t="shared" si="68"/>
        <v>1</v>
      </c>
      <c r="H425" s="635"/>
      <c r="I425" s="21">
        <f t="shared" si="69"/>
        <v>1</v>
      </c>
      <c r="J425" s="635"/>
      <c r="K425" s="21">
        <f t="shared" si="70"/>
        <v>1</v>
      </c>
      <c r="L425" s="635"/>
      <c r="M425" s="21">
        <f t="shared" si="71"/>
        <v>1</v>
      </c>
      <c r="N425" s="635"/>
      <c r="O425" s="21">
        <f t="shared" si="72"/>
        <v>1</v>
      </c>
      <c r="P425" s="635"/>
      <c r="Q425" s="21">
        <f t="shared" si="73"/>
        <v>1</v>
      </c>
      <c r="R425" s="21">
        <f t="shared" si="74"/>
        <v>0</v>
      </c>
      <c r="S425" s="308">
        <f t="shared" si="65"/>
        <v>0</v>
      </c>
    </row>
    <row r="426" spans="1:19">
      <c r="A426" s="142"/>
      <c r="B426" s="52"/>
      <c r="C426" s="21">
        <f t="shared" si="66"/>
        <v>1</v>
      </c>
      <c r="D426" s="635"/>
      <c r="E426" s="21">
        <f t="shared" si="67"/>
        <v>1</v>
      </c>
      <c r="F426" s="635"/>
      <c r="G426" s="21">
        <f t="shared" si="68"/>
        <v>1</v>
      </c>
      <c r="H426" s="635"/>
      <c r="I426" s="21">
        <f t="shared" si="69"/>
        <v>1</v>
      </c>
      <c r="J426" s="635"/>
      <c r="K426" s="21">
        <f t="shared" si="70"/>
        <v>1</v>
      </c>
      <c r="L426" s="635"/>
      <c r="M426" s="21">
        <f t="shared" si="71"/>
        <v>1</v>
      </c>
      <c r="N426" s="635"/>
      <c r="O426" s="21">
        <f t="shared" si="72"/>
        <v>1</v>
      </c>
      <c r="P426" s="635"/>
      <c r="Q426" s="21">
        <f t="shared" si="73"/>
        <v>1</v>
      </c>
      <c r="R426" s="21">
        <f t="shared" si="74"/>
        <v>0</v>
      </c>
      <c r="S426" s="308">
        <f t="shared" si="65"/>
        <v>0</v>
      </c>
    </row>
    <row r="427" spans="1:19">
      <c r="A427" s="142"/>
      <c r="B427" s="52"/>
      <c r="C427" s="21">
        <f t="shared" si="66"/>
        <v>1</v>
      </c>
      <c r="D427" s="635"/>
      <c r="E427" s="21">
        <f t="shared" si="67"/>
        <v>1</v>
      </c>
      <c r="F427" s="635"/>
      <c r="G427" s="21">
        <f t="shared" si="68"/>
        <v>1</v>
      </c>
      <c r="H427" s="635"/>
      <c r="I427" s="21">
        <f t="shared" si="69"/>
        <v>1</v>
      </c>
      <c r="J427" s="635"/>
      <c r="K427" s="21">
        <f t="shared" si="70"/>
        <v>1</v>
      </c>
      <c r="L427" s="635"/>
      <c r="M427" s="21">
        <f t="shared" si="71"/>
        <v>1</v>
      </c>
      <c r="N427" s="635"/>
      <c r="O427" s="21">
        <f t="shared" si="72"/>
        <v>1</v>
      </c>
      <c r="P427" s="635"/>
      <c r="Q427" s="21">
        <f t="shared" si="73"/>
        <v>1</v>
      </c>
      <c r="R427" s="21">
        <f t="shared" si="74"/>
        <v>0</v>
      </c>
      <c r="S427" s="308">
        <f t="shared" si="65"/>
        <v>0</v>
      </c>
    </row>
    <row r="428" spans="1:19">
      <c r="A428" s="142"/>
      <c r="B428" s="52"/>
      <c r="C428" s="21">
        <f t="shared" si="66"/>
        <v>1</v>
      </c>
      <c r="D428" s="635"/>
      <c r="E428" s="21">
        <f t="shared" si="67"/>
        <v>1</v>
      </c>
      <c r="F428" s="635"/>
      <c r="G428" s="21">
        <f t="shared" si="68"/>
        <v>1</v>
      </c>
      <c r="H428" s="635"/>
      <c r="I428" s="21">
        <f t="shared" si="69"/>
        <v>1</v>
      </c>
      <c r="J428" s="635"/>
      <c r="K428" s="21">
        <f t="shared" si="70"/>
        <v>1</v>
      </c>
      <c r="L428" s="635"/>
      <c r="M428" s="21">
        <f t="shared" si="71"/>
        <v>1</v>
      </c>
      <c r="N428" s="635"/>
      <c r="O428" s="21">
        <f t="shared" si="72"/>
        <v>1</v>
      </c>
      <c r="P428" s="635"/>
      <c r="Q428" s="21">
        <f t="shared" si="73"/>
        <v>1</v>
      </c>
      <c r="R428" s="21">
        <f t="shared" si="74"/>
        <v>0</v>
      </c>
      <c r="S428" s="308">
        <f t="shared" si="65"/>
        <v>0</v>
      </c>
    </row>
    <row r="429" spans="1:19">
      <c r="A429" s="142"/>
      <c r="B429" s="52"/>
      <c r="C429" s="21">
        <f t="shared" si="66"/>
        <v>1</v>
      </c>
      <c r="D429" s="635"/>
      <c r="E429" s="21">
        <f t="shared" si="67"/>
        <v>1</v>
      </c>
      <c r="F429" s="635"/>
      <c r="G429" s="21">
        <f t="shared" si="68"/>
        <v>1</v>
      </c>
      <c r="H429" s="635"/>
      <c r="I429" s="21">
        <f t="shared" si="69"/>
        <v>1</v>
      </c>
      <c r="J429" s="635"/>
      <c r="K429" s="21">
        <f t="shared" si="70"/>
        <v>1</v>
      </c>
      <c r="L429" s="635"/>
      <c r="M429" s="21">
        <f t="shared" si="71"/>
        <v>1</v>
      </c>
      <c r="N429" s="635"/>
      <c r="O429" s="21">
        <f t="shared" si="72"/>
        <v>1</v>
      </c>
      <c r="P429" s="635"/>
      <c r="Q429" s="21">
        <f t="shared" si="73"/>
        <v>1</v>
      </c>
      <c r="R429" s="21">
        <f t="shared" si="74"/>
        <v>0</v>
      </c>
      <c r="S429" s="308">
        <f t="shared" si="65"/>
        <v>0</v>
      </c>
    </row>
    <row r="430" spans="1:19">
      <c r="A430" s="142"/>
      <c r="B430" s="52"/>
      <c r="C430" s="21">
        <f t="shared" si="66"/>
        <v>1</v>
      </c>
      <c r="D430" s="635"/>
      <c r="E430" s="21">
        <f t="shared" si="67"/>
        <v>1</v>
      </c>
      <c r="F430" s="635"/>
      <c r="G430" s="21">
        <f t="shared" si="68"/>
        <v>1</v>
      </c>
      <c r="H430" s="635"/>
      <c r="I430" s="21">
        <f t="shared" si="69"/>
        <v>1</v>
      </c>
      <c r="J430" s="635"/>
      <c r="K430" s="21">
        <f t="shared" si="70"/>
        <v>1</v>
      </c>
      <c r="L430" s="635"/>
      <c r="M430" s="21">
        <f t="shared" si="71"/>
        <v>1</v>
      </c>
      <c r="N430" s="635"/>
      <c r="O430" s="21">
        <f t="shared" si="72"/>
        <v>1</v>
      </c>
      <c r="P430" s="635"/>
      <c r="Q430" s="21">
        <f t="shared" si="73"/>
        <v>1</v>
      </c>
      <c r="R430" s="21">
        <f t="shared" si="74"/>
        <v>0</v>
      </c>
      <c r="S430" s="308">
        <f t="shared" si="65"/>
        <v>0</v>
      </c>
    </row>
    <row r="431" spans="1:19">
      <c r="A431" s="142"/>
      <c r="B431" s="52"/>
      <c r="C431" s="21">
        <f t="shared" si="66"/>
        <v>1</v>
      </c>
      <c r="D431" s="635"/>
      <c r="E431" s="21">
        <f t="shared" si="67"/>
        <v>1</v>
      </c>
      <c r="F431" s="635"/>
      <c r="G431" s="21">
        <f t="shared" si="68"/>
        <v>1</v>
      </c>
      <c r="H431" s="635"/>
      <c r="I431" s="21">
        <f t="shared" si="69"/>
        <v>1</v>
      </c>
      <c r="J431" s="635"/>
      <c r="K431" s="21">
        <f t="shared" si="70"/>
        <v>1</v>
      </c>
      <c r="L431" s="635"/>
      <c r="M431" s="21">
        <f t="shared" si="71"/>
        <v>1</v>
      </c>
      <c r="N431" s="635"/>
      <c r="O431" s="21">
        <f t="shared" si="72"/>
        <v>1</v>
      </c>
      <c r="P431" s="635"/>
      <c r="Q431" s="21">
        <f t="shared" si="73"/>
        <v>1</v>
      </c>
      <c r="R431" s="21">
        <f t="shared" si="74"/>
        <v>0</v>
      </c>
      <c r="S431" s="308">
        <f t="shared" si="65"/>
        <v>0</v>
      </c>
    </row>
    <row r="432" spans="1:19">
      <c r="A432" s="142"/>
      <c r="B432" s="52"/>
      <c r="C432" s="21">
        <f t="shared" si="66"/>
        <v>1</v>
      </c>
      <c r="D432" s="635"/>
      <c r="E432" s="21">
        <f t="shared" si="67"/>
        <v>1</v>
      </c>
      <c r="F432" s="635"/>
      <c r="G432" s="21">
        <f t="shared" si="68"/>
        <v>1</v>
      </c>
      <c r="H432" s="635"/>
      <c r="I432" s="21">
        <f t="shared" si="69"/>
        <v>1</v>
      </c>
      <c r="J432" s="635"/>
      <c r="K432" s="21">
        <f t="shared" si="70"/>
        <v>1</v>
      </c>
      <c r="L432" s="635"/>
      <c r="M432" s="21">
        <f t="shared" si="71"/>
        <v>1</v>
      </c>
      <c r="N432" s="635"/>
      <c r="O432" s="21">
        <f t="shared" si="72"/>
        <v>1</v>
      </c>
      <c r="P432" s="635"/>
      <c r="Q432" s="21">
        <f t="shared" si="73"/>
        <v>1</v>
      </c>
      <c r="R432" s="21">
        <f t="shared" si="74"/>
        <v>0</v>
      </c>
      <c r="S432" s="308">
        <f t="shared" si="65"/>
        <v>0</v>
      </c>
    </row>
    <row r="433" spans="1:19">
      <c r="A433" s="142"/>
      <c r="B433" s="52"/>
      <c r="C433" s="21">
        <f t="shared" si="66"/>
        <v>1</v>
      </c>
      <c r="D433" s="635"/>
      <c r="E433" s="21">
        <f t="shared" si="67"/>
        <v>1</v>
      </c>
      <c r="F433" s="635"/>
      <c r="G433" s="21">
        <f t="shared" si="68"/>
        <v>1</v>
      </c>
      <c r="H433" s="635"/>
      <c r="I433" s="21">
        <f t="shared" si="69"/>
        <v>1</v>
      </c>
      <c r="J433" s="635"/>
      <c r="K433" s="21">
        <f t="shared" si="70"/>
        <v>1</v>
      </c>
      <c r="L433" s="635"/>
      <c r="M433" s="21">
        <f t="shared" si="71"/>
        <v>1</v>
      </c>
      <c r="N433" s="635"/>
      <c r="O433" s="21">
        <f t="shared" si="72"/>
        <v>1</v>
      </c>
      <c r="P433" s="635"/>
      <c r="Q433" s="21">
        <f t="shared" si="73"/>
        <v>1</v>
      </c>
      <c r="R433" s="21">
        <f t="shared" si="74"/>
        <v>0</v>
      </c>
      <c r="S433" s="308">
        <f t="shared" si="65"/>
        <v>0</v>
      </c>
    </row>
    <row r="434" spans="1:19">
      <c r="A434" s="142"/>
      <c r="B434" s="52"/>
      <c r="C434" s="21">
        <f t="shared" si="66"/>
        <v>1</v>
      </c>
      <c r="D434" s="635"/>
      <c r="E434" s="21">
        <f t="shared" si="67"/>
        <v>1</v>
      </c>
      <c r="F434" s="635"/>
      <c r="G434" s="21">
        <f t="shared" si="68"/>
        <v>1</v>
      </c>
      <c r="H434" s="635"/>
      <c r="I434" s="21">
        <f t="shared" si="69"/>
        <v>1</v>
      </c>
      <c r="J434" s="635"/>
      <c r="K434" s="21">
        <f t="shared" si="70"/>
        <v>1</v>
      </c>
      <c r="L434" s="635"/>
      <c r="M434" s="21">
        <f t="shared" si="71"/>
        <v>1</v>
      </c>
      <c r="N434" s="635"/>
      <c r="O434" s="21">
        <f t="shared" si="72"/>
        <v>1</v>
      </c>
      <c r="P434" s="635"/>
      <c r="Q434" s="21">
        <f t="shared" si="73"/>
        <v>1</v>
      </c>
      <c r="R434" s="21">
        <f t="shared" si="74"/>
        <v>0</v>
      </c>
      <c r="S434" s="308">
        <f t="shared" si="65"/>
        <v>0</v>
      </c>
    </row>
    <row r="435" spans="1:19">
      <c r="A435" s="142"/>
      <c r="B435" s="52"/>
      <c r="C435" s="21">
        <f t="shared" si="66"/>
        <v>1</v>
      </c>
      <c r="D435" s="635"/>
      <c r="E435" s="21">
        <f t="shared" si="67"/>
        <v>1</v>
      </c>
      <c r="F435" s="635"/>
      <c r="G435" s="21">
        <f t="shared" si="68"/>
        <v>1</v>
      </c>
      <c r="H435" s="635"/>
      <c r="I435" s="21">
        <f t="shared" si="69"/>
        <v>1</v>
      </c>
      <c r="J435" s="635"/>
      <c r="K435" s="21">
        <f t="shared" si="70"/>
        <v>1</v>
      </c>
      <c r="L435" s="635"/>
      <c r="M435" s="21">
        <f t="shared" si="71"/>
        <v>1</v>
      </c>
      <c r="N435" s="635"/>
      <c r="O435" s="21">
        <f t="shared" si="72"/>
        <v>1</v>
      </c>
      <c r="P435" s="635"/>
      <c r="Q435" s="21">
        <f t="shared" si="73"/>
        <v>1</v>
      </c>
      <c r="R435" s="21">
        <f t="shared" si="74"/>
        <v>0</v>
      </c>
      <c r="S435" s="308">
        <f t="shared" si="65"/>
        <v>0</v>
      </c>
    </row>
    <row r="436" spans="1:19">
      <c r="A436" s="142"/>
      <c r="B436" s="52"/>
      <c r="C436" s="21">
        <f t="shared" si="66"/>
        <v>1</v>
      </c>
      <c r="D436" s="635"/>
      <c r="E436" s="21">
        <f t="shared" si="67"/>
        <v>1</v>
      </c>
      <c r="F436" s="635"/>
      <c r="G436" s="21">
        <f t="shared" si="68"/>
        <v>1</v>
      </c>
      <c r="H436" s="635"/>
      <c r="I436" s="21">
        <f t="shared" si="69"/>
        <v>1</v>
      </c>
      <c r="J436" s="635"/>
      <c r="K436" s="21">
        <f t="shared" si="70"/>
        <v>1</v>
      </c>
      <c r="L436" s="635"/>
      <c r="M436" s="21">
        <f t="shared" si="71"/>
        <v>1</v>
      </c>
      <c r="N436" s="635"/>
      <c r="O436" s="21">
        <f t="shared" si="72"/>
        <v>1</v>
      </c>
      <c r="P436" s="635"/>
      <c r="Q436" s="21">
        <f t="shared" si="73"/>
        <v>1</v>
      </c>
      <c r="R436" s="21">
        <f t="shared" si="74"/>
        <v>0</v>
      </c>
      <c r="S436" s="308">
        <f t="shared" si="65"/>
        <v>0</v>
      </c>
    </row>
    <row r="437" spans="1:19">
      <c r="A437" s="142"/>
      <c r="B437" s="52"/>
      <c r="C437" s="21">
        <f t="shared" si="66"/>
        <v>1</v>
      </c>
      <c r="D437" s="635"/>
      <c r="E437" s="21">
        <f t="shared" si="67"/>
        <v>1</v>
      </c>
      <c r="F437" s="635"/>
      <c r="G437" s="21">
        <f t="shared" si="68"/>
        <v>1</v>
      </c>
      <c r="H437" s="635"/>
      <c r="I437" s="21">
        <f t="shared" si="69"/>
        <v>1</v>
      </c>
      <c r="J437" s="635"/>
      <c r="K437" s="21">
        <f t="shared" si="70"/>
        <v>1</v>
      </c>
      <c r="L437" s="635"/>
      <c r="M437" s="21">
        <f t="shared" si="71"/>
        <v>1</v>
      </c>
      <c r="N437" s="635"/>
      <c r="O437" s="21">
        <f t="shared" si="72"/>
        <v>1</v>
      </c>
      <c r="P437" s="635"/>
      <c r="Q437" s="21">
        <f t="shared" si="73"/>
        <v>1</v>
      </c>
      <c r="R437" s="21">
        <f t="shared" si="74"/>
        <v>0</v>
      </c>
      <c r="S437" s="308">
        <f t="shared" si="65"/>
        <v>0</v>
      </c>
    </row>
    <row r="438" spans="1:19">
      <c r="A438" s="142"/>
      <c r="B438" s="52"/>
      <c r="C438" s="21">
        <f t="shared" si="66"/>
        <v>1</v>
      </c>
      <c r="D438" s="635"/>
      <c r="E438" s="21">
        <f t="shared" si="67"/>
        <v>1</v>
      </c>
      <c r="F438" s="635"/>
      <c r="G438" s="21">
        <f t="shared" si="68"/>
        <v>1</v>
      </c>
      <c r="H438" s="635"/>
      <c r="I438" s="21">
        <f t="shared" si="69"/>
        <v>1</v>
      </c>
      <c r="J438" s="635"/>
      <c r="K438" s="21">
        <f t="shared" si="70"/>
        <v>1</v>
      </c>
      <c r="L438" s="635"/>
      <c r="M438" s="21">
        <f t="shared" si="71"/>
        <v>1</v>
      </c>
      <c r="N438" s="635"/>
      <c r="O438" s="21">
        <f t="shared" si="72"/>
        <v>1</v>
      </c>
      <c r="P438" s="635"/>
      <c r="Q438" s="21">
        <f t="shared" si="73"/>
        <v>1</v>
      </c>
      <c r="R438" s="21">
        <f t="shared" si="74"/>
        <v>0</v>
      </c>
      <c r="S438" s="308">
        <f t="shared" si="65"/>
        <v>0</v>
      </c>
    </row>
    <row r="439" spans="1:19">
      <c r="A439" s="142"/>
      <c r="B439" s="52"/>
      <c r="C439" s="21">
        <f t="shared" si="66"/>
        <v>1</v>
      </c>
      <c r="D439" s="635"/>
      <c r="E439" s="21">
        <f t="shared" si="67"/>
        <v>1</v>
      </c>
      <c r="F439" s="635"/>
      <c r="G439" s="21">
        <f t="shared" si="68"/>
        <v>1</v>
      </c>
      <c r="H439" s="635"/>
      <c r="I439" s="21">
        <f t="shared" si="69"/>
        <v>1</v>
      </c>
      <c r="J439" s="635"/>
      <c r="K439" s="21">
        <f t="shared" si="70"/>
        <v>1</v>
      </c>
      <c r="L439" s="635"/>
      <c r="M439" s="21">
        <f t="shared" si="71"/>
        <v>1</v>
      </c>
      <c r="N439" s="635"/>
      <c r="O439" s="21">
        <f t="shared" si="72"/>
        <v>1</v>
      </c>
      <c r="P439" s="635"/>
      <c r="Q439" s="21">
        <f t="shared" si="73"/>
        <v>1</v>
      </c>
      <c r="R439" s="21">
        <f t="shared" si="74"/>
        <v>0</v>
      </c>
      <c r="S439" s="308">
        <f t="shared" si="65"/>
        <v>0</v>
      </c>
    </row>
    <row r="440" spans="1:19">
      <c r="A440" s="142"/>
      <c r="B440" s="52"/>
      <c r="C440" s="21">
        <f t="shared" si="66"/>
        <v>1</v>
      </c>
      <c r="D440" s="635"/>
      <c r="E440" s="21">
        <f t="shared" si="67"/>
        <v>1</v>
      </c>
      <c r="F440" s="635"/>
      <c r="G440" s="21">
        <f t="shared" si="68"/>
        <v>1</v>
      </c>
      <c r="H440" s="635"/>
      <c r="I440" s="21">
        <f t="shared" si="69"/>
        <v>1</v>
      </c>
      <c r="J440" s="635"/>
      <c r="K440" s="21">
        <f t="shared" si="70"/>
        <v>1</v>
      </c>
      <c r="L440" s="635"/>
      <c r="M440" s="21">
        <f t="shared" si="71"/>
        <v>1</v>
      </c>
      <c r="N440" s="635"/>
      <c r="O440" s="21">
        <f t="shared" si="72"/>
        <v>1</v>
      </c>
      <c r="P440" s="635"/>
      <c r="Q440" s="21">
        <f t="shared" si="73"/>
        <v>1</v>
      </c>
      <c r="R440" s="21">
        <f t="shared" si="74"/>
        <v>0</v>
      </c>
      <c r="S440" s="308">
        <f t="shared" si="65"/>
        <v>0</v>
      </c>
    </row>
    <row r="441" spans="1:19">
      <c r="A441" s="142"/>
      <c r="B441" s="52"/>
      <c r="C441" s="21">
        <f t="shared" si="66"/>
        <v>1</v>
      </c>
      <c r="D441" s="635"/>
      <c r="E441" s="21">
        <f t="shared" si="67"/>
        <v>1</v>
      </c>
      <c r="F441" s="635"/>
      <c r="G441" s="21">
        <f t="shared" si="68"/>
        <v>1</v>
      </c>
      <c r="H441" s="635"/>
      <c r="I441" s="21">
        <f t="shared" si="69"/>
        <v>1</v>
      </c>
      <c r="J441" s="635"/>
      <c r="K441" s="21">
        <f t="shared" si="70"/>
        <v>1</v>
      </c>
      <c r="L441" s="635"/>
      <c r="M441" s="21">
        <f t="shared" si="71"/>
        <v>1</v>
      </c>
      <c r="N441" s="635"/>
      <c r="O441" s="21">
        <f t="shared" si="72"/>
        <v>1</v>
      </c>
      <c r="P441" s="635"/>
      <c r="Q441" s="21">
        <f t="shared" si="73"/>
        <v>1</v>
      </c>
      <c r="R441" s="21">
        <f t="shared" si="74"/>
        <v>0</v>
      </c>
      <c r="S441" s="308">
        <f t="shared" si="65"/>
        <v>0</v>
      </c>
    </row>
    <row r="442" spans="1:19">
      <c r="A442" s="142"/>
      <c r="B442" s="52"/>
      <c r="C442" s="21">
        <f t="shared" si="66"/>
        <v>1</v>
      </c>
      <c r="D442" s="635"/>
      <c r="E442" s="21">
        <f t="shared" si="67"/>
        <v>1</v>
      </c>
      <c r="F442" s="635"/>
      <c r="G442" s="21">
        <f t="shared" si="68"/>
        <v>1</v>
      </c>
      <c r="H442" s="635"/>
      <c r="I442" s="21">
        <f t="shared" si="69"/>
        <v>1</v>
      </c>
      <c r="J442" s="635"/>
      <c r="K442" s="21">
        <f t="shared" si="70"/>
        <v>1</v>
      </c>
      <c r="L442" s="635"/>
      <c r="M442" s="21">
        <f t="shared" si="71"/>
        <v>1</v>
      </c>
      <c r="N442" s="635"/>
      <c r="O442" s="21">
        <f t="shared" si="72"/>
        <v>1</v>
      </c>
      <c r="P442" s="635"/>
      <c r="Q442" s="21">
        <f t="shared" si="73"/>
        <v>1</v>
      </c>
      <c r="R442" s="21">
        <f t="shared" si="74"/>
        <v>0</v>
      </c>
      <c r="S442" s="308">
        <f t="shared" si="65"/>
        <v>0</v>
      </c>
    </row>
    <row r="443" spans="1:19">
      <c r="A443" s="142"/>
      <c r="B443" s="52"/>
      <c r="C443" s="21">
        <f t="shared" si="66"/>
        <v>1</v>
      </c>
      <c r="D443" s="635"/>
      <c r="E443" s="21">
        <f t="shared" si="67"/>
        <v>1</v>
      </c>
      <c r="F443" s="635"/>
      <c r="G443" s="21">
        <f t="shared" si="68"/>
        <v>1</v>
      </c>
      <c r="H443" s="635"/>
      <c r="I443" s="21">
        <f t="shared" si="69"/>
        <v>1</v>
      </c>
      <c r="J443" s="635"/>
      <c r="K443" s="21">
        <f t="shared" si="70"/>
        <v>1</v>
      </c>
      <c r="L443" s="635"/>
      <c r="M443" s="21">
        <f t="shared" si="71"/>
        <v>1</v>
      </c>
      <c r="N443" s="635"/>
      <c r="O443" s="21">
        <f t="shared" si="72"/>
        <v>1</v>
      </c>
      <c r="P443" s="635"/>
      <c r="Q443" s="21">
        <f t="shared" si="73"/>
        <v>1</v>
      </c>
      <c r="R443" s="21">
        <f t="shared" si="74"/>
        <v>0</v>
      </c>
      <c r="S443" s="308">
        <f t="shared" si="65"/>
        <v>0</v>
      </c>
    </row>
    <row r="444" spans="1:19">
      <c r="A444" s="142"/>
      <c r="B444" s="52"/>
      <c r="C444" s="21">
        <f t="shared" si="66"/>
        <v>1</v>
      </c>
      <c r="D444" s="635"/>
      <c r="E444" s="21">
        <f t="shared" si="67"/>
        <v>1</v>
      </c>
      <c r="F444" s="635"/>
      <c r="G444" s="21">
        <f t="shared" si="68"/>
        <v>1</v>
      </c>
      <c r="H444" s="635"/>
      <c r="I444" s="21">
        <f t="shared" si="69"/>
        <v>1</v>
      </c>
      <c r="J444" s="635"/>
      <c r="K444" s="21">
        <f t="shared" si="70"/>
        <v>1</v>
      </c>
      <c r="L444" s="635"/>
      <c r="M444" s="21">
        <f t="shared" si="71"/>
        <v>1</v>
      </c>
      <c r="N444" s="635"/>
      <c r="O444" s="21">
        <f t="shared" si="72"/>
        <v>1</v>
      </c>
      <c r="P444" s="635"/>
      <c r="Q444" s="21">
        <f t="shared" si="73"/>
        <v>1</v>
      </c>
      <c r="R444" s="21">
        <f t="shared" si="74"/>
        <v>0</v>
      </c>
      <c r="S444" s="308">
        <f t="shared" si="65"/>
        <v>0</v>
      </c>
    </row>
    <row r="445" spans="1:19">
      <c r="A445" s="142"/>
      <c r="B445" s="52"/>
      <c r="C445" s="21">
        <f t="shared" si="66"/>
        <v>1</v>
      </c>
      <c r="D445" s="635"/>
      <c r="E445" s="21">
        <f t="shared" si="67"/>
        <v>1</v>
      </c>
      <c r="F445" s="635"/>
      <c r="G445" s="21">
        <f t="shared" si="68"/>
        <v>1</v>
      </c>
      <c r="H445" s="635"/>
      <c r="I445" s="21">
        <f t="shared" si="69"/>
        <v>1</v>
      </c>
      <c r="J445" s="635"/>
      <c r="K445" s="21">
        <f t="shared" si="70"/>
        <v>1</v>
      </c>
      <c r="L445" s="635"/>
      <c r="M445" s="21">
        <f t="shared" si="71"/>
        <v>1</v>
      </c>
      <c r="N445" s="635"/>
      <c r="O445" s="21">
        <f t="shared" si="72"/>
        <v>1</v>
      </c>
      <c r="P445" s="635"/>
      <c r="Q445" s="21">
        <f t="shared" si="73"/>
        <v>1</v>
      </c>
      <c r="R445" s="21">
        <f t="shared" si="74"/>
        <v>0</v>
      </c>
      <c r="S445" s="308">
        <f t="shared" si="65"/>
        <v>0</v>
      </c>
    </row>
    <row r="446" spans="1:19">
      <c r="A446" s="142"/>
      <c r="B446" s="52"/>
      <c r="C446" s="21">
        <f t="shared" si="66"/>
        <v>1</v>
      </c>
      <c r="D446" s="635"/>
      <c r="E446" s="21">
        <f t="shared" si="67"/>
        <v>1</v>
      </c>
      <c r="F446" s="635"/>
      <c r="G446" s="21">
        <f t="shared" si="68"/>
        <v>1</v>
      </c>
      <c r="H446" s="635"/>
      <c r="I446" s="21">
        <f t="shared" si="69"/>
        <v>1</v>
      </c>
      <c r="J446" s="635"/>
      <c r="K446" s="21">
        <f t="shared" si="70"/>
        <v>1</v>
      </c>
      <c r="L446" s="635"/>
      <c r="M446" s="21">
        <f t="shared" si="71"/>
        <v>1</v>
      </c>
      <c r="N446" s="635"/>
      <c r="O446" s="21">
        <f t="shared" si="72"/>
        <v>1</v>
      </c>
      <c r="P446" s="635"/>
      <c r="Q446" s="21">
        <f t="shared" si="73"/>
        <v>1</v>
      </c>
      <c r="R446" s="21">
        <f t="shared" si="74"/>
        <v>0</v>
      </c>
      <c r="S446" s="308">
        <f t="shared" si="65"/>
        <v>0</v>
      </c>
    </row>
    <row r="447" spans="1:19">
      <c r="A447" s="142"/>
      <c r="B447" s="52"/>
      <c r="C447" s="21">
        <f t="shared" si="66"/>
        <v>1</v>
      </c>
      <c r="D447" s="635"/>
      <c r="E447" s="21">
        <f t="shared" si="67"/>
        <v>1</v>
      </c>
      <c r="F447" s="635"/>
      <c r="G447" s="21">
        <f t="shared" si="68"/>
        <v>1</v>
      </c>
      <c r="H447" s="635"/>
      <c r="I447" s="21">
        <f t="shared" si="69"/>
        <v>1</v>
      </c>
      <c r="J447" s="635"/>
      <c r="K447" s="21">
        <f t="shared" si="70"/>
        <v>1</v>
      </c>
      <c r="L447" s="635"/>
      <c r="M447" s="21">
        <f t="shared" si="71"/>
        <v>1</v>
      </c>
      <c r="N447" s="635"/>
      <c r="O447" s="21">
        <f t="shared" si="72"/>
        <v>1</v>
      </c>
      <c r="P447" s="635"/>
      <c r="Q447" s="21">
        <f t="shared" si="73"/>
        <v>1</v>
      </c>
      <c r="R447" s="21">
        <f t="shared" si="74"/>
        <v>0</v>
      </c>
      <c r="S447" s="308">
        <f t="shared" si="65"/>
        <v>0</v>
      </c>
    </row>
    <row r="448" spans="1:19">
      <c r="A448" s="142"/>
      <c r="B448" s="52"/>
      <c r="C448" s="21">
        <f t="shared" si="66"/>
        <v>1</v>
      </c>
      <c r="D448" s="635"/>
      <c r="E448" s="21">
        <f t="shared" si="67"/>
        <v>1</v>
      </c>
      <c r="F448" s="635"/>
      <c r="G448" s="21">
        <f t="shared" si="68"/>
        <v>1</v>
      </c>
      <c r="H448" s="635"/>
      <c r="I448" s="21">
        <f t="shared" si="69"/>
        <v>1</v>
      </c>
      <c r="J448" s="635"/>
      <c r="K448" s="21">
        <f t="shared" si="70"/>
        <v>1</v>
      </c>
      <c r="L448" s="635"/>
      <c r="M448" s="21">
        <f t="shared" si="71"/>
        <v>1</v>
      </c>
      <c r="N448" s="635"/>
      <c r="O448" s="21">
        <f t="shared" si="72"/>
        <v>1</v>
      </c>
      <c r="P448" s="635"/>
      <c r="Q448" s="21">
        <f t="shared" si="73"/>
        <v>1</v>
      </c>
      <c r="R448" s="21">
        <f t="shared" si="74"/>
        <v>0</v>
      </c>
      <c r="S448" s="308">
        <f t="shared" si="65"/>
        <v>0</v>
      </c>
    </row>
    <row r="449" spans="1:19">
      <c r="A449" s="142"/>
      <c r="B449" s="52"/>
      <c r="C449" s="21">
        <f t="shared" si="66"/>
        <v>1</v>
      </c>
      <c r="D449" s="635"/>
      <c r="E449" s="21">
        <f t="shared" si="67"/>
        <v>1</v>
      </c>
      <c r="F449" s="635"/>
      <c r="G449" s="21">
        <f t="shared" si="68"/>
        <v>1</v>
      </c>
      <c r="H449" s="635"/>
      <c r="I449" s="21">
        <f t="shared" si="69"/>
        <v>1</v>
      </c>
      <c r="J449" s="635"/>
      <c r="K449" s="21">
        <f t="shared" si="70"/>
        <v>1</v>
      </c>
      <c r="L449" s="635"/>
      <c r="M449" s="21">
        <f t="shared" si="71"/>
        <v>1</v>
      </c>
      <c r="N449" s="635"/>
      <c r="O449" s="21">
        <f t="shared" si="72"/>
        <v>1</v>
      </c>
      <c r="P449" s="635"/>
      <c r="Q449" s="21">
        <f t="shared" si="73"/>
        <v>1</v>
      </c>
      <c r="R449" s="21">
        <f t="shared" si="74"/>
        <v>0</v>
      </c>
      <c r="S449" s="308">
        <f t="shared" si="65"/>
        <v>0</v>
      </c>
    </row>
    <row r="450" spans="1:19">
      <c r="A450" s="142"/>
      <c r="B450" s="52"/>
      <c r="C450" s="21">
        <f t="shared" si="66"/>
        <v>1</v>
      </c>
      <c r="D450" s="635"/>
      <c r="E450" s="21">
        <f t="shared" si="67"/>
        <v>1</v>
      </c>
      <c r="F450" s="635"/>
      <c r="G450" s="21">
        <f t="shared" si="68"/>
        <v>1</v>
      </c>
      <c r="H450" s="635"/>
      <c r="I450" s="21">
        <f t="shared" si="69"/>
        <v>1</v>
      </c>
      <c r="J450" s="635"/>
      <c r="K450" s="21">
        <f t="shared" si="70"/>
        <v>1</v>
      </c>
      <c r="L450" s="635"/>
      <c r="M450" s="21">
        <f t="shared" si="71"/>
        <v>1</v>
      </c>
      <c r="N450" s="635"/>
      <c r="O450" s="21">
        <f t="shared" si="72"/>
        <v>1</v>
      </c>
      <c r="P450" s="635"/>
      <c r="Q450" s="21">
        <f t="shared" si="73"/>
        <v>1</v>
      </c>
      <c r="R450" s="21">
        <f t="shared" si="74"/>
        <v>0</v>
      </c>
      <c r="S450" s="308">
        <f t="shared" si="65"/>
        <v>0</v>
      </c>
    </row>
    <row r="451" spans="1:19">
      <c r="A451" s="142"/>
      <c r="B451" s="52"/>
      <c r="C451" s="21">
        <f t="shared" si="66"/>
        <v>1</v>
      </c>
      <c r="D451" s="635"/>
      <c r="E451" s="21">
        <f t="shared" si="67"/>
        <v>1</v>
      </c>
      <c r="F451" s="635"/>
      <c r="G451" s="21">
        <f t="shared" si="68"/>
        <v>1</v>
      </c>
      <c r="H451" s="635"/>
      <c r="I451" s="21">
        <f t="shared" si="69"/>
        <v>1</v>
      </c>
      <c r="J451" s="635"/>
      <c r="K451" s="21">
        <f t="shared" si="70"/>
        <v>1</v>
      </c>
      <c r="L451" s="635"/>
      <c r="M451" s="21">
        <f t="shared" si="71"/>
        <v>1</v>
      </c>
      <c r="N451" s="635"/>
      <c r="O451" s="21">
        <f t="shared" si="72"/>
        <v>1</v>
      </c>
      <c r="P451" s="635"/>
      <c r="Q451" s="21">
        <f t="shared" si="73"/>
        <v>1</v>
      </c>
      <c r="R451" s="21">
        <f t="shared" si="74"/>
        <v>0</v>
      </c>
      <c r="S451" s="308">
        <f t="shared" si="65"/>
        <v>0</v>
      </c>
    </row>
    <row r="452" spans="1:19">
      <c r="A452" s="142"/>
      <c r="B452" s="52"/>
      <c r="C452" s="21">
        <f t="shared" si="66"/>
        <v>1</v>
      </c>
      <c r="D452" s="635"/>
      <c r="E452" s="21">
        <f t="shared" si="67"/>
        <v>1</v>
      </c>
      <c r="F452" s="635"/>
      <c r="G452" s="21">
        <f t="shared" si="68"/>
        <v>1</v>
      </c>
      <c r="H452" s="635"/>
      <c r="I452" s="21">
        <f t="shared" si="69"/>
        <v>1</v>
      </c>
      <c r="J452" s="635"/>
      <c r="K452" s="21">
        <f t="shared" si="70"/>
        <v>1</v>
      </c>
      <c r="L452" s="635"/>
      <c r="M452" s="21">
        <f t="shared" si="71"/>
        <v>1</v>
      </c>
      <c r="N452" s="635"/>
      <c r="O452" s="21">
        <f t="shared" si="72"/>
        <v>1</v>
      </c>
      <c r="P452" s="635"/>
      <c r="Q452" s="21">
        <f t="shared" si="73"/>
        <v>1</v>
      </c>
      <c r="R452" s="21">
        <f t="shared" si="74"/>
        <v>0</v>
      </c>
      <c r="S452" s="308">
        <f t="shared" si="65"/>
        <v>0</v>
      </c>
    </row>
    <row r="453" spans="1:19">
      <c r="A453" s="142"/>
      <c r="B453" s="52"/>
      <c r="C453" s="21">
        <f t="shared" si="66"/>
        <v>1</v>
      </c>
      <c r="D453" s="635"/>
      <c r="E453" s="21">
        <f t="shared" si="67"/>
        <v>1</v>
      </c>
      <c r="F453" s="635"/>
      <c r="G453" s="21">
        <f t="shared" si="68"/>
        <v>1</v>
      </c>
      <c r="H453" s="635"/>
      <c r="I453" s="21">
        <f t="shared" si="69"/>
        <v>1</v>
      </c>
      <c r="J453" s="635"/>
      <c r="K453" s="21">
        <f t="shared" si="70"/>
        <v>1</v>
      </c>
      <c r="L453" s="635"/>
      <c r="M453" s="21">
        <f t="shared" si="71"/>
        <v>1</v>
      </c>
      <c r="N453" s="635"/>
      <c r="O453" s="21">
        <f t="shared" si="72"/>
        <v>1</v>
      </c>
      <c r="P453" s="635"/>
      <c r="Q453" s="21">
        <f t="shared" si="73"/>
        <v>1</v>
      </c>
      <c r="R453" s="21">
        <f t="shared" si="74"/>
        <v>0</v>
      </c>
      <c r="S453" s="308">
        <f t="shared" si="65"/>
        <v>0</v>
      </c>
    </row>
    <row r="454" spans="1:19">
      <c r="A454" s="142"/>
      <c r="B454" s="52"/>
      <c r="C454" s="21">
        <f t="shared" si="66"/>
        <v>1</v>
      </c>
      <c r="D454" s="635"/>
      <c r="E454" s="21">
        <f t="shared" si="67"/>
        <v>1</v>
      </c>
      <c r="F454" s="635"/>
      <c r="G454" s="21">
        <f t="shared" si="68"/>
        <v>1</v>
      </c>
      <c r="H454" s="635"/>
      <c r="I454" s="21">
        <f t="shared" si="69"/>
        <v>1</v>
      </c>
      <c r="J454" s="635"/>
      <c r="K454" s="21">
        <f t="shared" si="70"/>
        <v>1</v>
      </c>
      <c r="L454" s="635"/>
      <c r="M454" s="21">
        <f t="shared" si="71"/>
        <v>1</v>
      </c>
      <c r="N454" s="635"/>
      <c r="O454" s="21">
        <f t="shared" si="72"/>
        <v>1</v>
      </c>
      <c r="P454" s="635"/>
      <c r="Q454" s="21">
        <f t="shared" si="73"/>
        <v>1</v>
      </c>
      <c r="R454" s="21">
        <f t="shared" si="74"/>
        <v>0</v>
      </c>
      <c r="S454" s="308">
        <f t="shared" si="65"/>
        <v>0</v>
      </c>
    </row>
    <row r="455" spans="1:19">
      <c r="A455" s="142"/>
      <c r="B455" s="52"/>
      <c r="C455" s="21">
        <f t="shared" si="66"/>
        <v>1</v>
      </c>
      <c r="D455" s="635"/>
      <c r="E455" s="21">
        <f t="shared" si="67"/>
        <v>1</v>
      </c>
      <c r="F455" s="635"/>
      <c r="G455" s="21">
        <f t="shared" si="68"/>
        <v>1</v>
      </c>
      <c r="H455" s="635"/>
      <c r="I455" s="21">
        <f t="shared" si="69"/>
        <v>1</v>
      </c>
      <c r="J455" s="635"/>
      <c r="K455" s="21">
        <f t="shared" si="70"/>
        <v>1</v>
      </c>
      <c r="L455" s="635"/>
      <c r="M455" s="21">
        <f t="shared" si="71"/>
        <v>1</v>
      </c>
      <c r="N455" s="635"/>
      <c r="O455" s="21">
        <f t="shared" si="72"/>
        <v>1</v>
      </c>
      <c r="P455" s="635"/>
      <c r="Q455" s="21">
        <f t="shared" si="73"/>
        <v>1</v>
      </c>
      <c r="R455" s="21">
        <f t="shared" si="74"/>
        <v>0</v>
      </c>
      <c r="S455" s="308">
        <f t="shared" si="65"/>
        <v>0</v>
      </c>
    </row>
    <row r="456" spans="1:19">
      <c r="A456" s="142"/>
      <c r="B456" s="52"/>
      <c r="C456" s="21">
        <f t="shared" si="66"/>
        <v>1</v>
      </c>
      <c r="D456" s="635"/>
      <c r="E456" s="21">
        <f t="shared" si="67"/>
        <v>1</v>
      </c>
      <c r="F456" s="635"/>
      <c r="G456" s="21">
        <f t="shared" si="68"/>
        <v>1</v>
      </c>
      <c r="H456" s="635"/>
      <c r="I456" s="21">
        <f t="shared" si="69"/>
        <v>1</v>
      </c>
      <c r="J456" s="635"/>
      <c r="K456" s="21">
        <f t="shared" si="70"/>
        <v>1</v>
      </c>
      <c r="L456" s="635"/>
      <c r="M456" s="21">
        <f t="shared" si="71"/>
        <v>1</v>
      </c>
      <c r="N456" s="635"/>
      <c r="O456" s="21">
        <f t="shared" si="72"/>
        <v>1</v>
      </c>
      <c r="P456" s="635"/>
      <c r="Q456" s="21">
        <f t="shared" si="73"/>
        <v>1</v>
      </c>
      <c r="R456" s="21">
        <f t="shared" si="74"/>
        <v>0</v>
      </c>
      <c r="S456" s="308">
        <f t="shared" si="65"/>
        <v>0</v>
      </c>
    </row>
    <row r="457" spans="1:19">
      <c r="A457" s="142"/>
      <c r="B457" s="52"/>
      <c r="C457" s="21">
        <f t="shared" si="66"/>
        <v>1</v>
      </c>
      <c r="D457" s="635"/>
      <c r="E457" s="21">
        <f t="shared" si="67"/>
        <v>1</v>
      </c>
      <c r="F457" s="635"/>
      <c r="G457" s="21">
        <f t="shared" si="68"/>
        <v>1</v>
      </c>
      <c r="H457" s="635"/>
      <c r="I457" s="21">
        <f t="shared" si="69"/>
        <v>1</v>
      </c>
      <c r="J457" s="635"/>
      <c r="K457" s="21">
        <f t="shared" si="70"/>
        <v>1</v>
      </c>
      <c r="L457" s="635"/>
      <c r="M457" s="21">
        <f t="shared" si="71"/>
        <v>1</v>
      </c>
      <c r="N457" s="635"/>
      <c r="O457" s="21">
        <f t="shared" si="72"/>
        <v>1</v>
      </c>
      <c r="P457" s="635"/>
      <c r="Q457" s="21">
        <f t="shared" si="73"/>
        <v>1</v>
      </c>
      <c r="R457" s="21">
        <f t="shared" si="74"/>
        <v>0</v>
      </c>
      <c r="S457" s="308">
        <f t="shared" si="65"/>
        <v>0</v>
      </c>
    </row>
    <row r="458" spans="1:19">
      <c r="A458" s="142"/>
      <c r="B458" s="52"/>
      <c r="C458" s="21">
        <f t="shared" si="66"/>
        <v>1</v>
      </c>
      <c r="D458" s="635"/>
      <c r="E458" s="21">
        <f t="shared" si="67"/>
        <v>1</v>
      </c>
      <c r="F458" s="635"/>
      <c r="G458" s="21">
        <f t="shared" si="68"/>
        <v>1</v>
      </c>
      <c r="H458" s="635"/>
      <c r="I458" s="21">
        <f t="shared" si="69"/>
        <v>1</v>
      </c>
      <c r="J458" s="635"/>
      <c r="K458" s="21">
        <f t="shared" si="70"/>
        <v>1</v>
      </c>
      <c r="L458" s="635"/>
      <c r="M458" s="21">
        <f t="shared" si="71"/>
        <v>1</v>
      </c>
      <c r="N458" s="635"/>
      <c r="O458" s="21">
        <f t="shared" si="72"/>
        <v>1</v>
      </c>
      <c r="P458" s="635"/>
      <c r="Q458" s="21">
        <f t="shared" si="73"/>
        <v>1</v>
      </c>
      <c r="R458" s="21">
        <f t="shared" si="74"/>
        <v>0</v>
      </c>
      <c r="S458" s="308">
        <f t="shared" si="65"/>
        <v>0</v>
      </c>
    </row>
    <row r="459" spans="1:19">
      <c r="A459" s="142"/>
      <c r="B459" s="52"/>
      <c r="C459" s="21">
        <f t="shared" si="66"/>
        <v>1</v>
      </c>
      <c r="D459" s="635"/>
      <c r="E459" s="21">
        <f t="shared" si="67"/>
        <v>1</v>
      </c>
      <c r="F459" s="635"/>
      <c r="G459" s="21">
        <f t="shared" si="68"/>
        <v>1</v>
      </c>
      <c r="H459" s="635"/>
      <c r="I459" s="21">
        <f t="shared" si="69"/>
        <v>1</v>
      </c>
      <c r="J459" s="635"/>
      <c r="K459" s="21">
        <f t="shared" si="70"/>
        <v>1</v>
      </c>
      <c r="L459" s="635"/>
      <c r="M459" s="21">
        <f t="shared" si="71"/>
        <v>1</v>
      </c>
      <c r="N459" s="635"/>
      <c r="O459" s="21">
        <f t="shared" si="72"/>
        <v>1</v>
      </c>
      <c r="P459" s="635"/>
      <c r="Q459" s="21">
        <f t="shared" si="73"/>
        <v>1</v>
      </c>
      <c r="R459" s="21">
        <f t="shared" si="74"/>
        <v>0</v>
      </c>
      <c r="S459" s="308">
        <f t="shared" si="65"/>
        <v>0</v>
      </c>
    </row>
    <row r="460" spans="1:19">
      <c r="A460" s="142"/>
      <c r="B460" s="52"/>
      <c r="C460" s="21">
        <f t="shared" si="66"/>
        <v>1</v>
      </c>
      <c r="D460" s="635"/>
      <c r="E460" s="21">
        <f t="shared" si="67"/>
        <v>1</v>
      </c>
      <c r="F460" s="635"/>
      <c r="G460" s="21">
        <f t="shared" si="68"/>
        <v>1</v>
      </c>
      <c r="H460" s="635"/>
      <c r="I460" s="21">
        <f t="shared" si="69"/>
        <v>1</v>
      </c>
      <c r="J460" s="635"/>
      <c r="K460" s="21">
        <f t="shared" si="70"/>
        <v>1</v>
      </c>
      <c r="L460" s="635"/>
      <c r="M460" s="21">
        <f t="shared" si="71"/>
        <v>1</v>
      </c>
      <c r="N460" s="635"/>
      <c r="O460" s="21">
        <f t="shared" si="72"/>
        <v>1</v>
      </c>
      <c r="P460" s="635"/>
      <c r="Q460" s="21">
        <f t="shared" si="73"/>
        <v>1</v>
      </c>
      <c r="R460" s="21">
        <f t="shared" si="74"/>
        <v>0</v>
      </c>
      <c r="S460" s="308">
        <f t="shared" si="65"/>
        <v>0</v>
      </c>
    </row>
    <row r="461" spans="1:19">
      <c r="A461" s="142"/>
      <c r="B461" s="52"/>
      <c r="C461" s="21">
        <f t="shared" si="66"/>
        <v>1</v>
      </c>
      <c r="D461" s="635"/>
      <c r="E461" s="21">
        <f t="shared" si="67"/>
        <v>1</v>
      </c>
      <c r="F461" s="635"/>
      <c r="G461" s="21">
        <f t="shared" si="68"/>
        <v>1</v>
      </c>
      <c r="H461" s="635"/>
      <c r="I461" s="21">
        <f t="shared" si="69"/>
        <v>1</v>
      </c>
      <c r="J461" s="635"/>
      <c r="K461" s="21">
        <f t="shared" si="70"/>
        <v>1</v>
      </c>
      <c r="L461" s="635"/>
      <c r="M461" s="21">
        <f t="shared" si="71"/>
        <v>1</v>
      </c>
      <c r="N461" s="635"/>
      <c r="O461" s="21">
        <f t="shared" si="72"/>
        <v>1</v>
      </c>
      <c r="P461" s="635"/>
      <c r="Q461" s="21">
        <f t="shared" si="73"/>
        <v>1</v>
      </c>
      <c r="R461" s="21">
        <f t="shared" si="74"/>
        <v>0</v>
      </c>
      <c r="S461" s="308">
        <f t="shared" si="65"/>
        <v>0</v>
      </c>
    </row>
    <row r="462" spans="1:19">
      <c r="A462" s="142"/>
      <c r="B462" s="52"/>
      <c r="C462" s="21">
        <f t="shared" si="66"/>
        <v>1</v>
      </c>
      <c r="D462" s="635"/>
      <c r="E462" s="21">
        <f t="shared" si="67"/>
        <v>1</v>
      </c>
      <c r="F462" s="635"/>
      <c r="G462" s="21">
        <f t="shared" si="68"/>
        <v>1</v>
      </c>
      <c r="H462" s="635"/>
      <c r="I462" s="21">
        <f t="shared" si="69"/>
        <v>1</v>
      </c>
      <c r="J462" s="635"/>
      <c r="K462" s="21">
        <f t="shared" si="70"/>
        <v>1</v>
      </c>
      <c r="L462" s="635"/>
      <c r="M462" s="21">
        <f t="shared" si="71"/>
        <v>1</v>
      </c>
      <c r="N462" s="635"/>
      <c r="O462" s="21">
        <f t="shared" si="72"/>
        <v>1</v>
      </c>
      <c r="P462" s="635"/>
      <c r="Q462" s="21">
        <f t="shared" si="73"/>
        <v>1</v>
      </c>
      <c r="R462" s="21">
        <f t="shared" si="74"/>
        <v>0</v>
      </c>
      <c r="S462" s="308">
        <f t="shared" si="65"/>
        <v>0</v>
      </c>
    </row>
    <row r="463" spans="1:19">
      <c r="A463" s="142"/>
      <c r="B463" s="52"/>
      <c r="C463" s="21">
        <f t="shared" si="66"/>
        <v>1</v>
      </c>
      <c r="D463" s="635"/>
      <c r="E463" s="21">
        <f t="shared" si="67"/>
        <v>1</v>
      </c>
      <c r="F463" s="635"/>
      <c r="G463" s="21">
        <f t="shared" si="68"/>
        <v>1</v>
      </c>
      <c r="H463" s="635"/>
      <c r="I463" s="21">
        <f t="shared" si="69"/>
        <v>1</v>
      </c>
      <c r="J463" s="635"/>
      <c r="K463" s="21">
        <f t="shared" si="70"/>
        <v>1</v>
      </c>
      <c r="L463" s="635"/>
      <c r="M463" s="21">
        <f t="shared" si="71"/>
        <v>1</v>
      </c>
      <c r="N463" s="635"/>
      <c r="O463" s="21">
        <f t="shared" si="72"/>
        <v>1</v>
      </c>
      <c r="P463" s="635"/>
      <c r="Q463" s="21">
        <f t="shared" si="73"/>
        <v>1</v>
      </c>
      <c r="R463" s="21">
        <f t="shared" si="74"/>
        <v>0</v>
      </c>
      <c r="S463" s="308">
        <f t="shared" si="65"/>
        <v>0</v>
      </c>
    </row>
    <row r="464" spans="1:19">
      <c r="A464" s="142"/>
      <c r="B464" s="52"/>
      <c r="C464" s="21">
        <f t="shared" si="66"/>
        <v>1</v>
      </c>
      <c r="D464" s="635"/>
      <c r="E464" s="21">
        <f t="shared" si="67"/>
        <v>1</v>
      </c>
      <c r="F464" s="635"/>
      <c r="G464" s="21">
        <f t="shared" si="68"/>
        <v>1</v>
      </c>
      <c r="H464" s="635"/>
      <c r="I464" s="21">
        <f t="shared" si="69"/>
        <v>1</v>
      </c>
      <c r="J464" s="635"/>
      <c r="K464" s="21">
        <f t="shared" si="70"/>
        <v>1</v>
      </c>
      <c r="L464" s="635"/>
      <c r="M464" s="21">
        <f t="shared" si="71"/>
        <v>1</v>
      </c>
      <c r="N464" s="635"/>
      <c r="O464" s="21">
        <f t="shared" si="72"/>
        <v>1</v>
      </c>
      <c r="P464" s="635"/>
      <c r="Q464" s="21">
        <f t="shared" si="73"/>
        <v>1</v>
      </c>
      <c r="R464" s="21">
        <f t="shared" si="74"/>
        <v>0</v>
      </c>
      <c r="S464" s="308">
        <f t="shared" si="65"/>
        <v>0</v>
      </c>
    </row>
    <row r="465" spans="1:19">
      <c r="A465" s="142"/>
      <c r="B465" s="52"/>
      <c r="C465" s="21">
        <f t="shared" si="66"/>
        <v>1</v>
      </c>
      <c r="D465" s="635"/>
      <c r="E465" s="21">
        <f t="shared" si="67"/>
        <v>1</v>
      </c>
      <c r="F465" s="635"/>
      <c r="G465" s="21">
        <f t="shared" si="68"/>
        <v>1</v>
      </c>
      <c r="H465" s="635"/>
      <c r="I465" s="21">
        <f t="shared" si="69"/>
        <v>1</v>
      </c>
      <c r="J465" s="635"/>
      <c r="K465" s="21">
        <f t="shared" si="70"/>
        <v>1</v>
      </c>
      <c r="L465" s="635"/>
      <c r="M465" s="21">
        <f t="shared" si="71"/>
        <v>1</v>
      </c>
      <c r="N465" s="635"/>
      <c r="O465" s="21">
        <f t="shared" si="72"/>
        <v>1</v>
      </c>
      <c r="P465" s="635"/>
      <c r="Q465" s="21">
        <f t="shared" si="73"/>
        <v>1</v>
      </c>
      <c r="R465" s="21">
        <f t="shared" si="74"/>
        <v>0</v>
      </c>
      <c r="S465" s="308">
        <f t="shared" si="65"/>
        <v>0</v>
      </c>
    </row>
    <row r="466" spans="1:19">
      <c r="A466" s="142"/>
      <c r="B466" s="52"/>
      <c r="C466" s="21">
        <f t="shared" si="66"/>
        <v>1</v>
      </c>
      <c r="D466" s="635"/>
      <c r="E466" s="21">
        <f t="shared" si="67"/>
        <v>1</v>
      </c>
      <c r="F466" s="635"/>
      <c r="G466" s="21">
        <f t="shared" si="68"/>
        <v>1</v>
      </c>
      <c r="H466" s="635"/>
      <c r="I466" s="21">
        <f t="shared" si="69"/>
        <v>1</v>
      </c>
      <c r="J466" s="635"/>
      <c r="K466" s="21">
        <f t="shared" si="70"/>
        <v>1</v>
      </c>
      <c r="L466" s="635"/>
      <c r="M466" s="21">
        <f t="shared" si="71"/>
        <v>1</v>
      </c>
      <c r="N466" s="635"/>
      <c r="O466" s="21">
        <f t="shared" si="72"/>
        <v>1</v>
      </c>
      <c r="P466" s="635"/>
      <c r="Q466" s="21">
        <f t="shared" si="73"/>
        <v>1</v>
      </c>
      <c r="R466" s="21">
        <f t="shared" si="74"/>
        <v>0</v>
      </c>
      <c r="S466" s="308">
        <f t="shared" si="65"/>
        <v>0</v>
      </c>
    </row>
    <row r="467" spans="1:19">
      <c r="A467" s="142"/>
      <c r="B467" s="52"/>
      <c r="C467" s="21">
        <f t="shared" si="66"/>
        <v>1</v>
      </c>
      <c r="D467" s="635"/>
      <c r="E467" s="21">
        <f t="shared" si="67"/>
        <v>1</v>
      </c>
      <c r="F467" s="635"/>
      <c r="G467" s="21">
        <f t="shared" si="68"/>
        <v>1</v>
      </c>
      <c r="H467" s="635"/>
      <c r="I467" s="21">
        <f t="shared" si="69"/>
        <v>1</v>
      </c>
      <c r="J467" s="635"/>
      <c r="K467" s="21">
        <f t="shared" si="70"/>
        <v>1</v>
      </c>
      <c r="L467" s="635"/>
      <c r="M467" s="21">
        <f t="shared" si="71"/>
        <v>1</v>
      </c>
      <c r="N467" s="635"/>
      <c r="O467" s="21">
        <f t="shared" si="72"/>
        <v>1</v>
      </c>
      <c r="P467" s="635"/>
      <c r="Q467" s="21">
        <f t="shared" si="73"/>
        <v>1</v>
      </c>
      <c r="R467" s="21">
        <f t="shared" si="74"/>
        <v>0</v>
      </c>
      <c r="S467" s="308">
        <f t="shared" si="65"/>
        <v>0</v>
      </c>
    </row>
    <row r="468" spans="1:19">
      <c r="A468" s="142"/>
      <c r="B468" s="52"/>
      <c r="C468" s="21">
        <f t="shared" si="66"/>
        <v>1</v>
      </c>
      <c r="D468" s="635"/>
      <c r="E468" s="21">
        <f t="shared" si="67"/>
        <v>1</v>
      </c>
      <c r="F468" s="635"/>
      <c r="G468" s="21">
        <f t="shared" si="68"/>
        <v>1</v>
      </c>
      <c r="H468" s="635"/>
      <c r="I468" s="21">
        <f t="shared" si="69"/>
        <v>1</v>
      </c>
      <c r="J468" s="635"/>
      <c r="K468" s="21">
        <f t="shared" si="70"/>
        <v>1</v>
      </c>
      <c r="L468" s="635"/>
      <c r="M468" s="21">
        <f t="shared" si="71"/>
        <v>1</v>
      </c>
      <c r="N468" s="635"/>
      <c r="O468" s="21">
        <f t="shared" si="72"/>
        <v>1</v>
      </c>
      <c r="P468" s="635"/>
      <c r="Q468" s="21">
        <f t="shared" si="73"/>
        <v>1</v>
      </c>
      <c r="R468" s="21">
        <f t="shared" si="74"/>
        <v>0</v>
      </c>
      <c r="S468" s="308">
        <f t="shared" si="65"/>
        <v>0</v>
      </c>
    </row>
    <row r="469" spans="1:19">
      <c r="A469" s="142"/>
      <c r="B469" s="52"/>
      <c r="C469" s="21">
        <f t="shared" si="66"/>
        <v>1</v>
      </c>
      <c r="D469" s="635"/>
      <c r="E469" s="21">
        <f t="shared" si="67"/>
        <v>1</v>
      </c>
      <c r="F469" s="635"/>
      <c r="G469" s="21">
        <f t="shared" si="68"/>
        <v>1</v>
      </c>
      <c r="H469" s="635"/>
      <c r="I469" s="21">
        <f t="shared" si="69"/>
        <v>1</v>
      </c>
      <c r="J469" s="635"/>
      <c r="K469" s="21">
        <f t="shared" si="70"/>
        <v>1</v>
      </c>
      <c r="L469" s="635"/>
      <c r="M469" s="21">
        <f t="shared" si="71"/>
        <v>1</v>
      </c>
      <c r="N469" s="635"/>
      <c r="O469" s="21">
        <f t="shared" si="72"/>
        <v>1</v>
      </c>
      <c r="P469" s="635"/>
      <c r="Q469" s="21">
        <f t="shared" si="73"/>
        <v>1</v>
      </c>
      <c r="R469" s="21">
        <f t="shared" si="74"/>
        <v>0</v>
      </c>
      <c r="S469" s="308">
        <f t="shared" si="65"/>
        <v>0</v>
      </c>
    </row>
    <row r="470" spans="1:19">
      <c r="A470" s="142"/>
      <c r="B470" s="52"/>
      <c r="C470" s="21">
        <f t="shared" si="66"/>
        <v>1</v>
      </c>
      <c r="D470" s="635"/>
      <c r="E470" s="21">
        <f t="shared" si="67"/>
        <v>1</v>
      </c>
      <c r="F470" s="635"/>
      <c r="G470" s="21">
        <f t="shared" si="68"/>
        <v>1</v>
      </c>
      <c r="H470" s="635"/>
      <c r="I470" s="21">
        <f t="shared" si="69"/>
        <v>1</v>
      </c>
      <c r="J470" s="635"/>
      <c r="K470" s="21">
        <f t="shared" si="70"/>
        <v>1</v>
      </c>
      <c r="L470" s="635"/>
      <c r="M470" s="21">
        <f t="shared" si="71"/>
        <v>1</v>
      </c>
      <c r="N470" s="635"/>
      <c r="O470" s="21">
        <f t="shared" si="72"/>
        <v>1</v>
      </c>
      <c r="P470" s="635"/>
      <c r="Q470" s="21">
        <f t="shared" si="73"/>
        <v>1</v>
      </c>
      <c r="R470" s="21">
        <f t="shared" si="74"/>
        <v>0</v>
      </c>
      <c r="S470" s="308">
        <f t="shared" si="65"/>
        <v>0</v>
      </c>
    </row>
    <row r="471" spans="1:19">
      <c r="A471" s="142"/>
      <c r="B471" s="52"/>
      <c r="C471" s="21">
        <f t="shared" si="66"/>
        <v>1</v>
      </c>
      <c r="D471" s="635"/>
      <c r="E471" s="21">
        <f t="shared" si="67"/>
        <v>1</v>
      </c>
      <c r="F471" s="635"/>
      <c r="G471" s="21">
        <f t="shared" si="68"/>
        <v>1</v>
      </c>
      <c r="H471" s="635"/>
      <c r="I471" s="21">
        <f t="shared" si="69"/>
        <v>1</v>
      </c>
      <c r="J471" s="635"/>
      <c r="K471" s="21">
        <f t="shared" si="70"/>
        <v>1</v>
      </c>
      <c r="L471" s="635"/>
      <c r="M471" s="21">
        <f t="shared" si="71"/>
        <v>1</v>
      </c>
      <c r="N471" s="635"/>
      <c r="O471" s="21">
        <f t="shared" si="72"/>
        <v>1</v>
      </c>
      <c r="P471" s="635"/>
      <c r="Q471" s="21">
        <f t="shared" si="73"/>
        <v>1</v>
      </c>
      <c r="R471" s="21">
        <f t="shared" si="74"/>
        <v>0</v>
      </c>
      <c r="S471" s="308">
        <f t="shared" si="65"/>
        <v>0</v>
      </c>
    </row>
    <row r="472" spans="1:19">
      <c r="A472" s="142"/>
      <c r="B472" s="52"/>
      <c r="C472" s="21">
        <f t="shared" si="66"/>
        <v>1</v>
      </c>
      <c r="D472" s="635"/>
      <c r="E472" s="21">
        <f t="shared" si="67"/>
        <v>1</v>
      </c>
      <c r="F472" s="635"/>
      <c r="G472" s="21">
        <f t="shared" si="68"/>
        <v>1</v>
      </c>
      <c r="H472" s="635"/>
      <c r="I472" s="21">
        <f t="shared" si="69"/>
        <v>1</v>
      </c>
      <c r="J472" s="635"/>
      <c r="K472" s="21">
        <f t="shared" si="70"/>
        <v>1</v>
      </c>
      <c r="L472" s="635"/>
      <c r="M472" s="21">
        <f t="shared" si="71"/>
        <v>1</v>
      </c>
      <c r="N472" s="635"/>
      <c r="O472" s="21">
        <f t="shared" si="72"/>
        <v>1</v>
      </c>
      <c r="P472" s="635"/>
      <c r="Q472" s="21">
        <f t="shared" si="73"/>
        <v>1</v>
      </c>
      <c r="R472" s="21">
        <f t="shared" si="74"/>
        <v>0</v>
      </c>
      <c r="S472" s="308">
        <f t="shared" ref="S472:S524" si="75">ROUND(R472*B472/10000,0)</f>
        <v>0</v>
      </c>
    </row>
    <row r="473" spans="1:19">
      <c r="A473" s="142"/>
      <c r="B473" s="52"/>
      <c r="C473" s="21">
        <f t="shared" si="66"/>
        <v>1</v>
      </c>
      <c r="D473" s="635"/>
      <c r="E473" s="21">
        <f t="shared" si="67"/>
        <v>1</v>
      </c>
      <c r="F473" s="635"/>
      <c r="G473" s="21">
        <f t="shared" si="68"/>
        <v>1</v>
      </c>
      <c r="H473" s="635"/>
      <c r="I473" s="21">
        <f t="shared" si="69"/>
        <v>1</v>
      </c>
      <c r="J473" s="635"/>
      <c r="K473" s="21">
        <f t="shared" si="70"/>
        <v>1</v>
      </c>
      <c r="L473" s="635"/>
      <c r="M473" s="21">
        <f t="shared" si="71"/>
        <v>1</v>
      </c>
      <c r="N473" s="635"/>
      <c r="O473" s="21">
        <f t="shared" si="72"/>
        <v>1</v>
      </c>
      <c r="P473" s="635"/>
      <c r="Q473" s="21">
        <f t="shared" si="73"/>
        <v>1</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1</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1</v>
      </c>
      <c r="R474" s="21">
        <f t="shared" ref="R474:R524" si="84">IF(B474="",0,ROUND($R$24*C474*E474*G474*I474*K474*M474*O474*Q474,0))</f>
        <v>0</v>
      </c>
      <c r="S474" s="308">
        <f t="shared" si="75"/>
        <v>0</v>
      </c>
    </row>
    <row r="475" spans="1:19">
      <c r="A475" s="142"/>
      <c r="B475" s="52"/>
      <c r="C475" s="21">
        <f t="shared" si="76"/>
        <v>1</v>
      </c>
      <c r="D475" s="635"/>
      <c r="E475" s="21">
        <f t="shared" si="77"/>
        <v>1</v>
      </c>
      <c r="F475" s="635"/>
      <c r="G475" s="21">
        <f t="shared" si="78"/>
        <v>1</v>
      </c>
      <c r="H475" s="635"/>
      <c r="I475" s="21">
        <f t="shared" si="79"/>
        <v>1</v>
      </c>
      <c r="J475" s="635"/>
      <c r="K475" s="21">
        <f t="shared" si="80"/>
        <v>1</v>
      </c>
      <c r="L475" s="635"/>
      <c r="M475" s="21">
        <f t="shared" si="81"/>
        <v>1</v>
      </c>
      <c r="N475" s="635"/>
      <c r="O475" s="21">
        <f t="shared" si="82"/>
        <v>1</v>
      </c>
      <c r="P475" s="635"/>
      <c r="Q475" s="21">
        <f t="shared" si="83"/>
        <v>1</v>
      </c>
      <c r="R475" s="21">
        <f t="shared" si="84"/>
        <v>0</v>
      </c>
      <c r="S475" s="308">
        <f t="shared" si="75"/>
        <v>0</v>
      </c>
    </row>
    <row r="476" spans="1:19">
      <c r="A476" s="142"/>
      <c r="B476" s="52"/>
      <c r="C476" s="21">
        <f t="shared" si="76"/>
        <v>1</v>
      </c>
      <c r="D476" s="635"/>
      <c r="E476" s="21">
        <f t="shared" si="77"/>
        <v>1</v>
      </c>
      <c r="F476" s="635"/>
      <c r="G476" s="21">
        <f t="shared" si="78"/>
        <v>1</v>
      </c>
      <c r="H476" s="635"/>
      <c r="I476" s="21">
        <f t="shared" si="79"/>
        <v>1</v>
      </c>
      <c r="J476" s="635"/>
      <c r="K476" s="21">
        <f t="shared" si="80"/>
        <v>1</v>
      </c>
      <c r="L476" s="635"/>
      <c r="M476" s="21">
        <f t="shared" si="81"/>
        <v>1</v>
      </c>
      <c r="N476" s="635"/>
      <c r="O476" s="21">
        <f t="shared" si="82"/>
        <v>1</v>
      </c>
      <c r="P476" s="635"/>
      <c r="Q476" s="21">
        <f t="shared" si="83"/>
        <v>1</v>
      </c>
      <c r="R476" s="21">
        <f t="shared" si="84"/>
        <v>0</v>
      </c>
      <c r="S476" s="308">
        <f t="shared" si="75"/>
        <v>0</v>
      </c>
    </row>
    <row r="477" spans="1:19">
      <c r="A477" s="142"/>
      <c r="B477" s="52"/>
      <c r="C477" s="21">
        <f t="shared" si="76"/>
        <v>1</v>
      </c>
      <c r="D477" s="635"/>
      <c r="E477" s="21">
        <f t="shared" si="77"/>
        <v>1</v>
      </c>
      <c r="F477" s="635"/>
      <c r="G477" s="21">
        <f t="shared" si="78"/>
        <v>1</v>
      </c>
      <c r="H477" s="635"/>
      <c r="I477" s="21">
        <f t="shared" si="79"/>
        <v>1</v>
      </c>
      <c r="J477" s="635"/>
      <c r="K477" s="21">
        <f t="shared" si="80"/>
        <v>1</v>
      </c>
      <c r="L477" s="635"/>
      <c r="M477" s="21">
        <f t="shared" si="81"/>
        <v>1</v>
      </c>
      <c r="N477" s="635"/>
      <c r="O477" s="21">
        <f t="shared" si="82"/>
        <v>1</v>
      </c>
      <c r="P477" s="635"/>
      <c r="Q477" s="21">
        <f t="shared" si="83"/>
        <v>1</v>
      </c>
      <c r="R477" s="21">
        <f t="shared" si="84"/>
        <v>0</v>
      </c>
      <c r="S477" s="308">
        <f t="shared" si="75"/>
        <v>0</v>
      </c>
    </row>
    <row r="478" spans="1:19">
      <c r="A478" s="142"/>
      <c r="B478" s="52"/>
      <c r="C478" s="21">
        <f t="shared" si="76"/>
        <v>1</v>
      </c>
      <c r="D478" s="635"/>
      <c r="E478" s="21">
        <f t="shared" si="77"/>
        <v>1</v>
      </c>
      <c r="F478" s="635"/>
      <c r="G478" s="21">
        <f t="shared" si="78"/>
        <v>1</v>
      </c>
      <c r="H478" s="635"/>
      <c r="I478" s="21">
        <f t="shared" si="79"/>
        <v>1</v>
      </c>
      <c r="J478" s="635"/>
      <c r="K478" s="21">
        <f t="shared" si="80"/>
        <v>1</v>
      </c>
      <c r="L478" s="635"/>
      <c r="M478" s="21">
        <f t="shared" si="81"/>
        <v>1</v>
      </c>
      <c r="N478" s="635"/>
      <c r="O478" s="21">
        <f t="shared" si="82"/>
        <v>1</v>
      </c>
      <c r="P478" s="635"/>
      <c r="Q478" s="21">
        <f t="shared" si="83"/>
        <v>1</v>
      </c>
      <c r="R478" s="21">
        <f t="shared" si="84"/>
        <v>0</v>
      </c>
      <c r="S478" s="308">
        <f t="shared" si="75"/>
        <v>0</v>
      </c>
    </row>
    <row r="479" spans="1:19">
      <c r="A479" s="142"/>
      <c r="B479" s="52"/>
      <c r="C479" s="21">
        <f t="shared" si="76"/>
        <v>1</v>
      </c>
      <c r="D479" s="635"/>
      <c r="E479" s="21">
        <f t="shared" si="77"/>
        <v>1</v>
      </c>
      <c r="F479" s="635"/>
      <c r="G479" s="21">
        <f t="shared" si="78"/>
        <v>1</v>
      </c>
      <c r="H479" s="635"/>
      <c r="I479" s="21">
        <f t="shared" si="79"/>
        <v>1</v>
      </c>
      <c r="J479" s="635"/>
      <c r="K479" s="21">
        <f t="shared" si="80"/>
        <v>1</v>
      </c>
      <c r="L479" s="635"/>
      <c r="M479" s="21">
        <f t="shared" si="81"/>
        <v>1</v>
      </c>
      <c r="N479" s="635"/>
      <c r="O479" s="21">
        <f t="shared" si="82"/>
        <v>1</v>
      </c>
      <c r="P479" s="635"/>
      <c r="Q479" s="21">
        <f t="shared" si="83"/>
        <v>1</v>
      </c>
      <c r="R479" s="21">
        <f t="shared" si="84"/>
        <v>0</v>
      </c>
      <c r="S479" s="308">
        <f t="shared" si="75"/>
        <v>0</v>
      </c>
    </row>
    <row r="480" spans="1:19">
      <c r="A480" s="142"/>
      <c r="B480" s="52"/>
      <c r="C480" s="21">
        <f t="shared" si="76"/>
        <v>1</v>
      </c>
      <c r="D480" s="635"/>
      <c r="E480" s="21">
        <f t="shared" si="77"/>
        <v>1</v>
      </c>
      <c r="F480" s="635"/>
      <c r="G480" s="21">
        <f t="shared" si="78"/>
        <v>1</v>
      </c>
      <c r="H480" s="635"/>
      <c r="I480" s="21">
        <f t="shared" si="79"/>
        <v>1</v>
      </c>
      <c r="J480" s="635"/>
      <c r="K480" s="21">
        <f t="shared" si="80"/>
        <v>1</v>
      </c>
      <c r="L480" s="635"/>
      <c r="M480" s="21">
        <f t="shared" si="81"/>
        <v>1</v>
      </c>
      <c r="N480" s="635"/>
      <c r="O480" s="21">
        <f t="shared" si="82"/>
        <v>1</v>
      </c>
      <c r="P480" s="635"/>
      <c r="Q480" s="21">
        <f t="shared" si="83"/>
        <v>1</v>
      </c>
      <c r="R480" s="21">
        <f t="shared" si="84"/>
        <v>0</v>
      </c>
      <c r="S480" s="308">
        <f t="shared" si="75"/>
        <v>0</v>
      </c>
    </row>
    <row r="481" spans="1:19">
      <c r="A481" s="142"/>
      <c r="B481" s="52"/>
      <c r="C481" s="21">
        <f t="shared" si="76"/>
        <v>1</v>
      </c>
      <c r="D481" s="635"/>
      <c r="E481" s="21">
        <f t="shared" si="77"/>
        <v>1</v>
      </c>
      <c r="F481" s="635"/>
      <c r="G481" s="21">
        <f t="shared" si="78"/>
        <v>1</v>
      </c>
      <c r="H481" s="635"/>
      <c r="I481" s="21">
        <f t="shared" si="79"/>
        <v>1</v>
      </c>
      <c r="J481" s="635"/>
      <c r="K481" s="21">
        <f t="shared" si="80"/>
        <v>1</v>
      </c>
      <c r="L481" s="635"/>
      <c r="M481" s="21">
        <f t="shared" si="81"/>
        <v>1</v>
      </c>
      <c r="N481" s="635"/>
      <c r="O481" s="21">
        <f t="shared" si="82"/>
        <v>1</v>
      </c>
      <c r="P481" s="635"/>
      <c r="Q481" s="21">
        <f t="shared" si="83"/>
        <v>1</v>
      </c>
      <c r="R481" s="21">
        <f t="shared" si="84"/>
        <v>0</v>
      </c>
      <c r="S481" s="308">
        <f t="shared" si="75"/>
        <v>0</v>
      </c>
    </row>
    <row r="482" spans="1:19">
      <c r="A482" s="142"/>
      <c r="B482" s="52"/>
      <c r="C482" s="21">
        <f t="shared" si="76"/>
        <v>1</v>
      </c>
      <c r="D482" s="635"/>
      <c r="E482" s="21">
        <f t="shared" si="77"/>
        <v>1</v>
      </c>
      <c r="F482" s="635"/>
      <c r="G482" s="21">
        <f t="shared" si="78"/>
        <v>1</v>
      </c>
      <c r="H482" s="635"/>
      <c r="I482" s="21">
        <f t="shared" si="79"/>
        <v>1</v>
      </c>
      <c r="J482" s="635"/>
      <c r="K482" s="21">
        <f t="shared" si="80"/>
        <v>1</v>
      </c>
      <c r="L482" s="635"/>
      <c r="M482" s="21">
        <f t="shared" si="81"/>
        <v>1</v>
      </c>
      <c r="N482" s="635"/>
      <c r="O482" s="21">
        <f t="shared" si="82"/>
        <v>1</v>
      </c>
      <c r="P482" s="635"/>
      <c r="Q482" s="21">
        <f t="shared" si="83"/>
        <v>1</v>
      </c>
      <c r="R482" s="21">
        <f t="shared" si="84"/>
        <v>0</v>
      </c>
      <c r="S482" s="308">
        <f t="shared" si="75"/>
        <v>0</v>
      </c>
    </row>
    <row r="483" spans="1:19">
      <c r="A483" s="142"/>
      <c r="B483" s="52"/>
      <c r="C483" s="21">
        <f t="shared" si="76"/>
        <v>1</v>
      </c>
      <c r="D483" s="635"/>
      <c r="E483" s="21">
        <f t="shared" si="77"/>
        <v>1</v>
      </c>
      <c r="F483" s="635"/>
      <c r="G483" s="21">
        <f t="shared" si="78"/>
        <v>1</v>
      </c>
      <c r="H483" s="635"/>
      <c r="I483" s="21">
        <f t="shared" si="79"/>
        <v>1</v>
      </c>
      <c r="J483" s="635"/>
      <c r="K483" s="21">
        <f t="shared" si="80"/>
        <v>1</v>
      </c>
      <c r="L483" s="635"/>
      <c r="M483" s="21">
        <f t="shared" si="81"/>
        <v>1</v>
      </c>
      <c r="N483" s="635"/>
      <c r="O483" s="21">
        <f t="shared" si="82"/>
        <v>1</v>
      </c>
      <c r="P483" s="635"/>
      <c r="Q483" s="21">
        <f t="shared" si="83"/>
        <v>1</v>
      </c>
      <c r="R483" s="21">
        <f t="shared" si="84"/>
        <v>0</v>
      </c>
      <c r="S483" s="308">
        <f t="shared" si="75"/>
        <v>0</v>
      </c>
    </row>
    <row r="484" spans="1:19">
      <c r="A484" s="142"/>
      <c r="B484" s="52"/>
      <c r="C484" s="21">
        <f t="shared" si="76"/>
        <v>1</v>
      </c>
      <c r="D484" s="635"/>
      <c r="E484" s="21">
        <f t="shared" si="77"/>
        <v>1</v>
      </c>
      <c r="F484" s="635"/>
      <c r="G484" s="21">
        <f t="shared" si="78"/>
        <v>1</v>
      </c>
      <c r="H484" s="635"/>
      <c r="I484" s="21">
        <f t="shared" si="79"/>
        <v>1</v>
      </c>
      <c r="J484" s="635"/>
      <c r="K484" s="21">
        <f t="shared" si="80"/>
        <v>1</v>
      </c>
      <c r="L484" s="635"/>
      <c r="M484" s="21">
        <f t="shared" si="81"/>
        <v>1</v>
      </c>
      <c r="N484" s="635"/>
      <c r="O484" s="21">
        <f t="shared" si="82"/>
        <v>1</v>
      </c>
      <c r="P484" s="635"/>
      <c r="Q484" s="21">
        <f t="shared" si="83"/>
        <v>1</v>
      </c>
      <c r="R484" s="21">
        <f t="shared" si="84"/>
        <v>0</v>
      </c>
      <c r="S484" s="308">
        <f t="shared" si="75"/>
        <v>0</v>
      </c>
    </row>
    <row r="485" spans="1:19">
      <c r="A485" s="142"/>
      <c r="B485" s="52"/>
      <c r="C485" s="21">
        <f t="shared" si="76"/>
        <v>1</v>
      </c>
      <c r="D485" s="635"/>
      <c r="E485" s="21">
        <f t="shared" si="77"/>
        <v>1</v>
      </c>
      <c r="F485" s="635"/>
      <c r="G485" s="21">
        <f t="shared" si="78"/>
        <v>1</v>
      </c>
      <c r="H485" s="635"/>
      <c r="I485" s="21">
        <f t="shared" si="79"/>
        <v>1</v>
      </c>
      <c r="J485" s="635"/>
      <c r="K485" s="21">
        <f t="shared" si="80"/>
        <v>1</v>
      </c>
      <c r="L485" s="635"/>
      <c r="M485" s="21">
        <f t="shared" si="81"/>
        <v>1</v>
      </c>
      <c r="N485" s="635"/>
      <c r="O485" s="21">
        <f t="shared" si="82"/>
        <v>1</v>
      </c>
      <c r="P485" s="635"/>
      <c r="Q485" s="21">
        <f t="shared" si="83"/>
        <v>1</v>
      </c>
      <c r="R485" s="21">
        <f t="shared" si="84"/>
        <v>0</v>
      </c>
      <c r="S485" s="308">
        <f t="shared" si="75"/>
        <v>0</v>
      </c>
    </row>
    <row r="486" spans="1:19">
      <c r="A486" s="142"/>
      <c r="B486" s="52"/>
      <c r="C486" s="21">
        <f t="shared" si="76"/>
        <v>1</v>
      </c>
      <c r="D486" s="635"/>
      <c r="E486" s="21">
        <f t="shared" si="77"/>
        <v>1</v>
      </c>
      <c r="F486" s="635"/>
      <c r="G486" s="21">
        <f t="shared" si="78"/>
        <v>1</v>
      </c>
      <c r="H486" s="635"/>
      <c r="I486" s="21">
        <f t="shared" si="79"/>
        <v>1</v>
      </c>
      <c r="J486" s="635"/>
      <c r="K486" s="21">
        <f t="shared" si="80"/>
        <v>1</v>
      </c>
      <c r="L486" s="635"/>
      <c r="M486" s="21">
        <f t="shared" si="81"/>
        <v>1</v>
      </c>
      <c r="N486" s="635"/>
      <c r="O486" s="21">
        <f t="shared" si="82"/>
        <v>1</v>
      </c>
      <c r="P486" s="635"/>
      <c r="Q486" s="21">
        <f t="shared" si="83"/>
        <v>1</v>
      </c>
      <c r="R486" s="21">
        <f t="shared" si="84"/>
        <v>0</v>
      </c>
      <c r="S486" s="308">
        <f t="shared" si="75"/>
        <v>0</v>
      </c>
    </row>
    <row r="487" spans="1:19">
      <c r="A487" s="142"/>
      <c r="B487" s="52"/>
      <c r="C487" s="21">
        <f t="shared" si="76"/>
        <v>1</v>
      </c>
      <c r="D487" s="635"/>
      <c r="E487" s="21">
        <f t="shared" si="77"/>
        <v>1</v>
      </c>
      <c r="F487" s="635"/>
      <c r="G487" s="21">
        <f t="shared" si="78"/>
        <v>1</v>
      </c>
      <c r="H487" s="635"/>
      <c r="I487" s="21">
        <f t="shared" si="79"/>
        <v>1</v>
      </c>
      <c r="J487" s="635"/>
      <c r="K487" s="21">
        <f t="shared" si="80"/>
        <v>1</v>
      </c>
      <c r="L487" s="635"/>
      <c r="M487" s="21">
        <f t="shared" si="81"/>
        <v>1</v>
      </c>
      <c r="N487" s="635"/>
      <c r="O487" s="21">
        <f t="shared" si="82"/>
        <v>1</v>
      </c>
      <c r="P487" s="635"/>
      <c r="Q487" s="21">
        <f t="shared" si="83"/>
        <v>1</v>
      </c>
      <c r="R487" s="21">
        <f t="shared" si="84"/>
        <v>0</v>
      </c>
      <c r="S487" s="308">
        <f t="shared" si="75"/>
        <v>0</v>
      </c>
    </row>
    <row r="488" spans="1:19">
      <c r="A488" s="142"/>
      <c r="B488" s="52"/>
      <c r="C488" s="21">
        <f t="shared" si="76"/>
        <v>1</v>
      </c>
      <c r="D488" s="635"/>
      <c r="E488" s="21">
        <f t="shared" si="77"/>
        <v>1</v>
      </c>
      <c r="F488" s="635"/>
      <c r="G488" s="21">
        <f t="shared" si="78"/>
        <v>1</v>
      </c>
      <c r="H488" s="635"/>
      <c r="I488" s="21">
        <f t="shared" si="79"/>
        <v>1</v>
      </c>
      <c r="J488" s="635"/>
      <c r="K488" s="21">
        <f t="shared" si="80"/>
        <v>1</v>
      </c>
      <c r="L488" s="635"/>
      <c r="M488" s="21">
        <f t="shared" si="81"/>
        <v>1</v>
      </c>
      <c r="N488" s="635"/>
      <c r="O488" s="21">
        <f t="shared" si="82"/>
        <v>1</v>
      </c>
      <c r="P488" s="635"/>
      <c r="Q488" s="21">
        <f t="shared" si="83"/>
        <v>1</v>
      </c>
      <c r="R488" s="21">
        <f t="shared" si="84"/>
        <v>0</v>
      </c>
      <c r="S488" s="308">
        <f t="shared" si="75"/>
        <v>0</v>
      </c>
    </row>
    <row r="489" spans="1:19">
      <c r="A489" s="142"/>
      <c r="B489" s="52"/>
      <c r="C489" s="21">
        <f t="shared" si="76"/>
        <v>1</v>
      </c>
      <c r="D489" s="635"/>
      <c r="E489" s="21">
        <f t="shared" si="77"/>
        <v>1</v>
      </c>
      <c r="F489" s="635"/>
      <c r="G489" s="21">
        <f t="shared" si="78"/>
        <v>1</v>
      </c>
      <c r="H489" s="635"/>
      <c r="I489" s="21">
        <f t="shared" si="79"/>
        <v>1</v>
      </c>
      <c r="J489" s="635"/>
      <c r="K489" s="21">
        <f t="shared" si="80"/>
        <v>1</v>
      </c>
      <c r="L489" s="635"/>
      <c r="M489" s="21">
        <f t="shared" si="81"/>
        <v>1</v>
      </c>
      <c r="N489" s="635"/>
      <c r="O489" s="21">
        <f t="shared" si="82"/>
        <v>1</v>
      </c>
      <c r="P489" s="635"/>
      <c r="Q489" s="21">
        <f t="shared" si="83"/>
        <v>1</v>
      </c>
      <c r="R489" s="21">
        <f t="shared" si="84"/>
        <v>0</v>
      </c>
      <c r="S489" s="308">
        <f t="shared" si="75"/>
        <v>0</v>
      </c>
    </row>
    <row r="490" spans="1:19">
      <c r="A490" s="142"/>
      <c r="B490" s="52"/>
      <c r="C490" s="21">
        <f t="shared" si="76"/>
        <v>1</v>
      </c>
      <c r="D490" s="635"/>
      <c r="E490" s="21">
        <f t="shared" si="77"/>
        <v>1</v>
      </c>
      <c r="F490" s="635"/>
      <c r="G490" s="21">
        <f t="shared" si="78"/>
        <v>1</v>
      </c>
      <c r="H490" s="635"/>
      <c r="I490" s="21">
        <f t="shared" si="79"/>
        <v>1</v>
      </c>
      <c r="J490" s="635"/>
      <c r="K490" s="21">
        <f t="shared" si="80"/>
        <v>1</v>
      </c>
      <c r="L490" s="635"/>
      <c r="M490" s="21">
        <f t="shared" si="81"/>
        <v>1</v>
      </c>
      <c r="N490" s="635"/>
      <c r="O490" s="21">
        <f t="shared" si="82"/>
        <v>1</v>
      </c>
      <c r="P490" s="635"/>
      <c r="Q490" s="21">
        <f t="shared" si="83"/>
        <v>1</v>
      </c>
      <c r="R490" s="21">
        <f t="shared" si="84"/>
        <v>0</v>
      </c>
      <c r="S490" s="308">
        <f t="shared" si="75"/>
        <v>0</v>
      </c>
    </row>
    <row r="491" spans="1:19">
      <c r="A491" s="142"/>
      <c r="B491" s="52"/>
      <c r="C491" s="21">
        <f t="shared" si="76"/>
        <v>1</v>
      </c>
      <c r="D491" s="635"/>
      <c r="E491" s="21">
        <f t="shared" si="77"/>
        <v>1</v>
      </c>
      <c r="F491" s="635"/>
      <c r="G491" s="21">
        <f t="shared" si="78"/>
        <v>1</v>
      </c>
      <c r="H491" s="635"/>
      <c r="I491" s="21">
        <f t="shared" si="79"/>
        <v>1</v>
      </c>
      <c r="J491" s="635"/>
      <c r="K491" s="21">
        <f t="shared" si="80"/>
        <v>1</v>
      </c>
      <c r="L491" s="635"/>
      <c r="M491" s="21">
        <f t="shared" si="81"/>
        <v>1</v>
      </c>
      <c r="N491" s="635"/>
      <c r="O491" s="21">
        <f t="shared" si="82"/>
        <v>1</v>
      </c>
      <c r="P491" s="635"/>
      <c r="Q491" s="21">
        <f t="shared" si="83"/>
        <v>1</v>
      </c>
      <c r="R491" s="21">
        <f t="shared" si="84"/>
        <v>0</v>
      </c>
      <c r="S491" s="308">
        <f t="shared" si="75"/>
        <v>0</v>
      </c>
    </row>
    <row r="492" spans="1:19">
      <c r="A492" s="142"/>
      <c r="B492" s="52"/>
      <c r="C492" s="21">
        <f t="shared" si="76"/>
        <v>1</v>
      </c>
      <c r="D492" s="635"/>
      <c r="E492" s="21">
        <f t="shared" si="77"/>
        <v>1</v>
      </c>
      <c r="F492" s="635"/>
      <c r="G492" s="21">
        <f t="shared" si="78"/>
        <v>1</v>
      </c>
      <c r="H492" s="635"/>
      <c r="I492" s="21">
        <f t="shared" si="79"/>
        <v>1</v>
      </c>
      <c r="J492" s="635"/>
      <c r="K492" s="21">
        <f t="shared" si="80"/>
        <v>1</v>
      </c>
      <c r="L492" s="635"/>
      <c r="M492" s="21">
        <f t="shared" si="81"/>
        <v>1</v>
      </c>
      <c r="N492" s="635"/>
      <c r="O492" s="21">
        <f t="shared" si="82"/>
        <v>1</v>
      </c>
      <c r="P492" s="635"/>
      <c r="Q492" s="21">
        <f t="shared" si="83"/>
        <v>1</v>
      </c>
      <c r="R492" s="21">
        <f t="shared" si="84"/>
        <v>0</v>
      </c>
      <c r="S492" s="308">
        <f t="shared" si="75"/>
        <v>0</v>
      </c>
    </row>
    <row r="493" spans="1:19">
      <c r="A493" s="142"/>
      <c r="B493" s="52"/>
      <c r="C493" s="21">
        <f t="shared" si="76"/>
        <v>1</v>
      </c>
      <c r="D493" s="635"/>
      <c r="E493" s="21">
        <f t="shared" si="77"/>
        <v>1</v>
      </c>
      <c r="F493" s="635"/>
      <c r="G493" s="21">
        <f t="shared" si="78"/>
        <v>1</v>
      </c>
      <c r="H493" s="635"/>
      <c r="I493" s="21">
        <f t="shared" si="79"/>
        <v>1</v>
      </c>
      <c r="J493" s="635"/>
      <c r="K493" s="21">
        <f t="shared" si="80"/>
        <v>1</v>
      </c>
      <c r="L493" s="635"/>
      <c r="M493" s="21">
        <f t="shared" si="81"/>
        <v>1</v>
      </c>
      <c r="N493" s="635"/>
      <c r="O493" s="21">
        <f t="shared" si="82"/>
        <v>1</v>
      </c>
      <c r="P493" s="635"/>
      <c r="Q493" s="21">
        <f t="shared" si="83"/>
        <v>1</v>
      </c>
      <c r="R493" s="21">
        <f t="shared" si="84"/>
        <v>0</v>
      </c>
      <c r="S493" s="308">
        <f t="shared" si="75"/>
        <v>0</v>
      </c>
    </row>
    <row r="494" spans="1:19">
      <c r="A494" s="142"/>
      <c r="B494" s="52"/>
      <c r="C494" s="21">
        <f t="shared" si="76"/>
        <v>1</v>
      </c>
      <c r="D494" s="635"/>
      <c r="E494" s="21">
        <f t="shared" si="77"/>
        <v>1</v>
      </c>
      <c r="F494" s="635"/>
      <c r="G494" s="21">
        <f t="shared" si="78"/>
        <v>1</v>
      </c>
      <c r="H494" s="635"/>
      <c r="I494" s="21">
        <f t="shared" si="79"/>
        <v>1</v>
      </c>
      <c r="J494" s="635"/>
      <c r="K494" s="21">
        <f t="shared" si="80"/>
        <v>1</v>
      </c>
      <c r="L494" s="635"/>
      <c r="M494" s="21">
        <f t="shared" si="81"/>
        <v>1</v>
      </c>
      <c r="N494" s="635"/>
      <c r="O494" s="21">
        <f t="shared" si="82"/>
        <v>1</v>
      </c>
      <c r="P494" s="635"/>
      <c r="Q494" s="21">
        <f t="shared" si="83"/>
        <v>1</v>
      </c>
      <c r="R494" s="21">
        <f t="shared" si="84"/>
        <v>0</v>
      </c>
      <c r="S494" s="308">
        <f t="shared" si="75"/>
        <v>0</v>
      </c>
    </row>
    <row r="495" spans="1:19">
      <c r="A495" s="142"/>
      <c r="B495" s="52"/>
      <c r="C495" s="21">
        <f t="shared" si="76"/>
        <v>1</v>
      </c>
      <c r="D495" s="635"/>
      <c r="E495" s="21">
        <f t="shared" si="77"/>
        <v>1</v>
      </c>
      <c r="F495" s="635"/>
      <c r="G495" s="21">
        <f t="shared" si="78"/>
        <v>1</v>
      </c>
      <c r="H495" s="635"/>
      <c r="I495" s="21">
        <f t="shared" si="79"/>
        <v>1</v>
      </c>
      <c r="J495" s="635"/>
      <c r="K495" s="21">
        <f t="shared" si="80"/>
        <v>1</v>
      </c>
      <c r="L495" s="635"/>
      <c r="M495" s="21">
        <f t="shared" si="81"/>
        <v>1</v>
      </c>
      <c r="N495" s="635"/>
      <c r="O495" s="21">
        <f t="shared" si="82"/>
        <v>1</v>
      </c>
      <c r="P495" s="635"/>
      <c r="Q495" s="21">
        <f t="shared" si="83"/>
        <v>1</v>
      </c>
      <c r="R495" s="21">
        <f t="shared" si="84"/>
        <v>0</v>
      </c>
      <c r="S495" s="308">
        <f t="shared" si="75"/>
        <v>0</v>
      </c>
    </row>
    <row r="496" spans="1:19">
      <c r="A496" s="142"/>
      <c r="B496" s="52"/>
      <c r="C496" s="21">
        <f t="shared" si="76"/>
        <v>1</v>
      </c>
      <c r="D496" s="635"/>
      <c r="E496" s="21">
        <f t="shared" si="77"/>
        <v>1</v>
      </c>
      <c r="F496" s="635"/>
      <c r="G496" s="21">
        <f t="shared" si="78"/>
        <v>1</v>
      </c>
      <c r="H496" s="635"/>
      <c r="I496" s="21">
        <f t="shared" si="79"/>
        <v>1</v>
      </c>
      <c r="J496" s="635"/>
      <c r="K496" s="21">
        <f t="shared" si="80"/>
        <v>1</v>
      </c>
      <c r="L496" s="635"/>
      <c r="M496" s="21">
        <f t="shared" si="81"/>
        <v>1</v>
      </c>
      <c r="N496" s="635"/>
      <c r="O496" s="21">
        <f t="shared" si="82"/>
        <v>1</v>
      </c>
      <c r="P496" s="635"/>
      <c r="Q496" s="21">
        <f t="shared" si="83"/>
        <v>1</v>
      </c>
      <c r="R496" s="21">
        <f t="shared" si="84"/>
        <v>0</v>
      </c>
      <c r="S496" s="308">
        <f t="shared" si="75"/>
        <v>0</v>
      </c>
    </row>
    <row r="497" spans="1:19">
      <c r="A497" s="142"/>
      <c r="B497" s="52"/>
      <c r="C497" s="21">
        <f t="shared" si="76"/>
        <v>1</v>
      </c>
      <c r="D497" s="635"/>
      <c r="E497" s="21">
        <f t="shared" si="77"/>
        <v>1</v>
      </c>
      <c r="F497" s="635"/>
      <c r="G497" s="21">
        <f t="shared" si="78"/>
        <v>1</v>
      </c>
      <c r="H497" s="635"/>
      <c r="I497" s="21">
        <f t="shared" si="79"/>
        <v>1</v>
      </c>
      <c r="J497" s="635"/>
      <c r="K497" s="21">
        <f t="shared" si="80"/>
        <v>1</v>
      </c>
      <c r="L497" s="635"/>
      <c r="M497" s="21">
        <f t="shared" si="81"/>
        <v>1</v>
      </c>
      <c r="N497" s="635"/>
      <c r="O497" s="21">
        <f t="shared" si="82"/>
        <v>1</v>
      </c>
      <c r="P497" s="635"/>
      <c r="Q497" s="21">
        <f t="shared" si="83"/>
        <v>1</v>
      </c>
      <c r="R497" s="21">
        <f t="shared" si="84"/>
        <v>0</v>
      </c>
      <c r="S497" s="308">
        <f t="shared" si="75"/>
        <v>0</v>
      </c>
    </row>
    <row r="498" spans="1:19">
      <c r="A498" s="142"/>
      <c r="B498" s="52"/>
      <c r="C498" s="21">
        <f t="shared" si="76"/>
        <v>1</v>
      </c>
      <c r="D498" s="635"/>
      <c r="E498" s="21">
        <f t="shared" si="77"/>
        <v>1</v>
      </c>
      <c r="F498" s="635"/>
      <c r="G498" s="21">
        <f t="shared" si="78"/>
        <v>1</v>
      </c>
      <c r="H498" s="635"/>
      <c r="I498" s="21">
        <f t="shared" si="79"/>
        <v>1</v>
      </c>
      <c r="J498" s="635"/>
      <c r="K498" s="21">
        <f t="shared" si="80"/>
        <v>1</v>
      </c>
      <c r="L498" s="635"/>
      <c r="M498" s="21">
        <f t="shared" si="81"/>
        <v>1</v>
      </c>
      <c r="N498" s="635"/>
      <c r="O498" s="21">
        <f t="shared" si="82"/>
        <v>1</v>
      </c>
      <c r="P498" s="635"/>
      <c r="Q498" s="21">
        <f t="shared" si="83"/>
        <v>1</v>
      </c>
      <c r="R498" s="21">
        <f t="shared" si="84"/>
        <v>0</v>
      </c>
      <c r="S498" s="308">
        <f t="shared" si="75"/>
        <v>0</v>
      </c>
    </row>
    <row r="499" spans="1:19">
      <c r="A499" s="142"/>
      <c r="B499" s="52"/>
      <c r="C499" s="21">
        <f t="shared" si="76"/>
        <v>1</v>
      </c>
      <c r="D499" s="635"/>
      <c r="E499" s="21">
        <f t="shared" si="77"/>
        <v>1</v>
      </c>
      <c r="F499" s="635"/>
      <c r="G499" s="21">
        <f t="shared" si="78"/>
        <v>1</v>
      </c>
      <c r="H499" s="635"/>
      <c r="I499" s="21">
        <f t="shared" si="79"/>
        <v>1</v>
      </c>
      <c r="J499" s="635"/>
      <c r="K499" s="21">
        <f t="shared" si="80"/>
        <v>1</v>
      </c>
      <c r="L499" s="635"/>
      <c r="M499" s="21">
        <f t="shared" si="81"/>
        <v>1</v>
      </c>
      <c r="N499" s="635"/>
      <c r="O499" s="21">
        <f t="shared" si="82"/>
        <v>1</v>
      </c>
      <c r="P499" s="635"/>
      <c r="Q499" s="21">
        <f t="shared" si="83"/>
        <v>1</v>
      </c>
      <c r="R499" s="21">
        <f t="shared" si="84"/>
        <v>0</v>
      </c>
      <c r="S499" s="308">
        <f t="shared" si="75"/>
        <v>0</v>
      </c>
    </row>
    <row r="500" spans="1:19">
      <c r="A500" s="142"/>
      <c r="B500" s="52"/>
      <c r="C500" s="21">
        <f t="shared" si="76"/>
        <v>1</v>
      </c>
      <c r="D500" s="635"/>
      <c r="E500" s="21">
        <f t="shared" si="77"/>
        <v>1</v>
      </c>
      <c r="F500" s="635"/>
      <c r="G500" s="21">
        <f t="shared" si="78"/>
        <v>1</v>
      </c>
      <c r="H500" s="635"/>
      <c r="I500" s="21">
        <f t="shared" si="79"/>
        <v>1</v>
      </c>
      <c r="J500" s="635"/>
      <c r="K500" s="21">
        <f t="shared" si="80"/>
        <v>1</v>
      </c>
      <c r="L500" s="635"/>
      <c r="M500" s="21">
        <f t="shared" si="81"/>
        <v>1</v>
      </c>
      <c r="N500" s="635"/>
      <c r="O500" s="21">
        <f t="shared" si="82"/>
        <v>1</v>
      </c>
      <c r="P500" s="635"/>
      <c r="Q500" s="21">
        <f t="shared" si="83"/>
        <v>1</v>
      </c>
      <c r="R500" s="21">
        <f t="shared" si="84"/>
        <v>0</v>
      </c>
      <c r="S500" s="308">
        <f t="shared" si="75"/>
        <v>0</v>
      </c>
    </row>
    <row r="501" spans="1:19">
      <c r="A501" s="142"/>
      <c r="B501" s="52"/>
      <c r="C501" s="21">
        <f t="shared" si="76"/>
        <v>1</v>
      </c>
      <c r="D501" s="635"/>
      <c r="E501" s="21">
        <f t="shared" si="77"/>
        <v>1</v>
      </c>
      <c r="F501" s="635"/>
      <c r="G501" s="21">
        <f t="shared" si="78"/>
        <v>1</v>
      </c>
      <c r="H501" s="635"/>
      <c r="I501" s="21">
        <f t="shared" si="79"/>
        <v>1</v>
      </c>
      <c r="J501" s="635"/>
      <c r="K501" s="21">
        <f t="shared" si="80"/>
        <v>1</v>
      </c>
      <c r="L501" s="635"/>
      <c r="M501" s="21">
        <f t="shared" si="81"/>
        <v>1</v>
      </c>
      <c r="N501" s="635"/>
      <c r="O501" s="21">
        <f t="shared" si="82"/>
        <v>1</v>
      </c>
      <c r="P501" s="635"/>
      <c r="Q501" s="21">
        <f t="shared" si="83"/>
        <v>1</v>
      </c>
      <c r="R501" s="21">
        <f t="shared" si="84"/>
        <v>0</v>
      </c>
      <c r="S501" s="308">
        <f t="shared" si="75"/>
        <v>0</v>
      </c>
    </row>
    <row r="502" spans="1:19">
      <c r="A502" s="142"/>
      <c r="B502" s="52"/>
      <c r="C502" s="21">
        <f t="shared" si="76"/>
        <v>1</v>
      </c>
      <c r="D502" s="635"/>
      <c r="E502" s="21">
        <f t="shared" si="77"/>
        <v>1</v>
      </c>
      <c r="F502" s="635"/>
      <c r="G502" s="21">
        <f t="shared" si="78"/>
        <v>1</v>
      </c>
      <c r="H502" s="635"/>
      <c r="I502" s="21">
        <f t="shared" si="79"/>
        <v>1</v>
      </c>
      <c r="J502" s="635"/>
      <c r="K502" s="21">
        <f t="shared" si="80"/>
        <v>1</v>
      </c>
      <c r="L502" s="635"/>
      <c r="M502" s="21">
        <f t="shared" si="81"/>
        <v>1</v>
      </c>
      <c r="N502" s="635"/>
      <c r="O502" s="21">
        <f t="shared" si="82"/>
        <v>1</v>
      </c>
      <c r="P502" s="635"/>
      <c r="Q502" s="21">
        <f t="shared" si="83"/>
        <v>1</v>
      </c>
      <c r="R502" s="21">
        <f t="shared" si="84"/>
        <v>0</v>
      </c>
      <c r="S502" s="308">
        <f t="shared" si="75"/>
        <v>0</v>
      </c>
    </row>
    <row r="503" spans="1:19">
      <c r="A503" s="142"/>
      <c r="B503" s="52"/>
      <c r="C503" s="21">
        <f t="shared" si="76"/>
        <v>1</v>
      </c>
      <c r="D503" s="635"/>
      <c r="E503" s="21">
        <f t="shared" si="77"/>
        <v>1</v>
      </c>
      <c r="F503" s="635"/>
      <c r="G503" s="21">
        <f t="shared" si="78"/>
        <v>1</v>
      </c>
      <c r="H503" s="635"/>
      <c r="I503" s="21">
        <f t="shared" si="79"/>
        <v>1</v>
      </c>
      <c r="J503" s="635"/>
      <c r="K503" s="21">
        <f t="shared" si="80"/>
        <v>1</v>
      </c>
      <c r="L503" s="635"/>
      <c r="M503" s="21">
        <f t="shared" si="81"/>
        <v>1</v>
      </c>
      <c r="N503" s="635"/>
      <c r="O503" s="21">
        <f t="shared" si="82"/>
        <v>1</v>
      </c>
      <c r="P503" s="635"/>
      <c r="Q503" s="21">
        <f t="shared" si="83"/>
        <v>1</v>
      </c>
      <c r="R503" s="21">
        <f t="shared" si="84"/>
        <v>0</v>
      </c>
      <c r="S503" s="308">
        <f t="shared" si="75"/>
        <v>0</v>
      </c>
    </row>
    <row r="504" spans="1:19">
      <c r="A504" s="142"/>
      <c r="B504" s="52"/>
      <c r="C504" s="21">
        <f t="shared" si="76"/>
        <v>1</v>
      </c>
      <c r="D504" s="635"/>
      <c r="E504" s="21">
        <f t="shared" si="77"/>
        <v>1</v>
      </c>
      <c r="F504" s="635"/>
      <c r="G504" s="21">
        <f t="shared" si="78"/>
        <v>1</v>
      </c>
      <c r="H504" s="635"/>
      <c r="I504" s="21">
        <f t="shared" si="79"/>
        <v>1</v>
      </c>
      <c r="J504" s="635"/>
      <c r="K504" s="21">
        <f t="shared" si="80"/>
        <v>1</v>
      </c>
      <c r="L504" s="635"/>
      <c r="M504" s="21">
        <f t="shared" si="81"/>
        <v>1</v>
      </c>
      <c r="N504" s="635"/>
      <c r="O504" s="21">
        <f t="shared" si="82"/>
        <v>1</v>
      </c>
      <c r="P504" s="635"/>
      <c r="Q504" s="21">
        <f t="shared" si="83"/>
        <v>1</v>
      </c>
      <c r="R504" s="21">
        <f t="shared" si="84"/>
        <v>0</v>
      </c>
      <c r="S504" s="308">
        <f t="shared" si="75"/>
        <v>0</v>
      </c>
    </row>
    <row r="505" spans="1:19">
      <c r="A505" s="142"/>
      <c r="B505" s="52"/>
      <c r="C505" s="21">
        <f t="shared" si="76"/>
        <v>1</v>
      </c>
      <c r="D505" s="635"/>
      <c r="E505" s="21">
        <f t="shared" si="77"/>
        <v>1</v>
      </c>
      <c r="F505" s="635"/>
      <c r="G505" s="21">
        <f t="shared" si="78"/>
        <v>1</v>
      </c>
      <c r="H505" s="635"/>
      <c r="I505" s="21">
        <f t="shared" si="79"/>
        <v>1</v>
      </c>
      <c r="J505" s="635"/>
      <c r="K505" s="21">
        <f t="shared" si="80"/>
        <v>1</v>
      </c>
      <c r="L505" s="635"/>
      <c r="M505" s="21">
        <f t="shared" si="81"/>
        <v>1</v>
      </c>
      <c r="N505" s="635"/>
      <c r="O505" s="21">
        <f t="shared" si="82"/>
        <v>1</v>
      </c>
      <c r="P505" s="635"/>
      <c r="Q505" s="21">
        <f t="shared" si="83"/>
        <v>1</v>
      </c>
      <c r="R505" s="21">
        <f t="shared" si="84"/>
        <v>0</v>
      </c>
      <c r="S505" s="308">
        <f t="shared" si="75"/>
        <v>0</v>
      </c>
    </row>
    <row r="506" spans="1:19">
      <c r="A506" s="142"/>
      <c r="B506" s="52"/>
      <c r="C506" s="21">
        <f t="shared" si="76"/>
        <v>1</v>
      </c>
      <c r="D506" s="635"/>
      <c r="E506" s="21">
        <f t="shared" si="77"/>
        <v>1</v>
      </c>
      <c r="F506" s="635"/>
      <c r="G506" s="21">
        <f t="shared" si="78"/>
        <v>1</v>
      </c>
      <c r="H506" s="635"/>
      <c r="I506" s="21">
        <f t="shared" si="79"/>
        <v>1</v>
      </c>
      <c r="J506" s="635"/>
      <c r="K506" s="21">
        <f t="shared" si="80"/>
        <v>1</v>
      </c>
      <c r="L506" s="635"/>
      <c r="M506" s="21">
        <f t="shared" si="81"/>
        <v>1</v>
      </c>
      <c r="N506" s="635"/>
      <c r="O506" s="21">
        <f t="shared" si="82"/>
        <v>1</v>
      </c>
      <c r="P506" s="635"/>
      <c r="Q506" s="21">
        <f t="shared" si="83"/>
        <v>1</v>
      </c>
      <c r="R506" s="21">
        <f t="shared" si="84"/>
        <v>0</v>
      </c>
      <c r="S506" s="308">
        <f t="shared" si="75"/>
        <v>0</v>
      </c>
    </row>
    <row r="507" spans="1:19">
      <c r="A507" s="142"/>
      <c r="B507" s="52"/>
      <c r="C507" s="21">
        <f t="shared" si="76"/>
        <v>1</v>
      </c>
      <c r="D507" s="635"/>
      <c r="E507" s="21">
        <f t="shared" si="77"/>
        <v>1</v>
      </c>
      <c r="F507" s="635"/>
      <c r="G507" s="21">
        <f t="shared" si="78"/>
        <v>1</v>
      </c>
      <c r="H507" s="635"/>
      <c r="I507" s="21">
        <f t="shared" si="79"/>
        <v>1</v>
      </c>
      <c r="J507" s="635"/>
      <c r="K507" s="21">
        <f t="shared" si="80"/>
        <v>1</v>
      </c>
      <c r="L507" s="635"/>
      <c r="M507" s="21">
        <f t="shared" si="81"/>
        <v>1</v>
      </c>
      <c r="N507" s="635"/>
      <c r="O507" s="21">
        <f t="shared" si="82"/>
        <v>1</v>
      </c>
      <c r="P507" s="635"/>
      <c r="Q507" s="21">
        <f t="shared" si="83"/>
        <v>1</v>
      </c>
      <c r="R507" s="21">
        <f t="shared" si="84"/>
        <v>0</v>
      </c>
      <c r="S507" s="308">
        <f t="shared" si="75"/>
        <v>0</v>
      </c>
    </row>
    <row r="508" spans="1:19">
      <c r="A508" s="142"/>
      <c r="B508" s="52"/>
      <c r="C508" s="21">
        <f t="shared" si="76"/>
        <v>1</v>
      </c>
      <c r="D508" s="635"/>
      <c r="E508" s="21">
        <f t="shared" si="77"/>
        <v>1</v>
      </c>
      <c r="F508" s="635"/>
      <c r="G508" s="21">
        <f t="shared" si="78"/>
        <v>1</v>
      </c>
      <c r="H508" s="635"/>
      <c r="I508" s="21">
        <f t="shared" si="79"/>
        <v>1</v>
      </c>
      <c r="J508" s="635"/>
      <c r="K508" s="21">
        <f t="shared" si="80"/>
        <v>1</v>
      </c>
      <c r="L508" s="635"/>
      <c r="M508" s="21">
        <f t="shared" si="81"/>
        <v>1</v>
      </c>
      <c r="N508" s="635"/>
      <c r="O508" s="21">
        <f t="shared" si="82"/>
        <v>1</v>
      </c>
      <c r="P508" s="635"/>
      <c r="Q508" s="21">
        <f t="shared" si="83"/>
        <v>1</v>
      </c>
      <c r="R508" s="21">
        <f t="shared" si="84"/>
        <v>0</v>
      </c>
      <c r="S508" s="308">
        <f t="shared" si="75"/>
        <v>0</v>
      </c>
    </row>
    <row r="509" spans="1:19">
      <c r="A509" s="142"/>
      <c r="B509" s="52"/>
      <c r="C509" s="21">
        <f t="shared" si="76"/>
        <v>1</v>
      </c>
      <c r="D509" s="635"/>
      <c r="E509" s="21">
        <f t="shared" si="77"/>
        <v>1</v>
      </c>
      <c r="F509" s="635"/>
      <c r="G509" s="21">
        <f t="shared" si="78"/>
        <v>1</v>
      </c>
      <c r="H509" s="635"/>
      <c r="I509" s="21">
        <f t="shared" si="79"/>
        <v>1</v>
      </c>
      <c r="J509" s="635"/>
      <c r="K509" s="21">
        <f t="shared" si="80"/>
        <v>1</v>
      </c>
      <c r="L509" s="635"/>
      <c r="M509" s="21">
        <f t="shared" si="81"/>
        <v>1</v>
      </c>
      <c r="N509" s="635"/>
      <c r="O509" s="21">
        <f t="shared" si="82"/>
        <v>1</v>
      </c>
      <c r="P509" s="635"/>
      <c r="Q509" s="21">
        <f t="shared" si="83"/>
        <v>1</v>
      </c>
      <c r="R509" s="21">
        <f t="shared" si="84"/>
        <v>0</v>
      </c>
      <c r="S509" s="308">
        <f t="shared" si="75"/>
        <v>0</v>
      </c>
    </row>
    <row r="510" spans="1:19">
      <c r="A510" s="142"/>
      <c r="B510" s="52"/>
      <c r="C510" s="21">
        <f t="shared" si="76"/>
        <v>1</v>
      </c>
      <c r="D510" s="635"/>
      <c r="E510" s="21">
        <f t="shared" si="77"/>
        <v>1</v>
      </c>
      <c r="F510" s="635"/>
      <c r="G510" s="21">
        <f t="shared" si="78"/>
        <v>1</v>
      </c>
      <c r="H510" s="635"/>
      <c r="I510" s="21">
        <f t="shared" si="79"/>
        <v>1</v>
      </c>
      <c r="J510" s="635"/>
      <c r="K510" s="21">
        <f t="shared" si="80"/>
        <v>1</v>
      </c>
      <c r="L510" s="635"/>
      <c r="M510" s="21">
        <f t="shared" si="81"/>
        <v>1</v>
      </c>
      <c r="N510" s="635"/>
      <c r="O510" s="21">
        <f t="shared" si="82"/>
        <v>1</v>
      </c>
      <c r="P510" s="635"/>
      <c r="Q510" s="21">
        <f t="shared" si="83"/>
        <v>1</v>
      </c>
      <c r="R510" s="21">
        <f t="shared" si="84"/>
        <v>0</v>
      </c>
      <c r="S510" s="308">
        <f t="shared" si="75"/>
        <v>0</v>
      </c>
    </row>
    <row r="511" spans="1:19">
      <c r="A511" s="142"/>
      <c r="B511" s="52"/>
      <c r="C511" s="21">
        <f t="shared" si="76"/>
        <v>1</v>
      </c>
      <c r="D511" s="635"/>
      <c r="E511" s="21">
        <f t="shared" si="77"/>
        <v>1</v>
      </c>
      <c r="F511" s="635"/>
      <c r="G511" s="21">
        <f t="shared" si="78"/>
        <v>1</v>
      </c>
      <c r="H511" s="635"/>
      <c r="I511" s="21">
        <f t="shared" si="79"/>
        <v>1</v>
      </c>
      <c r="J511" s="635"/>
      <c r="K511" s="21">
        <f t="shared" si="80"/>
        <v>1</v>
      </c>
      <c r="L511" s="635"/>
      <c r="M511" s="21">
        <f t="shared" si="81"/>
        <v>1</v>
      </c>
      <c r="N511" s="635"/>
      <c r="O511" s="21">
        <f t="shared" si="82"/>
        <v>1</v>
      </c>
      <c r="P511" s="635"/>
      <c r="Q511" s="21">
        <f t="shared" si="83"/>
        <v>1</v>
      </c>
      <c r="R511" s="21">
        <f t="shared" si="84"/>
        <v>0</v>
      </c>
      <c r="S511" s="308">
        <f t="shared" si="75"/>
        <v>0</v>
      </c>
    </row>
    <row r="512" spans="1:19">
      <c r="A512" s="142"/>
      <c r="B512" s="52"/>
      <c r="C512" s="21">
        <f t="shared" si="76"/>
        <v>1</v>
      </c>
      <c r="D512" s="635"/>
      <c r="E512" s="21">
        <f t="shared" si="77"/>
        <v>1</v>
      </c>
      <c r="F512" s="635"/>
      <c r="G512" s="21">
        <f t="shared" si="78"/>
        <v>1</v>
      </c>
      <c r="H512" s="635"/>
      <c r="I512" s="21">
        <f t="shared" si="79"/>
        <v>1</v>
      </c>
      <c r="J512" s="635"/>
      <c r="K512" s="21">
        <f t="shared" si="80"/>
        <v>1</v>
      </c>
      <c r="L512" s="635"/>
      <c r="M512" s="21">
        <f t="shared" si="81"/>
        <v>1</v>
      </c>
      <c r="N512" s="635"/>
      <c r="O512" s="21">
        <f t="shared" si="82"/>
        <v>1</v>
      </c>
      <c r="P512" s="635"/>
      <c r="Q512" s="21">
        <f t="shared" si="83"/>
        <v>1</v>
      </c>
      <c r="R512" s="21">
        <f t="shared" si="84"/>
        <v>0</v>
      </c>
      <c r="S512" s="308">
        <f t="shared" si="75"/>
        <v>0</v>
      </c>
    </row>
    <row r="513" spans="1:19">
      <c r="A513" s="142"/>
      <c r="B513" s="52"/>
      <c r="C513" s="21">
        <f t="shared" si="76"/>
        <v>1</v>
      </c>
      <c r="D513" s="635"/>
      <c r="E513" s="21">
        <f t="shared" si="77"/>
        <v>1</v>
      </c>
      <c r="F513" s="635"/>
      <c r="G513" s="21">
        <f t="shared" si="78"/>
        <v>1</v>
      </c>
      <c r="H513" s="635"/>
      <c r="I513" s="21">
        <f t="shared" si="79"/>
        <v>1</v>
      </c>
      <c r="J513" s="635"/>
      <c r="K513" s="21">
        <f t="shared" si="80"/>
        <v>1</v>
      </c>
      <c r="L513" s="635"/>
      <c r="M513" s="21">
        <f t="shared" si="81"/>
        <v>1</v>
      </c>
      <c r="N513" s="635"/>
      <c r="O513" s="21">
        <f t="shared" si="82"/>
        <v>1</v>
      </c>
      <c r="P513" s="635"/>
      <c r="Q513" s="21">
        <f t="shared" si="83"/>
        <v>1</v>
      </c>
      <c r="R513" s="21">
        <f t="shared" si="84"/>
        <v>0</v>
      </c>
      <c r="S513" s="308">
        <f t="shared" si="75"/>
        <v>0</v>
      </c>
    </row>
    <row r="514" spans="1:19">
      <c r="A514" s="142"/>
      <c r="B514" s="52"/>
      <c r="C514" s="21">
        <f t="shared" si="76"/>
        <v>1</v>
      </c>
      <c r="D514" s="635"/>
      <c r="E514" s="21">
        <f t="shared" si="77"/>
        <v>1</v>
      </c>
      <c r="F514" s="635"/>
      <c r="G514" s="21">
        <f t="shared" si="78"/>
        <v>1</v>
      </c>
      <c r="H514" s="635"/>
      <c r="I514" s="21">
        <f t="shared" si="79"/>
        <v>1</v>
      </c>
      <c r="J514" s="635"/>
      <c r="K514" s="21">
        <f t="shared" si="80"/>
        <v>1</v>
      </c>
      <c r="L514" s="635"/>
      <c r="M514" s="21">
        <f t="shared" si="81"/>
        <v>1</v>
      </c>
      <c r="N514" s="635"/>
      <c r="O514" s="21">
        <f t="shared" si="82"/>
        <v>1</v>
      </c>
      <c r="P514" s="635"/>
      <c r="Q514" s="21">
        <f t="shared" si="83"/>
        <v>1</v>
      </c>
      <c r="R514" s="21">
        <f t="shared" si="84"/>
        <v>0</v>
      </c>
      <c r="S514" s="308">
        <f t="shared" si="75"/>
        <v>0</v>
      </c>
    </row>
    <row r="515" spans="1:19">
      <c r="A515" s="142"/>
      <c r="B515" s="52"/>
      <c r="C515" s="21">
        <f t="shared" si="76"/>
        <v>1</v>
      </c>
      <c r="D515" s="635"/>
      <c r="E515" s="21">
        <f t="shared" si="77"/>
        <v>1</v>
      </c>
      <c r="F515" s="635"/>
      <c r="G515" s="21">
        <f t="shared" si="78"/>
        <v>1</v>
      </c>
      <c r="H515" s="635"/>
      <c r="I515" s="21">
        <f t="shared" si="79"/>
        <v>1</v>
      </c>
      <c r="J515" s="635"/>
      <c r="K515" s="21">
        <f t="shared" si="80"/>
        <v>1</v>
      </c>
      <c r="L515" s="635"/>
      <c r="M515" s="21">
        <f t="shared" si="81"/>
        <v>1</v>
      </c>
      <c r="N515" s="635"/>
      <c r="O515" s="21">
        <f t="shared" si="82"/>
        <v>1</v>
      </c>
      <c r="P515" s="635"/>
      <c r="Q515" s="21">
        <f t="shared" si="83"/>
        <v>1</v>
      </c>
      <c r="R515" s="21">
        <f t="shared" si="84"/>
        <v>0</v>
      </c>
      <c r="S515" s="308">
        <f t="shared" si="75"/>
        <v>0</v>
      </c>
    </row>
    <row r="516" spans="1:19">
      <c r="A516" s="142"/>
      <c r="B516" s="52"/>
      <c r="C516" s="21">
        <f t="shared" si="76"/>
        <v>1</v>
      </c>
      <c r="D516" s="635"/>
      <c r="E516" s="21">
        <f t="shared" si="77"/>
        <v>1</v>
      </c>
      <c r="F516" s="635"/>
      <c r="G516" s="21">
        <f t="shared" si="78"/>
        <v>1</v>
      </c>
      <c r="H516" s="635"/>
      <c r="I516" s="21">
        <f t="shared" si="79"/>
        <v>1</v>
      </c>
      <c r="J516" s="635"/>
      <c r="K516" s="21">
        <f t="shared" si="80"/>
        <v>1</v>
      </c>
      <c r="L516" s="635"/>
      <c r="M516" s="21">
        <f t="shared" si="81"/>
        <v>1</v>
      </c>
      <c r="N516" s="635"/>
      <c r="O516" s="21">
        <f t="shared" si="82"/>
        <v>1</v>
      </c>
      <c r="P516" s="635"/>
      <c r="Q516" s="21">
        <f t="shared" si="83"/>
        <v>1</v>
      </c>
      <c r="R516" s="21">
        <f t="shared" si="84"/>
        <v>0</v>
      </c>
      <c r="S516" s="308">
        <f t="shared" si="75"/>
        <v>0</v>
      </c>
    </row>
    <row r="517" spans="1:19">
      <c r="A517" s="142"/>
      <c r="B517" s="52"/>
      <c r="C517" s="21">
        <f t="shared" si="76"/>
        <v>1</v>
      </c>
      <c r="D517" s="635"/>
      <c r="E517" s="21">
        <f t="shared" si="77"/>
        <v>1</v>
      </c>
      <c r="F517" s="635"/>
      <c r="G517" s="21">
        <f t="shared" si="78"/>
        <v>1</v>
      </c>
      <c r="H517" s="635"/>
      <c r="I517" s="21">
        <f t="shared" si="79"/>
        <v>1</v>
      </c>
      <c r="J517" s="635"/>
      <c r="K517" s="21">
        <f t="shared" si="80"/>
        <v>1</v>
      </c>
      <c r="L517" s="635"/>
      <c r="M517" s="21">
        <f t="shared" si="81"/>
        <v>1</v>
      </c>
      <c r="N517" s="635"/>
      <c r="O517" s="21">
        <f t="shared" si="82"/>
        <v>1</v>
      </c>
      <c r="P517" s="635"/>
      <c r="Q517" s="21">
        <f t="shared" si="83"/>
        <v>1</v>
      </c>
      <c r="R517" s="21">
        <f t="shared" si="84"/>
        <v>0</v>
      </c>
      <c r="S517" s="308">
        <f t="shared" si="75"/>
        <v>0</v>
      </c>
    </row>
    <row r="518" spans="1:19">
      <c r="A518" s="142"/>
      <c r="B518" s="52"/>
      <c r="C518" s="21">
        <f t="shared" si="76"/>
        <v>1</v>
      </c>
      <c r="D518" s="635"/>
      <c r="E518" s="21">
        <f t="shared" si="77"/>
        <v>1</v>
      </c>
      <c r="F518" s="635"/>
      <c r="G518" s="21">
        <f t="shared" si="78"/>
        <v>1</v>
      </c>
      <c r="H518" s="635"/>
      <c r="I518" s="21">
        <f t="shared" si="79"/>
        <v>1</v>
      </c>
      <c r="J518" s="635"/>
      <c r="K518" s="21">
        <f t="shared" si="80"/>
        <v>1</v>
      </c>
      <c r="L518" s="635"/>
      <c r="M518" s="21">
        <f t="shared" si="81"/>
        <v>1</v>
      </c>
      <c r="N518" s="635"/>
      <c r="O518" s="21">
        <f t="shared" si="82"/>
        <v>1</v>
      </c>
      <c r="P518" s="635"/>
      <c r="Q518" s="21">
        <f t="shared" si="83"/>
        <v>1</v>
      </c>
      <c r="R518" s="21">
        <f t="shared" si="84"/>
        <v>0</v>
      </c>
      <c r="S518" s="308">
        <f t="shared" si="75"/>
        <v>0</v>
      </c>
    </row>
    <row r="519" spans="1:19">
      <c r="A519" s="142"/>
      <c r="B519" s="52"/>
      <c r="C519" s="21">
        <f t="shared" si="76"/>
        <v>1</v>
      </c>
      <c r="D519" s="635"/>
      <c r="E519" s="21">
        <f t="shared" si="77"/>
        <v>1</v>
      </c>
      <c r="F519" s="635"/>
      <c r="G519" s="21">
        <f t="shared" si="78"/>
        <v>1</v>
      </c>
      <c r="H519" s="635"/>
      <c r="I519" s="21">
        <f t="shared" si="79"/>
        <v>1</v>
      </c>
      <c r="J519" s="635"/>
      <c r="K519" s="21">
        <f t="shared" si="80"/>
        <v>1</v>
      </c>
      <c r="L519" s="635"/>
      <c r="M519" s="21">
        <f t="shared" si="81"/>
        <v>1</v>
      </c>
      <c r="N519" s="635"/>
      <c r="O519" s="21">
        <f t="shared" si="82"/>
        <v>1</v>
      </c>
      <c r="P519" s="635"/>
      <c r="Q519" s="21">
        <f t="shared" si="83"/>
        <v>1</v>
      </c>
      <c r="R519" s="21">
        <f t="shared" si="84"/>
        <v>0</v>
      </c>
      <c r="S519" s="308">
        <f t="shared" si="75"/>
        <v>0</v>
      </c>
    </row>
    <row r="520" spans="1:19">
      <c r="A520" s="142"/>
      <c r="B520" s="52"/>
      <c r="C520" s="21">
        <f t="shared" si="76"/>
        <v>1</v>
      </c>
      <c r="D520" s="635"/>
      <c r="E520" s="21">
        <f t="shared" si="77"/>
        <v>1</v>
      </c>
      <c r="F520" s="635"/>
      <c r="G520" s="21">
        <f t="shared" si="78"/>
        <v>1</v>
      </c>
      <c r="H520" s="635"/>
      <c r="I520" s="21">
        <f t="shared" si="79"/>
        <v>1</v>
      </c>
      <c r="J520" s="635"/>
      <c r="K520" s="21">
        <f t="shared" si="80"/>
        <v>1</v>
      </c>
      <c r="L520" s="635"/>
      <c r="M520" s="21">
        <f t="shared" si="81"/>
        <v>1</v>
      </c>
      <c r="N520" s="635"/>
      <c r="O520" s="21">
        <f t="shared" si="82"/>
        <v>1</v>
      </c>
      <c r="P520" s="635"/>
      <c r="Q520" s="21">
        <f t="shared" si="83"/>
        <v>1</v>
      </c>
      <c r="R520" s="21">
        <f t="shared" si="84"/>
        <v>0</v>
      </c>
      <c r="S520" s="308">
        <f t="shared" si="75"/>
        <v>0</v>
      </c>
    </row>
    <row r="521" spans="1:19">
      <c r="A521" s="142"/>
      <c r="B521" s="52"/>
      <c r="C521" s="21">
        <f t="shared" si="76"/>
        <v>1</v>
      </c>
      <c r="D521" s="635"/>
      <c r="E521" s="21">
        <f t="shared" si="77"/>
        <v>1</v>
      </c>
      <c r="F521" s="635"/>
      <c r="G521" s="21">
        <f t="shared" si="78"/>
        <v>1</v>
      </c>
      <c r="H521" s="635"/>
      <c r="I521" s="21">
        <f t="shared" si="79"/>
        <v>1</v>
      </c>
      <c r="J521" s="635"/>
      <c r="K521" s="21">
        <f t="shared" si="80"/>
        <v>1</v>
      </c>
      <c r="L521" s="635"/>
      <c r="M521" s="21">
        <f t="shared" si="81"/>
        <v>1</v>
      </c>
      <c r="N521" s="635"/>
      <c r="O521" s="21">
        <f t="shared" si="82"/>
        <v>1</v>
      </c>
      <c r="P521" s="635"/>
      <c r="Q521" s="21">
        <f t="shared" si="83"/>
        <v>1</v>
      </c>
      <c r="R521" s="21">
        <f t="shared" si="84"/>
        <v>0</v>
      </c>
      <c r="S521" s="308">
        <f t="shared" si="75"/>
        <v>0</v>
      </c>
    </row>
    <row r="522" spans="1:19">
      <c r="A522" s="142"/>
      <c r="B522" s="52"/>
      <c r="C522" s="21">
        <f t="shared" si="76"/>
        <v>1</v>
      </c>
      <c r="D522" s="635"/>
      <c r="E522" s="21">
        <f t="shared" si="77"/>
        <v>1</v>
      </c>
      <c r="F522" s="635"/>
      <c r="G522" s="21">
        <f t="shared" si="78"/>
        <v>1</v>
      </c>
      <c r="H522" s="635"/>
      <c r="I522" s="21">
        <f t="shared" si="79"/>
        <v>1</v>
      </c>
      <c r="J522" s="635"/>
      <c r="K522" s="21">
        <f t="shared" si="80"/>
        <v>1</v>
      </c>
      <c r="L522" s="635"/>
      <c r="M522" s="21">
        <f t="shared" si="81"/>
        <v>1</v>
      </c>
      <c r="N522" s="635"/>
      <c r="O522" s="21">
        <f t="shared" si="82"/>
        <v>1</v>
      </c>
      <c r="P522" s="635"/>
      <c r="Q522" s="21">
        <f t="shared" si="83"/>
        <v>1</v>
      </c>
      <c r="R522" s="21">
        <f t="shared" si="84"/>
        <v>0</v>
      </c>
      <c r="S522" s="308">
        <f t="shared" si="75"/>
        <v>0</v>
      </c>
    </row>
    <row r="523" spans="1:19">
      <c r="A523" s="142"/>
      <c r="B523" s="52"/>
      <c r="C523" s="21">
        <f t="shared" si="76"/>
        <v>1</v>
      </c>
      <c r="D523" s="635"/>
      <c r="E523" s="21">
        <f t="shared" si="77"/>
        <v>1</v>
      </c>
      <c r="F523" s="635"/>
      <c r="G523" s="21">
        <f t="shared" si="78"/>
        <v>1</v>
      </c>
      <c r="H523" s="635"/>
      <c r="I523" s="21">
        <f t="shared" si="79"/>
        <v>1</v>
      </c>
      <c r="J523" s="635"/>
      <c r="K523" s="21">
        <f t="shared" si="80"/>
        <v>1</v>
      </c>
      <c r="L523" s="635"/>
      <c r="M523" s="21">
        <f t="shared" si="81"/>
        <v>1</v>
      </c>
      <c r="N523" s="635"/>
      <c r="O523" s="21">
        <f t="shared" si="82"/>
        <v>1</v>
      </c>
      <c r="P523" s="635"/>
      <c r="Q523" s="21">
        <f t="shared" si="83"/>
        <v>1</v>
      </c>
      <c r="R523" s="21">
        <f t="shared" si="84"/>
        <v>0</v>
      </c>
      <c r="S523" s="308">
        <f t="shared" si="75"/>
        <v>0</v>
      </c>
    </row>
    <row r="524" spans="1:19">
      <c r="A524" s="142"/>
      <c r="B524" s="52"/>
      <c r="C524" s="21">
        <f t="shared" si="76"/>
        <v>1</v>
      </c>
      <c r="D524" s="635"/>
      <c r="E524" s="21">
        <f t="shared" si="77"/>
        <v>1</v>
      </c>
      <c r="F524" s="635"/>
      <c r="G524" s="21">
        <f t="shared" si="78"/>
        <v>1</v>
      </c>
      <c r="H524" s="635"/>
      <c r="I524" s="21">
        <f t="shared" si="79"/>
        <v>1</v>
      </c>
      <c r="J524" s="635"/>
      <c r="K524" s="21">
        <f t="shared" si="80"/>
        <v>1</v>
      </c>
      <c r="L524" s="635"/>
      <c r="M524" s="21">
        <f t="shared" si="81"/>
        <v>1</v>
      </c>
      <c r="N524" s="635"/>
      <c r="O524" s="21">
        <f t="shared" si="82"/>
        <v>1</v>
      </c>
      <c r="P524" s="635"/>
      <c r="Q524" s="21">
        <f t="shared" si="83"/>
        <v>1</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xr:uid="{E700F8AC-E1D3-4CC9-A2FE-CD8F1110FB2C}">
      <formula1>一修多修正项2</formula1>
    </dataValidation>
    <dataValidation type="list" allowBlank="1" showInputMessage="1" showErrorMessage="1" sqref="F24:F524" xr:uid="{27C4A6EB-024D-4085-9B84-BE7950A02B19}">
      <formula1>一修多修正项3</formula1>
    </dataValidation>
    <dataValidation type="list" allowBlank="1" showInputMessage="1" showErrorMessage="1" sqref="H24:H524" xr:uid="{DB8B3BE4-C77D-497A-8D09-3E0E9299B4A5}">
      <formula1>一修多修正项4</formula1>
    </dataValidation>
    <dataValidation type="list" allowBlank="1" showInputMessage="1" showErrorMessage="1" sqref="J24:J524" xr:uid="{FA1D700A-075C-4820-92EA-BC85B5752D26}">
      <formula1>一修多修正项5</formula1>
    </dataValidation>
    <dataValidation type="list" allowBlank="1" showInputMessage="1" showErrorMessage="1" sqref="L24:L524" xr:uid="{5C63091B-2506-4AD8-8821-74F3B9AAEA9D}">
      <formula1>一修多修正项6</formula1>
    </dataValidation>
    <dataValidation type="list" allowBlank="1" showInputMessage="1" showErrorMessage="1" sqref="N24:N524" xr:uid="{B8EE1762-D173-4E5B-8143-65F48F714B2D}">
      <formula1>一修多修正项7</formula1>
    </dataValidation>
    <dataValidation type="list" allowBlank="1" showInputMessage="1" showErrorMessage="1" sqref="P24:P524" xr:uid="{51F74061-147C-4F22-8089-61DA25130A21}">
      <formula1>一修多修正项8</formula1>
    </dataValidation>
    <dataValidation type="list" allowBlank="1" showInputMessage="1" showErrorMessage="1" sqref="D20" xr:uid="{3528239C-C917-4A8D-AD7F-463E388F8BD9}">
      <formula1>"需扣减承租人权益,——"</formula1>
    </dataValidation>
    <dataValidation type="list" allowBlank="1" showInputMessage="1" showErrorMessage="1" sqref="H20" xr:uid="{D0C32727-E9BE-49AE-83EB-940A3ADB0965}">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BAF32-EE22-4A8C-835C-A1335B4DF3A7}">
  <sheetPr>
    <tabColor rgb="FF92D050"/>
  </sheetPr>
  <dimension ref="A1:AS524"/>
  <sheetViews>
    <sheetView zoomScaleNormal="100" workbookViewId="0">
      <pane ySplit="24" topLeftCell="A396" activePane="bottomLeft" state="frozen"/>
      <selection activeCell="C50" sqref="C50"/>
      <selection pane="bottomLeft" activeCell="U399" sqref="U399"/>
    </sheetView>
  </sheetViews>
  <sheetFormatPr defaultColWidth="9" defaultRowHeight="12.75"/>
  <cols>
    <col min="1" max="1" width="31" style="122" bestFit="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2078</v>
      </c>
      <c r="C1" s="3436" t="s">
        <v>2079</v>
      </c>
      <c r="D1" s="3437"/>
      <c r="E1" s="3437"/>
      <c r="F1" s="3437"/>
      <c r="G1" s="3437"/>
      <c r="H1" s="3437"/>
      <c r="I1" s="3437"/>
      <c r="J1" s="3437"/>
      <c r="K1" s="3437"/>
      <c r="L1" s="3437"/>
      <c r="M1" s="3437"/>
      <c r="N1" s="3437"/>
      <c r="O1" s="3437"/>
      <c r="P1" s="3437"/>
      <c r="Q1" s="3437"/>
      <c r="R1" s="3437"/>
      <c r="S1" s="3438"/>
      <c r="T1" s="929" t="s">
        <v>1984</v>
      </c>
    </row>
    <row r="2" spans="1:45" s="625" customFormat="1" ht="25.5">
      <c r="A2" s="930"/>
      <c r="B2" s="622" t="s">
        <v>1061</v>
      </c>
      <c r="C2" s="14" t="str">
        <f t="shared" ref="C2:R2" si="0">C3&amp;"(含)"&amp;"-"&amp;D3</f>
        <v>0(含)-30</v>
      </c>
      <c r="D2" s="623" t="str">
        <f t="shared" si="0"/>
        <v>30(含)-60</v>
      </c>
      <c r="E2" s="623" t="str">
        <f t="shared" si="0"/>
        <v>60(含)-100</v>
      </c>
      <c r="F2" s="623" t="str">
        <f t="shared" si="0"/>
        <v>100(含)-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v>
      </c>
      <c r="E3" s="628">
        <v>60</v>
      </c>
      <c r="F3" s="1220">
        <v>100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f>C4-1</f>
        <v>99</v>
      </c>
      <c r="E4" s="936">
        <f>D4-1</f>
        <v>98</v>
      </c>
      <c r="F4" s="936">
        <f>E4-1</f>
        <v>97</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2082</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1">D6-$T5</f>
        <v>100</v>
      </c>
      <c r="F6" s="1231">
        <f t="shared" si="1"/>
        <v>100</v>
      </c>
      <c r="G6" s="1231">
        <f t="shared" si="1"/>
        <v>100</v>
      </c>
      <c r="H6" s="1231">
        <f t="shared" si="1"/>
        <v>100</v>
      </c>
      <c r="I6" s="1231">
        <f t="shared" si="1"/>
        <v>100</v>
      </c>
      <c r="J6" s="1231">
        <f t="shared" si="1"/>
        <v>100</v>
      </c>
      <c r="K6" s="1231">
        <f t="shared" si="1"/>
        <v>100</v>
      </c>
      <c r="L6" s="1231">
        <f t="shared" si="1"/>
        <v>100</v>
      </c>
      <c r="M6" s="1231">
        <f t="shared" si="1"/>
        <v>100</v>
      </c>
      <c r="N6" s="1231">
        <f t="shared" si="1"/>
        <v>100</v>
      </c>
      <c r="O6" s="1231">
        <f t="shared" si="1"/>
        <v>100</v>
      </c>
      <c r="P6" s="1231">
        <f t="shared" si="1"/>
        <v>100</v>
      </c>
      <c r="Q6" s="1231">
        <f t="shared" si="1"/>
        <v>100</v>
      </c>
      <c r="R6" s="1231">
        <f t="shared" si="1"/>
        <v>100</v>
      </c>
      <c r="S6" s="1231">
        <f t="shared" si="1"/>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2">D8-$T7</f>
        <v>100</v>
      </c>
      <c r="F8" s="1231">
        <f t="shared" si="2"/>
        <v>100</v>
      </c>
      <c r="G8" s="1231">
        <f t="shared" si="2"/>
        <v>100</v>
      </c>
      <c r="H8" s="1231">
        <f t="shared" si="2"/>
        <v>100</v>
      </c>
      <c r="I8" s="1231">
        <f t="shared" si="2"/>
        <v>100</v>
      </c>
      <c r="J8" s="1231">
        <f t="shared" si="2"/>
        <v>100</v>
      </c>
      <c r="K8" s="1231">
        <f t="shared" si="2"/>
        <v>100</v>
      </c>
      <c r="L8" s="1231">
        <f t="shared" si="2"/>
        <v>100</v>
      </c>
      <c r="M8" s="1231">
        <f t="shared" si="2"/>
        <v>100</v>
      </c>
      <c r="N8" s="1231">
        <f t="shared" si="2"/>
        <v>100</v>
      </c>
      <c r="O8" s="1231">
        <f t="shared" si="2"/>
        <v>100</v>
      </c>
      <c r="P8" s="1231">
        <f t="shared" si="2"/>
        <v>100</v>
      </c>
      <c r="Q8" s="1231">
        <f t="shared" si="2"/>
        <v>100</v>
      </c>
      <c r="R8" s="1231">
        <f t="shared" si="2"/>
        <v>100</v>
      </c>
      <c r="S8" s="1231">
        <f t="shared" si="2"/>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3">D10-$T9</f>
        <v>100</v>
      </c>
      <c r="F10" s="1240">
        <f t="shared" si="3"/>
        <v>100</v>
      </c>
      <c r="G10" s="1240">
        <f t="shared" si="3"/>
        <v>100</v>
      </c>
      <c r="H10" s="1240">
        <f t="shared" si="3"/>
        <v>100</v>
      </c>
      <c r="I10" s="1240">
        <f t="shared" si="3"/>
        <v>100</v>
      </c>
      <c r="J10" s="1240">
        <f t="shared" si="3"/>
        <v>100</v>
      </c>
      <c r="K10" s="1240">
        <f t="shared" si="3"/>
        <v>100</v>
      </c>
      <c r="L10" s="1240">
        <f t="shared" si="3"/>
        <v>100</v>
      </c>
      <c r="M10" s="1240">
        <f t="shared" si="3"/>
        <v>100</v>
      </c>
      <c r="N10" s="1240">
        <f t="shared" si="3"/>
        <v>100</v>
      </c>
      <c r="O10" s="1240">
        <f t="shared" si="3"/>
        <v>100</v>
      </c>
      <c r="P10" s="1240">
        <f t="shared" si="3"/>
        <v>100</v>
      </c>
      <c r="Q10" s="1240">
        <f t="shared" si="3"/>
        <v>100</v>
      </c>
      <c r="R10" s="1240">
        <f t="shared" si="3"/>
        <v>100</v>
      </c>
      <c r="S10" s="1240">
        <f t="shared" si="3"/>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4">D12-$T11</f>
        <v>100</v>
      </c>
      <c r="F12" s="849">
        <f t="shared" si="4"/>
        <v>100</v>
      </c>
      <c r="G12" s="849">
        <f t="shared" si="4"/>
        <v>100</v>
      </c>
      <c r="H12" s="849">
        <f t="shared" si="4"/>
        <v>100</v>
      </c>
      <c r="I12" s="849">
        <f t="shared" si="4"/>
        <v>100</v>
      </c>
      <c r="J12" s="849">
        <f t="shared" si="4"/>
        <v>100</v>
      </c>
      <c r="K12" s="849">
        <f t="shared" si="4"/>
        <v>100</v>
      </c>
      <c r="L12" s="849">
        <f t="shared" si="4"/>
        <v>100</v>
      </c>
      <c r="M12" s="849">
        <f t="shared" si="4"/>
        <v>100</v>
      </c>
      <c r="N12" s="849">
        <f t="shared" si="4"/>
        <v>100</v>
      </c>
      <c r="O12" s="849">
        <f t="shared" si="4"/>
        <v>100</v>
      </c>
      <c r="P12" s="849">
        <f t="shared" si="4"/>
        <v>100</v>
      </c>
      <c r="Q12" s="849">
        <f t="shared" si="4"/>
        <v>100</v>
      </c>
      <c r="R12" s="849">
        <f>Q12-$T11</f>
        <v>100</v>
      </c>
      <c r="S12" s="849">
        <f t="shared" si="4"/>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2088</v>
      </c>
      <c r="B17" s="1987" t="s">
        <v>2089</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2090</v>
      </c>
      <c r="E19" s="1253"/>
      <c r="F19" s="1253"/>
      <c r="G19" s="1253"/>
      <c r="H19" s="996"/>
      <c r="I19" s="151"/>
      <c r="J19" s="151"/>
      <c r="K19" s="151"/>
      <c r="L19" s="151"/>
      <c r="M19" s="151"/>
      <c r="N19" s="151"/>
      <c r="O19" s="151"/>
      <c r="P19" s="151"/>
      <c r="Q19" s="151"/>
      <c r="R19" s="151"/>
      <c r="S19" s="121"/>
    </row>
    <row r="20" spans="1:45" ht="16.5" thickBot="1">
      <c r="A20" s="632" t="s">
        <v>2091</v>
      </c>
      <c r="B20" s="286">
        <f ca="1">IF(D20="——",S22,S22-F20)</f>
        <v>33427</v>
      </c>
      <c r="C20" s="151"/>
      <c r="D20" s="1989" t="s">
        <v>43</v>
      </c>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c r="T20" s="3178" t="s">
        <v>4830</v>
      </c>
      <c r="U20" s="3178" t="s">
        <v>3372</v>
      </c>
    </row>
    <row r="21" spans="1:45" ht="15.75">
      <c r="A21" s="632" t="s">
        <v>2093</v>
      </c>
      <c r="B21" s="286">
        <f ca="1">ROUND(B20*10000/B22,0)</f>
        <v>25420</v>
      </c>
      <c r="C21" s="151"/>
      <c r="D21" s="151"/>
      <c r="E21" s="151"/>
      <c r="F21" s="151"/>
      <c r="G21" s="151"/>
      <c r="H21" s="151"/>
      <c r="I21" s="151"/>
      <c r="J21" s="151"/>
      <c r="K21" s="151"/>
      <c r="L21" s="151"/>
      <c r="M21" s="151"/>
      <c r="N21" s="151"/>
      <c r="O21" s="151"/>
      <c r="P21" s="151"/>
      <c r="Q21" s="151"/>
      <c r="R21" s="151"/>
      <c r="S21" s="121"/>
      <c r="T21" s="684">
        <f ca="1">S22+'典型户型修正-地下仓储'!S22</f>
        <v>36600</v>
      </c>
      <c r="U21" s="684">
        <f>B22+'典型户型修正-地下仓储'!B22</f>
        <v>14403.540000000003</v>
      </c>
    </row>
    <row r="22" spans="1:45">
      <c r="A22" s="308" t="s">
        <v>2094</v>
      </c>
      <c r="B22" s="21">
        <f>SUM(B24:B10000)</f>
        <v>13149.680000000002</v>
      </c>
      <c r="C22" s="3433" t="s">
        <v>27</v>
      </c>
      <c r="D22" s="3434"/>
      <c r="E22" s="3434"/>
      <c r="F22" s="3434"/>
      <c r="G22" s="3434"/>
      <c r="H22" s="3434"/>
      <c r="I22" s="3434"/>
      <c r="J22" s="3434"/>
      <c r="K22" s="3434"/>
      <c r="L22" s="3434"/>
      <c r="M22" s="3434"/>
      <c r="N22" s="3434"/>
      <c r="O22" s="3434"/>
      <c r="P22" s="3434"/>
      <c r="Q22" s="3435"/>
      <c r="R22" s="21">
        <f ca="1">ROUND(S22*10000/B22,0)</f>
        <v>25420</v>
      </c>
      <c r="S22" s="21">
        <f ca="1">SUM(S24:S10000)</f>
        <v>33427</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'12.23面积'!M34</f>
        <v>23-115</v>
      </c>
      <c r="B24" s="633">
        <f>'12.23面积'!N34</f>
        <v>46.68</v>
      </c>
      <c r="C24" s="2571">
        <v>1</v>
      </c>
      <c r="D24" s="2572"/>
      <c r="E24" s="2571">
        <v>1</v>
      </c>
      <c r="F24" s="2572"/>
      <c r="G24" s="2571">
        <v>1</v>
      </c>
      <c r="H24" s="2572"/>
      <c r="I24" s="2571">
        <v>1</v>
      </c>
      <c r="J24" s="2572"/>
      <c r="K24" s="2571">
        <v>1</v>
      </c>
      <c r="L24" s="2572"/>
      <c r="M24" s="2571">
        <v>1</v>
      </c>
      <c r="N24" s="2572"/>
      <c r="O24" s="2571">
        <v>1</v>
      </c>
      <c r="P24" s="2572"/>
      <c r="Q24" s="2571">
        <v>1</v>
      </c>
      <c r="R24" s="633">
        <f ca="1">'结果表-地下仓储'!G20</f>
        <v>25380</v>
      </c>
      <c r="S24" s="634">
        <f t="shared" ref="S24:S87" ca="1" si="5">ROUND(R24*B24/10000,0)</f>
        <v>118</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'12.23面积'!M35</f>
        <v>23-116</v>
      </c>
      <c r="B25" s="633">
        <f>'12.23面积'!N35</f>
        <v>62</v>
      </c>
      <c r="C25" s="21">
        <f>IF(B25="",1,(LOOKUP(B25,$3:$3,$4:$4)-LOOKUP($B$24,$3:$3,$4:$4)+100)/100)</f>
        <v>0.99</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25126</v>
      </c>
      <c r="S25" s="308">
        <f t="shared" ca="1" si="5"/>
        <v>156</v>
      </c>
    </row>
    <row r="26" spans="1:45">
      <c r="A26" s="633" t="str">
        <f>'12.23面积'!M36</f>
        <v>23-117</v>
      </c>
      <c r="B26" s="633">
        <f>'12.23面积'!N36</f>
        <v>33.47</v>
      </c>
      <c r="C26" s="21">
        <f t="shared" ref="C26:C89" si="6">IF(B26="",1,(LOOKUP(B26,$3:$3,$4:$4)-LOOKUP($B$24,$3:$3,$4:$4)+100)/100)</f>
        <v>1</v>
      </c>
      <c r="D26" s="635"/>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635"/>
      <c r="Q26" s="21">
        <f t="shared" ref="Q26:Q89" si="13">(SUMIF($17:$17,P26,$18:$18)-SUMIF($17:$17,$P$24,$18:$18)+100)/100</f>
        <v>1</v>
      </c>
      <c r="R26" s="21">
        <f t="shared" ref="R26:R89" ca="1" si="14">IF(B26="",0,ROUND($R$24*C26*E26*G26*I26*K26*M26*O26*Q26,0))</f>
        <v>25380</v>
      </c>
      <c r="S26" s="308">
        <f t="shared" ca="1" si="5"/>
        <v>85</v>
      </c>
    </row>
    <row r="27" spans="1:45">
      <c r="A27" s="633" t="str">
        <f>'12.23面积'!M37</f>
        <v>23-118</v>
      </c>
      <c r="B27" s="633">
        <f>'12.23面积'!N37</f>
        <v>33.47</v>
      </c>
      <c r="C27" s="21">
        <f t="shared" si="6"/>
        <v>1</v>
      </c>
      <c r="D27" s="635"/>
      <c r="E27" s="21">
        <f t="shared" si="7"/>
        <v>1</v>
      </c>
      <c r="F27" s="635"/>
      <c r="G27" s="21">
        <f t="shared" si="8"/>
        <v>1</v>
      </c>
      <c r="H27" s="635"/>
      <c r="I27" s="21">
        <f t="shared" si="9"/>
        <v>1</v>
      </c>
      <c r="J27" s="635"/>
      <c r="K27" s="21">
        <f t="shared" si="10"/>
        <v>1</v>
      </c>
      <c r="L27" s="635"/>
      <c r="M27" s="21">
        <f t="shared" si="11"/>
        <v>1</v>
      </c>
      <c r="N27" s="635"/>
      <c r="O27" s="21">
        <f t="shared" si="12"/>
        <v>1</v>
      </c>
      <c r="P27" s="635"/>
      <c r="Q27" s="21">
        <f t="shared" si="13"/>
        <v>1</v>
      </c>
      <c r="R27" s="21">
        <f t="shared" ca="1" si="14"/>
        <v>25380</v>
      </c>
      <c r="S27" s="308">
        <f t="shared" ca="1" si="5"/>
        <v>85</v>
      </c>
    </row>
    <row r="28" spans="1:45">
      <c r="A28" s="633" t="str">
        <f>'12.23面积'!M38</f>
        <v>23-119</v>
      </c>
      <c r="B28" s="633">
        <f>'12.23面积'!N38</f>
        <v>62.28</v>
      </c>
      <c r="C28" s="21">
        <f t="shared" si="6"/>
        <v>0.99</v>
      </c>
      <c r="D28" s="635"/>
      <c r="E28" s="21">
        <f t="shared" si="7"/>
        <v>1</v>
      </c>
      <c r="F28" s="635"/>
      <c r="G28" s="21">
        <f t="shared" si="8"/>
        <v>1</v>
      </c>
      <c r="H28" s="635"/>
      <c r="I28" s="21">
        <f t="shared" si="9"/>
        <v>1</v>
      </c>
      <c r="J28" s="635"/>
      <c r="K28" s="21">
        <f t="shared" si="10"/>
        <v>1</v>
      </c>
      <c r="L28" s="635"/>
      <c r="M28" s="21">
        <f t="shared" si="11"/>
        <v>1</v>
      </c>
      <c r="N28" s="635"/>
      <c r="O28" s="21">
        <f t="shared" si="12"/>
        <v>1</v>
      </c>
      <c r="P28" s="635"/>
      <c r="Q28" s="21">
        <f t="shared" si="13"/>
        <v>1</v>
      </c>
      <c r="R28" s="21">
        <f t="shared" ca="1" si="14"/>
        <v>25126</v>
      </c>
      <c r="S28" s="308">
        <f t="shared" ca="1" si="5"/>
        <v>156</v>
      </c>
    </row>
    <row r="29" spans="1:45">
      <c r="A29" s="633" t="str">
        <f>'12.23面积'!M39</f>
        <v>23-120</v>
      </c>
      <c r="B29" s="633">
        <f>'12.23面积'!N39</f>
        <v>56.63</v>
      </c>
      <c r="C29" s="21">
        <f t="shared" si="6"/>
        <v>1</v>
      </c>
      <c r="D29" s="635"/>
      <c r="E29" s="21">
        <f t="shared" si="7"/>
        <v>1</v>
      </c>
      <c r="F29" s="635"/>
      <c r="G29" s="21">
        <f t="shared" si="8"/>
        <v>1</v>
      </c>
      <c r="H29" s="635"/>
      <c r="I29" s="21">
        <f t="shared" si="9"/>
        <v>1</v>
      </c>
      <c r="J29" s="635"/>
      <c r="K29" s="21">
        <f t="shared" si="10"/>
        <v>1</v>
      </c>
      <c r="L29" s="635"/>
      <c r="M29" s="21">
        <f t="shared" si="11"/>
        <v>1</v>
      </c>
      <c r="N29" s="635"/>
      <c r="O29" s="21">
        <f t="shared" si="12"/>
        <v>1</v>
      </c>
      <c r="P29" s="635"/>
      <c r="Q29" s="21">
        <f t="shared" si="13"/>
        <v>1</v>
      </c>
      <c r="R29" s="21">
        <f t="shared" ca="1" si="14"/>
        <v>25380</v>
      </c>
      <c r="S29" s="308">
        <f t="shared" ca="1" si="5"/>
        <v>144</v>
      </c>
    </row>
    <row r="30" spans="1:45">
      <c r="A30" s="633" t="str">
        <f>'12.23面积'!M40</f>
        <v>23-121</v>
      </c>
      <c r="B30" s="633">
        <f>'12.23面积'!N40</f>
        <v>30.56</v>
      </c>
      <c r="C30" s="21">
        <f t="shared" si="6"/>
        <v>1</v>
      </c>
      <c r="D30" s="635"/>
      <c r="E30" s="21">
        <f t="shared" si="7"/>
        <v>1</v>
      </c>
      <c r="F30" s="635"/>
      <c r="G30" s="21">
        <f t="shared" si="8"/>
        <v>1</v>
      </c>
      <c r="H30" s="635"/>
      <c r="I30" s="21">
        <f t="shared" si="9"/>
        <v>1</v>
      </c>
      <c r="J30" s="635"/>
      <c r="K30" s="21">
        <f t="shared" si="10"/>
        <v>1</v>
      </c>
      <c r="L30" s="635"/>
      <c r="M30" s="21">
        <f t="shared" si="11"/>
        <v>1</v>
      </c>
      <c r="N30" s="635"/>
      <c r="O30" s="21">
        <f t="shared" si="12"/>
        <v>1</v>
      </c>
      <c r="P30" s="635"/>
      <c r="Q30" s="21">
        <f t="shared" si="13"/>
        <v>1</v>
      </c>
      <c r="R30" s="21">
        <f t="shared" ca="1" si="14"/>
        <v>25380</v>
      </c>
      <c r="S30" s="308">
        <f t="shared" ca="1" si="5"/>
        <v>78</v>
      </c>
    </row>
    <row r="31" spans="1:45">
      <c r="A31" s="633" t="str">
        <f>'12.23面积'!M41</f>
        <v>23-122</v>
      </c>
      <c r="B31" s="633">
        <f>'12.23面积'!N41</f>
        <v>24.49</v>
      </c>
      <c r="C31" s="21">
        <f t="shared" si="6"/>
        <v>1.01</v>
      </c>
      <c r="D31" s="635"/>
      <c r="E31" s="21">
        <f t="shared" si="7"/>
        <v>1</v>
      </c>
      <c r="F31" s="635"/>
      <c r="G31" s="21">
        <f t="shared" si="8"/>
        <v>1</v>
      </c>
      <c r="H31" s="635"/>
      <c r="I31" s="21">
        <f t="shared" si="9"/>
        <v>1</v>
      </c>
      <c r="J31" s="635"/>
      <c r="K31" s="21">
        <f t="shared" si="10"/>
        <v>1</v>
      </c>
      <c r="L31" s="635"/>
      <c r="M31" s="21">
        <f t="shared" si="11"/>
        <v>1</v>
      </c>
      <c r="N31" s="635"/>
      <c r="O31" s="21">
        <f t="shared" si="12"/>
        <v>1</v>
      </c>
      <c r="P31" s="635"/>
      <c r="Q31" s="21">
        <f t="shared" si="13"/>
        <v>1</v>
      </c>
      <c r="R31" s="21">
        <f t="shared" ca="1" si="14"/>
        <v>25634</v>
      </c>
      <c r="S31" s="308">
        <f t="shared" ca="1" si="5"/>
        <v>63</v>
      </c>
    </row>
    <row r="32" spans="1:45">
      <c r="A32" s="633" t="str">
        <f>'12.23面积'!M42</f>
        <v>23-208</v>
      </c>
      <c r="B32" s="633">
        <f>'12.23面积'!N42</f>
        <v>21.5</v>
      </c>
      <c r="C32" s="21">
        <f t="shared" si="6"/>
        <v>1.01</v>
      </c>
      <c r="D32" s="635"/>
      <c r="E32" s="21">
        <f t="shared" si="7"/>
        <v>1</v>
      </c>
      <c r="F32" s="635"/>
      <c r="G32" s="21">
        <f t="shared" si="8"/>
        <v>1</v>
      </c>
      <c r="H32" s="635"/>
      <c r="I32" s="21">
        <f t="shared" si="9"/>
        <v>1</v>
      </c>
      <c r="J32" s="635"/>
      <c r="K32" s="21">
        <f t="shared" si="10"/>
        <v>1</v>
      </c>
      <c r="L32" s="635"/>
      <c r="M32" s="21">
        <f t="shared" si="11"/>
        <v>1</v>
      </c>
      <c r="N32" s="635"/>
      <c r="O32" s="21">
        <f t="shared" si="12"/>
        <v>1</v>
      </c>
      <c r="P32" s="635"/>
      <c r="Q32" s="21">
        <f t="shared" si="13"/>
        <v>1</v>
      </c>
      <c r="R32" s="21">
        <f t="shared" ca="1" si="14"/>
        <v>25634</v>
      </c>
      <c r="S32" s="308">
        <f t="shared" ca="1" si="5"/>
        <v>55</v>
      </c>
    </row>
    <row r="33" spans="1:19">
      <c r="A33" s="633" t="str">
        <f>'12.23面积'!M43</f>
        <v>23-209</v>
      </c>
      <c r="B33" s="633">
        <f>'12.23面积'!N43</f>
        <v>22.76</v>
      </c>
      <c r="C33" s="21">
        <f t="shared" si="6"/>
        <v>1.01</v>
      </c>
      <c r="D33" s="635"/>
      <c r="E33" s="21">
        <f t="shared" si="7"/>
        <v>1</v>
      </c>
      <c r="F33" s="635"/>
      <c r="G33" s="21">
        <f t="shared" si="8"/>
        <v>1</v>
      </c>
      <c r="H33" s="635"/>
      <c r="I33" s="21">
        <f t="shared" si="9"/>
        <v>1</v>
      </c>
      <c r="J33" s="635"/>
      <c r="K33" s="21">
        <f t="shared" si="10"/>
        <v>1</v>
      </c>
      <c r="L33" s="635"/>
      <c r="M33" s="21">
        <f t="shared" si="11"/>
        <v>1</v>
      </c>
      <c r="N33" s="635"/>
      <c r="O33" s="21">
        <f t="shared" si="12"/>
        <v>1</v>
      </c>
      <c r="P33" s="635"/>
      <c r="Q33" s="21">
        <f t="shared" si="13"/>
        <v>1</v>
      </c>
      <c r="R33" s="21">
        <f t="shared" ca="1" si="14"/>
        <v>25634</v>
      </c>
      <c r="S33" s="308">
        <f t="shared" ca="1" si="5"/>
        <v>58</v>
      </c>
    </row>
    <row r="34" spans="1:19">
      <c r="A34" s="633" t="str">
        <f>'12.23面积'!M44</f>
        <v>17-102</v>
      </c>
      <c r="B34" s="633">
        <f>'12.23面积'!N44</f>
        <v>42.57</v>
      </c>
      <c r="C34" s="21">
        <f t="shared" si="6"/>
        <v>1</v>
      </c>
      <c r="D34" s="635"/>
      <c r="E34" s="21">
        <f t="shared" si="7"/>
        <v>1</v>
      </c>
      <c r="F34" s="635"/>
      <c r="G34" s="21">
        <f t="shared" si="8"/>
        <v>1</v>
      </c>
      <c r="H34" s="635"/>
      <c r="I34" s="21">
        <f t="shared" si="9"/>
        <v>1</v>
      </c>
      <c r="J34" s="635"/>
      <c r="K34" s="21">
        <f t="shared" si="10"/>
        <v>1</v>
      </c>
      <c r="L34" s="635"/>
      <c r="M34" s="21">
        <f t="shared" si="11"/>
        <v>1</v>
      </c>
      <c r="N34" s="635"/>
      <c r="O34" s="21">
        <f t="shared" si="12"/>
        <v>1</v>
      </c>
      <c r="P34" s="635"/>
      <c r="Q34" s="21">
        <f t="shared" si="13"/>
        <v>1</v>
      </c>
      <c r="R34" s="21">
        <f t="shared" ca="1" si="14"/>
        <v>25380</v>
      </c>
      <c r="S34" s="308">
        <f t="shared" ca="1" si="5"/>
        <v>108</v>
      </c>
    </row>
    <row r="35" spans="1:19">
      <c r="A35" s="633" t="str">
        <f>'12.23面积'!M45</f>
        <v>17-103</v>
      </c>
      <c r="B35" s="633">
        <f>'12.23面积'!N45</f>
        <v>47.2</v>
      </c>
      <c r="C35" s="21">
        <f t="shared" si="6"/>
        <v>1</v>
      </c>
      <c r="D35" s="635"/>
      <c r="E35" s="21">
        <f t="shared" si="7"/>
        <v>1</v>
      </c>
      <c r="F35" s="635"/>
      <c r="G35" s="21">
        <f t="shared" si="8"/>
        <v>1</v>
      </c>
      <c r="H35" s="635"/>
      <c r="I35" s="21">
        <f t="shared" si="9"/>
        <v>1</v>
      </c>
      <c r="J35" s="635"/>
      <c r="K35" s="21">
        <f t="shared" si="10"/>
        <v>1</v>
      </c>
      <c r="L35" s="635"/>
      <c r="M35" s="21">
        <f t="shared" si="11"/>
        <v>1</v>
      </c>
      <c r="N35" s="635"/>
      <c r="O35" s="21">
        <f t="shared" si="12"/>
        <v>1</v>
      </c>
      <c r="P35" s="635"/>
      <c r="Q35" s="21">
        <f t="shared" si="13"/>
        <v>1</v>
      </c>
      <c r="R35" s="21">
        <f t="shared" ca="1" si="14"/>
        <v>25380</v>
      </c>
      <c r="S35" s="308">
        <f t="shared" ca="1" si="5"/>
        <v>120</v>
      </c>
    </row>
    <row r="36" spans="1:19">
      <c r="A36" s="633" t="str">
        <f>'12.23面积'!M46</f>
        <v>17-104</v>
      </c>
      <c r="B36" s="633">
        <f>'12.23面积'!N46</f>
        <v>62.37</v>
      </c>
      <c r="C36" s="21">
        <f t="shared" si="6"/>
        <v>0.99</v>
      </c>
      <c r="D36" s="635"/>
      <c r="E36" s="21">
        <f t="shared" si="7"/>
        <v>1</v>
      </c>
      <c r="F36" s="635"/>
      <c r="G36" s="21">
        <f t="shared" si="8"/>
        <v>1</v>
      </c>
      <c r="H36" s="635"/>
      <c r="I36" s="21">
        <f t="shared" si="9"/>
        <v>1</v>
      </c>
      <c r="J36" s="635"/>
      <c r="K36" s="21">
        <f t="shared" si="10"/>
        <v>1</v>
      </c>
      <c r="L36" s="635"/>
      <c r="M36" s="21">
        <f t="shared" si="11"/>
        <v>1</v>
      </c>
      <c r="N36" s="635"/>
      <c r="O36" s="21">
        <f t="shared" si="12"/>
        <v>1</v>
      </c>
      <c r="P36" s="635"/>
      <c r="Q36" s="21">
        <f t="shared" si="13"/>
        <v>1</v>
      </c>
      <c r="R36" s="21">
        <f t="shared" ca="1" si="14"/>
        <v>25126</v>
      </c>
      <c r="S36" s="308">
        <f t="shared" ca="1" si="5"/>
        <v>157</v>
      </c>
    </row>
    <row r="37" spans="1:19">
      <c r="A37" s="633" t="str">
        <f>'12.23面积'!M47</f>
        <v>17-105</v>
      </c>
      <c r="B37" s="633">
        <f>'12.23面积'!N47</f>
        <v>61.41</v>
      </c>
      <c r="C37" s="21">
        <f t="shared" si="6"/>
        <v>0.99</v>
      </c>
      <c r="D37" s="635"/>
      <c r="E37" s="21">
        <f t="shared" si="7"/>
        <v>1</v>
      </c>
      <c r="F37" s="635"/>
      <c r="G37" s="21">
        <f t="shared" si="8"/>
        <v>1</v>
      </c>
      <c r="H37" s="635"/>
      <c r="I37" s="21">
        <f t="shared" si="9"/>
        <v>1</v>
      </c>
      <c r="J37" s="635"/>
      <c r="K37" s="21">
        <f t="shared" si="10"/>
        <v>1</v>
      </c>
      <c r="L37" s="635"/>
      <c r="M37" s="21">
        <f t="shared" si="11"/>
        <v>1</v>
      </c>
      <c r="N37" s="635"/>
      <c r="O37" s="21">
        <f t="shared" si="12"/>
        <v>1</v>
      </c>
      <c r="P37" s="635"/>
      <c r="Q37" s="21">
        <f t="shared" si="13"/>
        <v>1</v>
      </c>
      <c r="R37" s="21">
        <f t="shared" ca="1" si="14"/>
        <v>25126</v>
      </c>
      <c r="S37" s="308">
        <f t="shared" ca="1" si="5"/>
        <v>154</v>
      </c>
    </row>
    <row r="38" spans="1:19">
      <c r="A38" s="633" t="str">
        <f>'12.23面积'!M48</f>
        <v>17-201</v>
      </c>
      <c r="B38" s="633">
        <f>'12.23面积'!N48</f>
        <v>22.9</v>
      </c>
      <c r="C38" s="21">
        <f t="shared" si="6"/>
        <v>1.01</v>
      </c>
      <c r="D38" s="635"/>
      <c r="E38" s="21">
        <f t="shared" si="7"/>
        <v>1</v>
      </c>
      <c r="F38" s="635"/>
      <c r="G38" s="21">
        <f t="shared" si="8"/>
        <v>1</v>
      </c>
      <c r="H38" s="635"/>
      <c r="I38" s="21">
        <f t="shared" si="9"/>
        <v>1</v>
      </c>
      <c r="J38" s="635"/>
      <c r="K38" s="21">
        <f t="shared" si="10"/>
        <v>1</v>
      </c>
      <c r="L38" s="635"/>
      <c r="M38" s="21">
        <f t="shared" si="11"/>
        <v>1</v>
      </c>
      <c r="N38" s="635"/>
      <c r="O38" s="21">
        <f t="shared" si="12"/>
        <v>1</v>
      </c>
      <c r="P38" s="635"/>
      <c r="Q38" s="21">
        <f t="shared" si="13"/>
        <v>1</v>
      </c>
      <c r="R38" s="21">
        <f t="shared" ca="1" si="14"/>
        <v>25634</v>
      </c>
      <c r="S38" s="308">
        <f t="shared" ca="1" si="5"/>
        <v>59</v>
      </c>
    </row>
    <row r="39" spans="1:19">
      <c r="A39" s="633" t="str">
        <f>'12.23面积'!M49</f>
        <v>6-201</v>
      </c>
      <c r="B39" s="633">
        <f>'12.23面积'!N49</f>
        <v>15.68</v>
      </c>
      <c r="C39" s="21">
        <f t="shared" si="6"/>
        <v>1.01</v>
      </c>
      <c r="D39" s="635"/>
      <c r="E39" s="21">
        <f t="shared" si="7"/>
        <v>1</v>
      </c>
      <c r="F39" s="635"/>
      <c r="G39" s="21">
        <f t="shared" si="8"/>
        <v>1</v>
      </c>
      <c r="H39" s="635"/>
      <c r="I39" s="21">
        <f t="shared" si="9"/>
        <v>1</v>
      </c>
      <c r="J39" s="635"/>
      <c r="K39" s="21">
        <f t="shared" si="10"/>
        <v>1</v>
      </c>
      <c r="L39" s="635"/>
      <c r="M39" s="21">
        <f t="shared" si="11"/>
        <v>1</v>
      </c>
      <c r="N39" s="635"/>
      <c r="O39" s="21">
        <f t="shared" si="12"/>
        <v>1</v>
      </c>
      <c r="P39" s="635"/>
      <c r="Q39" s="21">
        <f t="shared" si="13"/>
        <v>1</v>
      </c>
      <c r="R39" s="21">
        <f t="shared" ca="1" si="14"/>
        <v>25634</v>
      </c>
      <c r="S39" s="308">
        <f t="shared" ca="1" si="5"/>
        <v>40</v>
      </c>
    </row>
    <row r="40" spans="1:19">
      <c r="A40" s="633" t="str">
        <f>'12.23面积'!M50</f>
        <v>20-106</v>
      </c>
      <c r="B40" s="633">
        <f>'12.23面积'!N50</f>
        <v>34.03</v>
      </c>
      <c r="C40" s="21">
        <f t="shared" si="6"/>
        <v>1</v>
      </c>
      <c r="D40" s="635"/>
      <c r="E40" s="21">
        <f t="shared" si="7"/>
        <v>1</v>
      </c>
      <c r="F40" s="635"/>
      <c r="G40" s="21">
        <f t="shared" si="8"/>
        <v>1</v>
      </c>
      <c r="H40" s="635"/>
      <c r="I40" s="21">
        <f t="shared" si="9"/>
        <v>1</v>
      </c>
      <c r="J40" s="635"/>
      <c r="K40" s="21">
        <f t="shared" si="10"/>
        <v>1</v>
      </c>
      <c r="L40" s="635"/>
      <c r="M40" s="21">
        <f t="shared" si="11"/>
        <v>1</v>
      </c>
      <c r="N40" s="635"/>
      <c r="O40" s="21">
        <f t="shared" si="12"/>
        <v>1</v>
      </c>
      <c r="P40" s="635"/>
      <c r="Q40" s="21">
        <f t="shared" si="13"/>
        <v>1</v>
      </c>
      <c r="R40" s="21">
        <f t="shared" ca="1" si="14"/>
        <v>25380</v>
      </c>
      <c r="S40" s="308">
        <f t="shared" ca="1" si="5"/>
        <v>86</v>
      </c>
    </row>
    <row r="41" spans="1:19">
      <c r="A41" s="633" t="str">
        <f>'12.23面积'!M51</f>
        <v>20-107</v>
      </c>
      <c r="B41" s="633">
        <f>'12.23面积'!N51</f>
        <v>62.36</v>
      </c>
      <c r="C41" s="21">
        <f t="shared" si="6"/>
        <v>0.99</v>
      </c>
      <c r="D41" s="635"/>
      <c r="E41" s="21">
        <f t="shared" si="7"/>
        <v>1</v>
      </c>
      <c r="F41" s="635"/>
      <c r="G41" s="21">
        <f t="shared" si="8"/>
        <v>1</v>
      </c>
      <c r="H41" s="635"/>
      <c r="I41" s="21">
        <f t="shared" si="9"/>
        <v>1</v>
      </c>
      <c r="J41" s="635"/>
      <c r="K41" s="21">
        <f t="shared" si="10"/>
        <v>1</v>
      </c>
      <c r="L41" s="635"/>
      <c r="M41" s="21">
        <f t="shared" si="11"/>
        <v>1</v>
      </c>
      <c r="N41" s="635"/>
      <c r="O41" s="21">
        <f t="shared" si="12"/>
        <v>1</v>
      </c>
      <c r="P41" s="635"/>
      <c r="Q41" s="21">
        <f t="shared" si="13"/>
        <v>1</v>
      </c>
      <c r="R41" s="21">
        <f t="shared" ca="1" si="14"/>
        <v>25126</v>
      </c>
      <c r="S41" s="308">
        <f t="shared" ca="1" si="5"/>
        <v>157</v>
      </c>
    </row>
    <row r="42" spans="1:19">
      <c r="A42" s="633" t="str">
        <f>'12.23面积'!M52</f>
        <v>20-108</v>
      </c>
      <c r="B42" s="633">
        <f>'12.23面积'!N52</f>
        <v>47.29</v>
      </c>
      <c r="C42" s="21">
        <f t="shared" si="6"/>
        <v>1</v>
      </c>
      <c r="D42" s="635"/>
      <c r="E42" s="21">
        <f t="shared" si="7"/>
        <v>1</v>
      </c>
      <c r="F42" s="635"/>
      <c r="G42" s="21">
        <f t="shared" si="8"/>
        <v>1</v>
      </c>
      <c r="H42" s="635"/>
      <c r="I42" s="21">
        <f t="shared" si="9"/>
        <v>1</v>
      </c>
      <c r="J42" s="635"/>
      <c r="K42" s="21">
        <f t="shared" si="10"/>
        <v>1</v>
      </c>
      <c r="L42" s="635"/>
      <c r="M42" s="21">
        <f t="shared" si="11"/>
        <v>1</v>
      </c>
      <c r="N42" s="635"/>
      <c r="O42" s="21">
        <f t="shared" si="12"/>
        <v>1</v>
      </c>
      <c r="P42" s="635"/>
      <c r="Q42" s="21">
        <f t="shared" si="13"/>
        <v>1</v>
      </c>
      <c r="R42" s="21">
        <f t="shared" ca="1" si="14"/>
        <v>25380</v>
      </c>
      <c r="S42" s="308">
        <f t="shared" ca="1" si="5"/>
        <v>120</v>
      </c>
    </row>
    <row r="43" spans="1:19">
      <c r="A43" s="633" t="str">
        <f>'12.23面积'!M53</f>
        <v>20-202</v>
      </c>
      <c r="B43" s="633">
        <f>'12.23面积'!N53</f>
        <v>19.920000000000002</v>
      </c>
      <c r="C43" s="21">
        <f t="shared" si="6"/>
        <v>1.01</v>
      </c>
      <c r="D43" s="635"/>
      <c r="E43" s="21">
        <f t="shared" si="7"/>
        <v>1</v>
      </c>
      <c r="F43" s="635"/>
      <c r="G43" s="21">
        <f t="shared" si="8"/>
        <v>1</v>
      </c>
      <c r="H43" s="635"/>
      <c r="I43" s="21">
        <f t="shared" si="9"/>
        <v>1</v>
      </c>
      <c r="J43" s="635"/>
      <c r="K43" s="21">
        <f t="shared" si="10"/>
        <v>1</v>
      </c>
      <c r="L43" s="635"/>
      <c r="M43" s="21">
        <f t="shared" si="11"/>
        <v>1</v>
      </c>
      <c r="N43" s="635"/>
      <c r="O43" s="21">
        <f t="shared" si="12"/>
        <v>1</v>
      </c>
      <c r="P43" s="635"/>
      <c r="Q43" s="21">
        <f t="shared" si="13"/>
        <v>1</v>
      </c>
      <c r="R43" s="21">
        <f t="shared" ca="1" si="14"/>
        <v>25634</v>
      </c>
      <c r="S43" s="308">
        <f t="shared" ca="1" si="5"/>
        <v>51</v>
      </c>
    </row>
    <row r="44" spans="1:19">
      <c r="A44" s="633" t="str">
        <f>'12.23面积'!M54</f>
        <v>4-106</v>
      </c>
      <c r="B44" s="633">
        <f>'12.23面积'!N54</f>
        <v>23.66</v>
      </c>
      <c r="C44" s="21">
        <f t="shared" si="6"/>
        <v>1.01</v>
      </c>
      <c r="D44" s="635"/>
      <c r="E44" s="21">
        <f t="shared" si="7"/>
        <v>1</v>
      </c>
      <c r="F44" s="635"/>
      <c r="G44" s="21">
        <f t="shared" si="8"/>
        <v>1</v>
      </c>
      <c r="H44" s="635"/>
      <c r="I44" s="21">
        <f t="shared" si="9"/>
        <v>1</v>
      </c>
      <c r="J44" s="635"/>
      <c r="K44" s="21">
        <f t="shared" si="10"/>
        <v>1</v>
      </c>
      <c r="L44" s="635"/>
      <c r="M44" s="21">
        <f t="shared" si="11"/>
        <v>1</v>
      </c>
      <c r="N44" s="635"/>
      <c r="O44" s="21">
        <f t="shared" si="12"/>
        <v>1</v>
      </c>
      <c r="P44" s="635"/>
      <c r="Q44" s="21">
        <f t="shared" si="13"/>
        <v>1</v>
      </c>
      <c r="R44" s="21">
        <f t="shared" ca="1" si="14"/>
        <v>25634</v>
      </c>
      <c r="S44" s="308">
        <f t="shared" ca="1" si="5"/>
        <v>61</v>
      </c>
    </row>
    <row r="45" spans="1:19">
      <c r="A45" s="633" t="str">
        <f>'12.23面积'!M55</f>
        <v>4-107</v>
      </c>
      <c r="B45" s="633">
        <f>'12.23面积'!N55</f>
        <v>56.71</v>
      </c>
      <c r="C45" s="21">
        <f t="shared" si="6"/>
        <v>1</v>
      </c>
      <c r="D45" s="635"/>
      <c r="E45" s="21">
        <f t="shared" si="7"/>
        <v>1</v>
      </c>
      <c r="F45" s="635"/>
      <c r="G45" s="21">
        <f t="shared" si="8"/>
        <v>1</v>
      </c>
      <c r="H45" s="635"/>
      <c r="I45" s="21">
        <f t="shared" si="9"/>
        <v>1</v>
      </c>
      <c r="J45" s="635"/>
      <c r="K45" s="21">
        <f t="shared" si="10"/>
        <v>1</v>
      </c>
      <c r="L45" s="635"/>
      <c r="M45" s="21">
        <f t="shared" si="11"/>
        <v>1</v>
      </c>
      <c r="N45" s="635"/>
      <c r="O45" s="21">
        <f t="shared" si="12"/>
        <v>1</v>
      </c>
      <c r="P45" s="635"/>
      <c r="Q45" s="21">
        <f t="shared" si="13"/>
        <v>1</v>
      </c>
      <c r="R45" s="21">
        <f t="shared" ca="1" si="14"/>
        <v>25380</v>
      </c>
      <c r="S45" s="308">
        <f t="shared" ca="1" si="5"/>
        <v>144</v>
      </c>
    </row>
    <row r="46" spans="1:19">
      <c r="A46" s="633" t="str">
        <f>'12.23面积'!M56</f>
        <v>4-108</v>
      </c>
      <c r="B46" s="633">
        <f>'12.23面积'!N56</f>
        <v>41.16</v>
      </c>
      <c r="C46" s="21">
        <f t="shared" si="6"/>
        <v>1</v>
      </c>
      <c r="D46" s="635"/>
      <c r="E46" s="21">
        <f t="shared" si="7"/>
        <v>1</v>
      </c>
      <c r="F46" s="635"/>
      <c r="G46" s="21">
        <f t="shared" si="8"/>
        <v>1</v>
      </c>
      <c r="H46" s="635"/>
      <c r="I46" s="21">
        <f t="shared" si="9"/>
        <v>1</v>
      </c>
      <c r="J46" s="635"/>
      <c r="K46" s="21">
        <f t="shared" si="10"/>
        <v>1</v>
      </c>
      <c r="L46" s="635"/>
      <c r="M46" s="21">
        <f t="shared" si="11"/>
        <v>1</v>
      </c>
      <c r="N46" s="635"/>
      <c r="O46" s="21">
        <f t="shared" si="12"/>
        <v>1</v>
      </c>
      <c r="P46" s="635"/>
      <c r="Q46" s="21">
        <f t="shared" si="13"/>
        <v>1</v>
      </c>
      <c r="R46" s="21">
        <f t="shared" ca="1" si="14"/>
        <v>25380</v>
      </c>
      <c r="S46" s="308">
        <f t="shared" ca="1" si="5"/>
        <v>104</v>
      </c>
    </row>
    <row r="47" spans="1:19">
      <c r="A47" s="633" t="str">
        <f>'12.23面积'!M57</f>
        <v>4-202</v>
      </c>
      <c r="B47" s="633">
        <f>'12.23面积'!N57</f>
        <v>16.37</v>
      </c>
      <c r="C47" s="21">
        <f t="shared" si="6"/>
        <v>1.01</v>
      </c>
      <c r="D47" s="635"/>
      <c r="E47" s="21">
        <f t="shared" si="7"/>
        <v>1</v>
      </c>
      <c r="F47" s="635"/>
      <c r="G47" s="21">
        <f t="shared" si="8"/>
        <v>1</v>
      </c>
      <c r="H47" s="635"/>
      <c r="I47" s="21">
        <f t="shared" si="9"/>
        <v>1</v>
      </c>
      <c r="J47" s="635"/>
      <c r="K47" s="21">
        <f t="shared" si="10"/>
        <v>1</v>
      </c>
      <c r="L47" s="635"/>
      <c r="M47" s="21">
        <f t="shared" si="11"/>
        <v>1</v>
      </c>
      <c r="N47" s="635"/>
      <c r="O47" s="21">
        <f t="shared" si="12"/>
        <v>1</v>
      </c>
      <c r="P47" s="635"/>
      <c r="Q47" s="21">
        <f t="shared" si="13"/>
        <v>1</v>
      </c>
      <c r="R47" s="21">
        <f t="shared" ca="1" si="14"/>
        <v>25634</v>
      </c>
      <c r="S47" s="308">
        <f t="shared" ca="1" si="5"/>
        <v>42</v>
      </c>
    </row>
    <row r="48" spans="1:19">
      <c r="A48" s="633" t="str">
        <f>'12.23面积'!M58</f>
        <v>21-112</v>
      </c>
      <c r="B48" s="633">
        <f>'12.23面积'!N58</f>
        <v>33.51</v>
      </c>
      <c r="C48" s="21">
        <f t="shared" si="6"/>
        <v>1</v>
      </c>
      <c r="D48" s="635"/>
      <c r="E48" s="21">
        <f t="shared" si="7"/>
        <v>1</v>
      </c>
      <c r="F48" s="635"/>
      <c r="G48" s="21">
        <f t="shared" si="8"/>
        <v>1</v>
      </c>
      <c r="H48" s="635"/>
      <c r="I48" s="21">
        <f t="shared" si="9"/>
        <v>1</v>
      </c>
      <c r="J48" s="635"/>
      <c r="K48" s="21">
        <f t="shared" si="10"/>
        <v>1</v>
      </c>
      <c r="L48" s="635"/>
      <c r="M48" s="21">
        <f t="shared" si="11"/>
        <v>1</v>
      </c>
      <c r="N48" s="635"/>
      <c r="O48" s="21">
        <f t="shared" si="12"/>
        <v>1</v>
      </c>
      <c r="P48" s="635"/>
      <c r="Q48" s="21">
        <f t="shared" si="13"/>
        <v>1</v>
      </c>
      <c r="R48" s="21">
        <f t="shared" ca="1" si="14"/>
        <v>25380</v>
      </c>
      <c r="S48" s="308">
        <f t="shared" ca="1" si="5"/>
        <v>85</v>
      </c>
    </row>
    <row r="49" spans="1:19">
      <c r="A49" s="633" t="str">
        <f>'12.23面积'!M59</f>
        <v>21-113</v>
      </c>
      <c r="B49" s="633">
        <f>'12.23面积'!N59</f>
        <v>61.41</v>
      </c>
      <c r="C49" s="21">
        <f t="shared" si="6"/>
        <v>0.99</v>
      </c>
      <c r="D49" s="635"/>
      <c r="E49" s="21">
        <f t="shared" si="7"/>
        <v>1</v>
      </c>
      <c r="F49" s="635"/>
      <c r="G49" s="21">
        <f t="shared" si="8"/>
        <v>1</v>
      </c>
      <c r="H49" s="635"/>
      <c r="I49" s="21">
        <f t="shared" si="9"/>
        <v>1</v>
      </c>
      <c r="J49" s="635"/>
      <c r="K49" s="21">
        <f t="shared" si="10"/>
        <v>1</v>
      </c>
      <c r="L49" s="635"/>
      <c r="M49" s="21">
        <f t="shared" si="11"/>
        <v>1</v>
      </c>
      <c r="N49" s="635"/>
      <c r="O49" s="21">
        <f t="shared" si="12"/>
        <v>1</v>
      </c>
      <c r="P49" s="635"/>
      <c r="Q49" s="21">
        <f t="shared" si="13"/>
        <v>1</v>
      </c>
      <c r="R49" s="21">
        <f t="shared" ca="1" si="14"/>
        <v>25126</v>
      </c>
      <c r="S49" s="308">
        <f t="shared" ca="1" si="5"/>
        <v>154</v>
      </c>
    </row>
    <row r="50" spans="1:19">
      <c r="A50" s="633" t="str">
        <f>'12.23面积'!M60</f>
        <v>21-114</v>
      </c>
      <c r="B50" s="633">
        <f>'12.23面积'!N60</f>
        <v>46.24</v>
      </c>
      <c r="C50" s="21">
        <f t="shared" si="6"/>
        <v>1</v>
      </c>
      <c r="D50" s="635"/>
      <c r="E50" s="21">
        <f t="shared" si="7"/>
        <v>1</v>
      </c>
      <c r="F50" s="635"/>
      <c r="G50" s="21">
        <f t="shared" si="8"/>
        <v>1</v>
      </c>
      <c r="H50" s="635"/>
      <c r="I50" s="21">
        <f t="shared" si="9"/>
        <v>1</v>
      </c>
      <c r="J50" s="635"/>
      <c r="K50" s="21">
        <f t="shared" si="10"/>
        <v>1</v>
      </c>
      <c r="L50" s="635"/>
      <c r="M50" s="21">
        <f t="shared" si="11"/>
        <v>1</v>
      </c>
      <c r="N50" s="635"/>
      <c r="O50" s="21">
        <f t="shared" si="12"/>
        <v>1</v>
      </c>
      <c r="P50" s="635"/>
      <c r="Q50" s="21">
        <f t="shared" si="13"/>
        <v>1</v>
      </c>
      <c r="R50" s="21">
        <f t="shared" ca="1" si="14"/>
        <v>25380</v>
      </c>
      <c r="S50" s="308">
        <f t="shared" ca="1" si="5"/>
        <v>117</v>
      </c>
    </row>
    <row r="51" spans="1:19">
      <c r="A51" s="633" t="str">
        <f>'12.23面积'!M61</f>
        <v>21-124</v>
      </c>
      <c r="B51" s="633">
        <f>'12.23面积'!N61</f>
        <v>32.67</v>
      </c>
      <c r="C51" s="21">
        <f t="shared" si="6"/>
        <v>1</v>
      </c>
      <c r="D51" s="635"/>
      <c r="E51" s="21">
        <f t="shared" si="7"/>
        <v>1</v>
      </c>
      <c r="F51" s="635"/>
      <c r="G51" s="21">
        <f t="shared" si="8"/>
        <v>1</v>
      </c>
      <c r="H51" s="635"/>
      <c r="I51" s="21">
        <f t="shared" si="9"/>
        <v>1</v>
      </c>
      <c r="J51" s="635"/>
      <c r="K51" s="21">
        <f t="shared" si="10"/>
        <v>1</v>
      </c>
      <c r="L51" s="635"/>
      <c r="M51" s="21">
        <f t="shared" si="11"/>
        <v>1</v>
      </c>
      <c r="N51" s="635"/>
      <c r="O51" s="21">
        <f t="shared" si="12"/>
        <v>1</v>
      </c>
      <c r="P51" s="635"/>
      <c r="Q51" s="21">
        <f t="shared" si="13"/>
        <v>1</v>
      </c>
      <c r="R51" s="21">
        <f t="shared" ca="1" si="14"/>
        <v>25380</v>
      </c>
      <c r="S51" s="308">
        <f t="shared" ca="1" si="5"/>
        <v>83</v>
      </c>
    </row>
    <row r="52" spans="1:19">
      <c r="A52" s="633" t="str">
        <f>'12.23面积'!M62</f>
        <v>21-212</v>
      </c>
      <c r="B52" s="633">
        <f>'12.23面积'!N62</f>
        <v>22.66</v>
      </c>
      <c r="C52" s="21">
        <f t="shared" si="6"/>
        <v>1.01</v>
      </c>
      <c r="D52" s="635"/>
      <c r="E52" s="21">
        <f t="shared" si="7"/>
        <v>1</v>
      </c>
      <c r="F52" s="635"/>
      <c r="G52" s="21">
        <f t="shared" si="8"/>
        <v>1</v>
      </c>
      <c r="H52" s="635"/>
      <c r="I52" s="21">
        <f t="shared" si="9"/>
        <v>1</v>
      </c>
      <c r="J52" s="635"/>
      <c r="K52" s="21">
        <f t="shared" si="10"/>
        <v>1</v>
      </c>
      <c r="L52" s="635"/>
      <c r="M52" s="21">
        <f t="shared" si="11"/>
        <v>1</v>
      </c>
      <c r="N52" s="635"/>
      <c r="O52" s="21">
        <f t="shared" si="12"/>
        <v>1</v>
      </c>
      <c r="P52" s="635"/>
      <c r="Q52" s="21">
        <f t="shared" si="13"/>
        <v>1</v>
      </c>
      <c r="R52" s="21">
        <f t="shared" ca="1" si="14"/>
        <v>25634</v>
      </c>
      <c r="S52" s="308">
        <f t="shared" ca="1" si="5"/>
        <v>58</v>
      </c>
    </row>
    <row r="53" spans="1:19">
      <c r="A53" s="633" t="str">
        <f>'12.23面积'!M63</f>
        <v>18-106</v>
      </c>
      <c r="B53" s="633">
        <f>'12.23面积'!N63</f>
        <v>34.54</v>
      </c>
      <c r="C53" s="21">
        <f t="shared" si="6"/>
        <v>1</v>
      </c>
      <c r="D53" s="635"/>
      <c r="E53" s="21">
        <f t="shared" si="7"/>
        <v>1</v>
      </c>
      <c r="F53" s="635"/>
      <c r="G53" s="21">
        <f t="shared" si="8"/>
        <v>1</v>
      </c>
      <c r="H53" s="635"/>
      <c r="I53" s="21">
        <f t="shared" si="9"/>
        <v>1</v>
      </c>
      <c r="J53" s="635"/>
      <c r="K53" s="21">
        <f t="shared" si="10"/>
        <v>1</v>
      </c>
      <c r="L53" s="635"/>
      <c r="M53" s="21">
        <f t="shared" si="11"/>
        <v>1</v>
      </c>
      <c r="N53" s="635"/>
      <c r="O53" s="21">
        <f t="shared" si="12"/>
        <v>1</v>
      </c>
      <c r="P53" s="635"/>
      <c r="Q53" s="21">
        <f t="shared" si="13"/>
        <v>1</v>
      </c>
      <c r="R53" s="21">
        <f t="shared" ca="1" si="14"/>
        <v>25380</v>
      </c>
      <c r="S53" s="308">
        <f t="shared" ca="1" si="5"/>
        <v>88</v>
      </c>
    </row>
    <row r="54" spans="1:19">
      <c r="A54" s="633" t="str">
        <f>'12.23面积'!M64</f>
        <v>18-107</v>
      </c>
      <c r="B54" s="633">
        <f>'12.23面积'!N64</f>
        <v>63.3</v>
      </c>
      <c r="C54" s="21">
        <f t="shared" si="6"/>
        <v>0.99</v>
      </c>
      <c r="D54" s="635"/>
      <c r="E54" s="21">
        <f t="shared" si="7"/>
        <v>1</v>
      </c>
      <c r="F54" s="635"/>
      <c r="G54" s="21">
        <f t="shared" si="8"/>
        <v>1</v>
      </c>
      <c r="H54" s="635"/>
      <c r="I54" s="21">
        <f t="shared" si="9"/>
        <v>1</v>
      </c>
      <c r="J54" s="635"/>
      <c r="K54" s="21">
        <f t="shared" si="10"/>
        <v>1</v>
      </c>
      <c r="L54" s="635"/>
      <c r="M54" s="21">
        <f t="shared" si="11"/>
        <v>1</v>
      </c>
      <c r="N54" s="635"/>
      <c r="O54" s="21">
        <f t="shared" si="12"/>
        <v>1</v>
      </c>
      <c r="P54" s="635"/>
      <c r="Q54" s="21">
        <f t="shared" si="13"/>
        <v>1</v>
      </c>
      <c r="R54" s="21">
        <f t="shared" ca="1" si="14"/>
        <v>25126</v>
      </c>
      <c r="S54" s="308">
        <f t="shared" ca="1" si="5"/>
        <v>159</v>
      </c>
    </row>
    <row r="55" spans="1:19">
      <c r="A55" s="633" t="str">
        <f>'12.23面积'!M65</f>
        <v>18-108</v>
      </c>
      <c r="B55" s="633">
        <f>'12.23面积'!N65</f>
        <v>47.66</v>
      </c>
      <c r="C55" s="21">
        <f t="shared" si="6"/>
        <v>1</v>
      </c>
      <c r="D55" s="635"/>
      <c r="E55" s="21">
        <f t="shared" si="7"/>
        <v>1</v>
      </c>
      <c r="F55" s="635"/>
      <c r="G55" s="21">
        <f t="shared" si="8"/>
        <v>1</v>
      </c>
      <c r="H55" s="635"/>
      <c r="I55" s="21">
        <f t="shared" si="9"/>
        <v>1</v>
      </c>
      <c r="J55" s="635"/>
      <c r="K55" s="21">
        <f t="shared" si="10"/>
        <v>1</v>
      </c>
      <c r="L55" s="635"/>
      <c r="M55" s="21">
        <f t="shared" si="11"/>
        <v>1</v>
      </c>
      <c r="N55" s="635"/>
      <c r="O55" s="21">
        <f t="shared" si="12"/>
        <v>1</v>
      </c>
      <c r="P55" s="635"/>
      <c r="Q55" s="21">
        <f t="shared" si="13"/>
        <v>1</v>
      </c>
      <c r="R55" s="21">
        <f t="shared" ca="1" si="14"/>
        <v>25380</v>
      </c>
      <c r="S55" s="308">
        <f t="shared" ca="1" si="5"/>
        <v>121</v>
      </c>
    </row>
    <row r="56" spans="1:19">
      <c r="A56" s="633" t="str">
        <f>'12.23面积'!M66</f>
        <v>18-202</v>
      </c>
      <c r="B56" s="633">
        <f>'12.23面积'!N66</f>
        <v>20.21</v>
      </c>
      <c r="C56" s="21">
        <f t="shared" si="6"/>
        <v>1.01</v>
      </c>
      <c r="D56" s="635"/>
      <c r="E56" s="21">
        <f t="shared" si="7"/>
        <v>1</v>
      </c>
      <c r="F56" s="635"/>
      <c r="G56" s="21">
        <f t="shared" si="8"/>
        <v>1</v>
      </c>
      <c r="H56" s="635"/>
      <c r="I56" s="21">
        <f t="shared" si="9"/>
        <v>1</v>
      </c>
      <c r="J56" s="635"/>
      <c r="K56" s="21">
        <f t="shared" si="10"/>
        <v>1</v>
      </c>
      <c r="L56" s="635"/>
      <c r="M56" s="21">
        <f t="shared" si="11"/>
        <v>1</v>
      </c>
      <c r="N56" s="635"/>
      <c r="O56" s="21">
        <f t="shared" si="12"/>
        <v>1</v>
      </c>
      <c r="P56" s="635"/>
      <c r="Q56" s="21">
        <f t="shared" si="13"/>
        <v>1</v>
      </c>
      <c r="R56" s="21">
        <f t="shared" ca="1" si="14"/>
        <v>25634</v>
      </c>
      <c r="S56" s="308">
        <f t="shared" ca="1" si="5"/>
        <v>52</v>
      </c>
    </row>
    <row r="57" spans="1:19">
      <c r="A57" s="633" t="str">
        <f>'12.23面积'!M67</f>
        <v>8-106</v>
      </c>
      <c r="B57" s="633">
        <f>'12.23面积'!N67</f>
        <v>23.67</v>
      </c>
      <c r="C57" s="21">
        <f t="shared" si="6"/>
        <v>1.01</v>
      </c>
      <c r="D57" s="635"/>
      <c r="E57" s="21">
        <f t="shared" si="7"/>
        <v>1</v>
      </c>
      <c r="F57" s="635"/>
      <c r="G57" s="21">
        <f t="shared" si="8"/>
        <v>1</v>
      </c>
      <c r="H57" s="635"/>
      <c r="I57" s="21">
        <f t="shared" si="9"/>
        <v>1</v>
      </c>
      <c r="J57" s="635"/>
      <c r="K57" s="21">
        <f t="shared" si="10"/>
        <v>1</v>
      </c>
      <c r="L57" s="635"/>
      <c r="M57" s="21">
        <f t="shared" si="11"/>
        <v>1</v>
      </c>
      <c r="N57" s="635"/>
      <c r="O57" s="21">
        <f t="shared" si="12"/>
        <v>1</v>
      </c>
      <c r="P57" s="635"/>
      <c r="Q57" s="21">
        <f t="shared" si="13"/>
        <v>1</v>
      </c>
      <c r="R57" s="21">
        <f t="shared" ca="1" si="14"/>
        <v>25634</v>
      </c>
      <c r="S57" s="308">
        <f t="shared" ca="1" si="5"/>
        <v>61</v>
      </c>
    </row>
    <row r="58" spans="1:19">
      <c r="A58" s="633" t="str">
        <f>'12.23面积'!M68</f>
        <v>18-112</v>
      </c>
      <c r="B58" s="633">
        <f>'12.23面积'!N68</f>
        <v>34.54</v>
      </c>
      <c r="C58" s="21">
        <f t="shared" si="6"/>
        <v>1</v>
      </c>
      <c r="D58" s="635"/>
      <c r="E58" s="21">
        <f t="shared" si="7"/>
        <v>1</v>
      </c>
      <c r="F58" s="635"/>
      <c r="G58" s="21">
        <f t="shared" si="8"/>
        <v>1</v>
      </c>
      <c r="H58" s="635"/>
      <c r="I58" s="21">
        <f t="shared" si="9"/>
        <v>1</v>
      </c>
      <c r="J58" s="635"/>
      <c r="K58" s="21">
        <f t="shared" si="10"/>
        <v>1</v>
      </c>
      <c r="L58" s="635"/>
      <c r="M58" s="21">
        <f t="shared" si="11"/>
        <v>1</v>
      </c>
      <c r="N58" s="635"/>
      <c r="O58" s="21">
        <f t="shared" si="12"/>
        <v>1</v>
      </c>
      <c r="P58" s="635"/>
      <c r="Q58" s="21">
        <f t="shared" si="13"/>
        <v>1</v>
      </c>
      <c r="R58" s="21">
        <f t="shared" ca="1" si="14"/>
        <v>25380</v>
      </c>
      <c r="S58" s="308">
        <f t="shared" ca="1" si="5"/>
        <v>88</v>
      </c>
    </row>
    <row r="59" spans="1:19">
      <c r="A59" s="633" t="str">
        <f>'12.23面积'!M69</f>
        <v>18-113</v>
      </c>
      <c r="B59" s="633">
        <f>'12.23面积'!N69</f>
        <v>63.59</v>
      </c>
      <c r="C59" s="21">
        <f t="shared" si="6"/>
        <v>0.99</v>
      </c>
      <c r="D59" s="635"/>
      <c r="E59" s="21">
        <f t="shared" si="7"/>
        <v>1</v>
      </c>
      <c r="F59" s="635"/>
      <c r="G59" s="21">
        <f t="shared" si="8"/>
        <v>1</v>
      </c>
      <c r="H59" s="635"/>
      <c r="I59" s="21">
        <f t="shared" si="9"/>
        <v>1</v>
      </c>
      <c r="J59" s="635"/>
      <c r="K59" s="21">
        <f t="shared" si="10"/>
        <v>1</v>
      </c>
      <c r="L59" s="635"/>
      <c r="M59" s="21">
        <f t="shared" si="11"/>
        <v>1</v>
      </c>
      <c r="N59" s="635"/>
      <c r="O59" s="21">
        <f t="shared" si="12"/>
        <v>1</v>
      </c>
      <c r="P59" s="635"/>
      <c r="Q59" s="21">
        <f t="shared" si="13"/>
        <v>1</v>
      </c>
      <c r="R59" s="21">
        <f t="shared" ca="1" si="14"/>
        <v>25126</v>
      </c>
      <c r="S59" s="308">
        <f t="shared" ca="1" si="5"/>
        <v>160</v>
      </c>
    </row>
    <row r="60" spans="1:19">
      <c r="A60" s="633" t="str">
        <f>'12.23面积'!M70</f>
        <v>18-114</v>
      </c>
      <c r="B60" s="633">
        <f>'12.23面积'!N70</f>
        <v>57.81</v>
      </c>
      <c r="C60" s="21">
        <f t="shared" si="6"/>
        <v>1</v>
      </c>
      <c r="D60" s="635"/>
      <c r="E60" s="21">
        <f t="shared" si="7"/>
        <v>1</v>
      </c>
      <c r="F60" s="635"/>
      <c r="G60" s="21">
        <f t="shared" si="8"/>
        <v>1</v>
      </c>
      <c r="H60" s="635"/>
      <c r="I60" s="21">
        <f t="shared" si="9"/>
        <v>1</v>
      </c>
      <c r="J60" s="635"/>
      <c r="K60" s="21">
        <f t="shared" si="10"/>
        <v>1</v>
      </c>
      <c r="L60" s="635"/>
      <c r="M60" s="21">
        <f t="shared" si="11"/>
        <v>1</v>
      </c>
      <c r="N60" s="635"/>
      <c r="O60" s="21">
        <f t="shared" si="12"/>
        <v>1</v>
      </c>
      <c r="P60" s="635"/>
      <c r="Q60" s="21">
        <f t="shared" si="13"/>
        <v>1</v>
      </c>
      <c r="R60" s="21">
        <f t="shared" ca="1" si="14"/>
        <v>25380</v>
      </c>
      <c r="S60" s="308">
        <f t="shared" ca="1" si="5"/>
        <v>147</v>
      </c>
    </row>
    <row r="61" spans="1:19">
      <c r="A61" s="633" t="str">
        <f>'12.23面积'!M71</f>
        <v>18-115</v>
      </c>
      <c r="B61" s="633">
        <f>'12.23面积'!N71</f>
        <v>30.98</v>
      </c>
      <c r="C61" s="21">
        <f t="shared" si="6"/>
        <v>1</v>
      </c>
      <c r="D61" s="635"/>
      <c r="E61" s="21">
        <f t="shared" si="7"/>
        <v>1</v>
      </c>
      <c r="F61" s="635"/>
      <c r="G61" s="21">
        <f t="shared" si="8"/>
        <v>1</v>
      </c>
      <c r="H61" s="635"/>
      <c r="I61" s="21">
        <f t="shared" si="9"/>
        <v>1</v>
      </c>
      <c r="J61" s="635"/>
      <c r="K61" s="21">
        <f t="shared" si="10"/>
        <v>1</v>
      </c>
      <c r="L61" s="635"/>
      <c r="M61" s="21">
        <f t="shared" si="11"/>
        <v>1</v>
      </c>
      <c r="N61" s="635"/>
      <c r="O61" s="21">
        <f t="shared" si="12"/>
        <v>1</v>
      </c>
      <c r="P61" s="635"/>
      <c r="Q61" s="21">
        <f t="shared" si="13"/>
        <v>1</v>
      </c>
      <c r="R61" s="21">
        <f t="shared" ca="1" si="14"/>
        <v>25380</v>
      </c>
      <c r="S61" s="308">
        <f t="shared" ca="1" si="5"/>
        <v>79</v>
      </c>
    </row>
    <row r="62" spans="1:19">
      <c r="A62" s="633" t="str">
        <f>'12.23面积'!M72</f>
        <v>18-116</v>
      </c>
      <c r="B62" s="633">
        <f>'12.23面积'!N72</f>
        <v>25.53</v>
      </c>
      <c r="C62" s="21">
        <f t="shared" si="6"/>
        <v>1.01</v>
      </c>
      <c r="D62" s="635"/>
      <c r="E62" s="21">
        <f t="shared" si="7"/>
        <v>1</v>
      </c>
      <c r="F62" s="635"/>
      <c r="G62" s="21">
        <f t="shared" si="8"/>
        <v>1</v>
      </c>
      <c r="H62" s="635"/>
      <c r="I62" s="21">
        <f t="shared" si="9"/>
        <v>1</v>
      </c>
      <c r="J62" s="635"/>
      <c r="K62" s="21">
        <f t="shared" si="10"/>
        <v>1</v>
      </c>
      <c r="L62" s="635"/>
      <c r="M62" s="21">
        <f t="shared" si="11"/>
        <v>1</v>
      </c>
      <c r="N62" s="635"/>
      <c r="O62" s="21">
        <f t="shared" si="12"/>
        <v>1</v>
      </c>
      <c r="P62" s="635"/>
      <c r="Q62" s="21">
        <f t="shared" si="13"/>
        <v>1</v>
      </c>
      <c r="R62" s="21">
        <f t="shared" ca="1" si="14"/>
        <v>25634</v>
      </c>
      <c r="S62" s="308">
        <f t="shared" ca="1" si="5"/>
        <v>65</v>
      </c>
    </row>
    <row r="63" spans="1:19">
      <c r="A63" s="633" t="str">
        <f>'12.23面积'!M73</f>
        <v>18-204</v>
      </c>
      <c r="B63" s="633">
        <f>'12.23面积'!N73</f>
        <v>20.22</v>
      </c>
      <c r="C63" s="21">
        <f t="shared" si="6"/>
        <v>1.01</v>
      </c>
      <c r="D63" s="635"/>
      <c r="E63" s="21">
        <f t="shared" si="7"/>
        <v>1</v>
      </c>
      <c r="F63" s="635"/>
      <c r="G63" s="21">
        <f t="shared" si="8"/>
        <v>1</v>
      </c>
      <c r="H63" s="635"/>
      <c r="I63" s="21">
        <f t="shared" si="9"/>
        <v>1</v>
      </c>
      <c r="J63" s="635"/>
      <c r="K63" s="21">
        <f t="shared" si="10"/>
        <v>1</v>
      </c>
      <c r="L63" s="635"/>
      <c r="M63" s="21">
        <f t="shared" si="11"/>
        <v>1</v>
      </c>
      <c r="N63" s="635"/>
      <c r="O63" s="21">
        <f t="shared" si="12"/>
        <v>1</v>
      </c>
      <c r="P63" s="635"/>
      <c r="Q63" s="21">
        <f t="shared" si="13"/>
        <v>1</v>
      </c>
      <c r="R63" s="21">
        <f t="shared" ca="1" si="14"/>
        <v>25634</v>
      </c>
      <c r="S63" s="308">
        <f t="shared" ca="1" si="5"/>
        <v>52</v>
      </c>
    </row>
    <row r="64" spans="1:19">
      <c r="A64" s="633" t="str">
        <f>'12.23面积'!M74</f>
        <v>19-110</v>
      </c>
      <c r="B64" s="633">
        <f>'12.23面积'!N74</f>
        <v>42.93</v>
      </c>
      <c r="C64" s="21">
        <f t="shared" si="6"/>
        <v>1</v>
      </c>
      <c r="D64" s="635"/>
      <c r="E64" s="21">
        <f t="shared" si="7"/>
        <v>1</v>
      </c>
      <c r="F64" s="635"/>
      <c r="G64" s="21">
        <f t="shared" si="8"/>
        <v>1</v>
      </c>
      <c r="H64" s="635"/>
      <c r="I64" s="21">
        <f t="shared" si="9"/>
        <v>1</v>
      </c>
      <c r="J64" s="635"/>
      <c r="K64" s="21">
        <f t="shared" si="10"/>
        <v>1</v>
      </c>
      <c r="L64" s="635"/>
      <c r="M64" s="21">
        <f t="shared" si="11"/>
        <v>1</v>
      </c>
      <c r="N64" s="635"/>
      <c r="O64" s="21">
        <f t="shared" si="12"/>
        <v>1</v>
      </c>
      <c r="P64" s="635"/>
      <c r="Q64" s="21">
        <f t="shared" si="13"/>
        <v>1</v>
      </c>
      <c r="R64" s="21">
        <f t="shared" ca="1" si="14"/>
        <v>25380</v>
      </c>
      <c r="S64" s="308">
        <f t="shared" ca="1" si="5"/>
        <v>109</v>
      </c>
    </row>
    <row r="65" spans="1:19">
      <c r="A65" s="633" t="str">
        <f>'12.23面积'!M75</f>
        <v>19-111</v>
      </c>
      <c r="B65" s="633">
        <f>'12.23面积'!N75</f>
        <v>47.35</v>
      </c>
      <c r="C65" s="21">
        <f t="shared" si="6"/>
        <v>1</v>
      </c>
      <c r="D65" s="635"/>
      <c r="E65" s="21">
        <f t="shared" si="7"/>
        <v>1</v>
      </c>
      <c r="F65" s="635"/>
      <c r="G65" s="21">
        <f t="shared" si="8"/>
        <v>1</v>
      </c>
      <c r="H65" s="635"/>
      <c r="I65" s="21">
        <f t="shared" si="9"/>
        <v>1</v>
      </c>
      <c r="J65" s="635"/>
      <c r="K65" s="21">
        <f t="shared" si="10"/>
        <v>1</v>
      </c>
      <c r="L65" s="635"/>
      <c r="M65" s="21">
        <f t="shared" si="11"/>
        <v>1</v>
      </c>
      <c r="N65" s="635"/>
      <c r="O65" s="21">
        <f t="shared" si="12"/>
        <v>1</v>
      </c>
      <c r="P65" s="635"/>
      <c r="Q65" s="21">
        <f t="shared" si="13"/>
        <v>1</v>
      </c>
      <c r="R65" s="21">
        <f t="shared" ca="1" si="14"/>
        <v>25380</v>
      </c>
      <c r="S65" s="308">
        <f t="shared" ca="1" si="5"/>
        <v>120</v>
      </c>
    </row>
    <row r="66" spans="1:19">
      <c r="A66" s="633" t="str">
        <f>'12.23面积'!M76</f>
        <v>19-112</v>
      </c>
      <c r="B66" s="633">
        <f>'12.23面积'!N76</f>
        <v>62.58</v>
      </c>
      <c r="C66" s="21">
        <f t="shared" si="6"/>
        <v>0.99</v>
      </c>
      <c r="D66" s="635"/>
      <c r="E66" s="21">
        <f t="shared" si="7"/>
        <v>1</v>
      </c>
      <c r="F66" s="635"/>
      <c r="G66" s="21">
        <f t="shared" si="8"/>
        <v>1</v>
      </c>
      <c r="H66" s="635"/>
      <c r="I66" s="21">
        <f t="shared" si="9"/>
        <v>1</v>
      </c>
      <c r="J66" s="635"/>
      <c r="K66" s="21">
        <f t="shared" si="10"/>
        <v>1</v>
      </c>
      <c r="L66" s="635"/>
      <c r="M66" s="21">
        <f t="shared" si="11"/>
        <v>1</v>
      </c>
      <c r="N66" s="635"/>
      <c r="O66" s="21">
        <f t="shared" si="12"/>
        <v>1</v>
      </c>
      <c r="P66" s="635"/>
      <c r="Q66" s="21">
        <f t="shared" si="13"/>
        <v>1</v>
      </c>
      <c r="R66" s="21">
        <f t="shared" ca="1" si="14"/>
        <v>25126</v>
      </c>
      <c r="S66" s="308">
        <f t="shared" ca="1" si="5"/>
        <v>157</v>
      </c>
    </row>
    <row r="67" spans="1:19">
      <c r="A67" s="633" t="str">
        <f>'12.23面积'!M77</f>
        <v>19-113</v>
      </c>
      <c r="B67" s="633">
        <f>'12.23面积'!N77</f>
        <v>61.62</v>
      </c>
      <c r="C67" s="21">
        <f t="shared" si="6"/>
        <v>0.99</v>
      </c>
      <c r="D67" s="635"/>
      <c r="E67" s="21">
        <f t="shared" si="7"/>
        <v>1</v>
      </c>
      <c r="F67" s="635"/>
      <c r="G67" s="21">
        <f t="shared" si="8"/>
        <v>1</v>
      </c>
      <c r="H67" s="635"/>
      <c r="I67" s="21">
        <f t="shared" si="9"/>
        <v>1</v>
      </c>
      <c r="J67" s="635"/>
      <c r="K67" s="21">
        <f t="shared" si="10"/>
        <v>1</v>
      </c>
      <c r="L67" s="635"/>
      <c r="M67" s="21">
        <f t="shared" si="11"/>
        <v>1</v>
      </c>
      <c r="N67" s="635"/>
      <c r="O67" s="21">
        <f t="shared" si="12"/>
        <v>1</v>
      </c>
      <c r="P67" s="635"/>
      <c r="Q67" s="21">
        <f t="shared" si="13"/>
        <v>1</v>
      </c>
      <c r="R67" s="21">
        <f t="shared" ca="1" si="14"/>
        <v>25126</v>
      </c>
      <c r="S67" s="308">
        <f t="shared" ca="1" si="5"/>
        <v>155</v>
      </c>
    </row>
    <row r="68" spans="1:19">
      <c r="A68" s="633" t="str">
        <f>'12.23面积'!M78</f>
        <v>19-119</v>
      </c>
      <c r="B68" s="633">
        <f>'12.23面积'!N78</f>
        <v>14.93</v>
      </c>
      <c r="C68" s="21">
        <f t="shared" si="6"/>
        <v>1.01</v>
      </c>
      <c r="D68" s="635"/>
      <c r="E68" s="21">
        <f t="shared" si="7"/>
        <v>1</v>
      </c>
      <c r="F68" s="635"/>
      <c r="G68" s="21">
        <f t="shared" si="8"/>
        <v>1</v>
      </c>
      <c r="H68" s="635"/>
      <c r="I68" s="21">
        <f t="shared" si="9"/>
        <v>1</v>
      </c>
      <c r="J68" s="635"/>
      <c r="K68" s="21">
        <f t="shared" si="10"/>
        <v>1</v>
      </c>
      <c r="L68" s="635"/>
      <c r="M68" s="21">
        <f t="shared" si="11"/>
        <v>1</v>
      </c>
      <c r="N68" s="635"/>
      <c r="O68" s="21">
        <f t="shared" si="12"/>
        <v>1</v>
      </c>
      <c r="P68" s="635"/>
      <c r="Q68" s="21">
        <f t="shared" si="13"/>
        <v>1</v>
      </c>
      <c r="R68" s="21">
        <f t="shared" ca="1" si="14"/>
        <v>25634</v>
      </c>
      <c r="S68" s="308">
        <f t="shared" ca="1" si="5"/>
        <v>38</v>
      </c>
    </row>
    <row r="69" spans="1:19">
      <c r="A69" s="633" t="str">
        <f>'12.23面积'!M79</f>
        <v>24-207</v>
      </c>
      <c r="B69" s="633">
        <f>'12.23面积'!N79</f>
        <v>24.1</v>
      </c>
      <c r="C69" s="21">
        <f t="shared" si="6"/>
        <v>1.01</v>
      </c>
      <c r="D69" s="635"/>
      <c r="E69" s="21">
        <f t="shared" si="7"/>
        <v>1</v>
      </c>
      <c r="F69" s="635"/>
      <c r="G69" s="21">
        <f t="shared" si="8"/>
        <v>1</v>
      </c>
      <c r="H69" s="635"/>
      <c r="I69" s="21">
        <f t="shared" si="9"/>
        <v>1</v>
      </c>
      <c r="J69" s="635"/>
      <c r="K69" s="21">
        <f t="shared" si="10"/>
        <v>1</v>
      </c>
      <c r="L69" s="635"/>
      <c r="M69" s="21">
        <f t="shared" si="11"/>
        <v>1</v>
      </c>
      <c r="N69" s="635"/>
      <c r="O69" s="21">
        <f t="shared" si="12"/>
        <v>1</v>
      </c>
      <c r="P69" s="635"/>
      <c r="Q69" s="21">
        <f t="shared" si="13"/>
        <v>1</v>
      </c>
      <c r="R69" s="21">
        <f t="shared" ca="1" si="14"/>
        <v>25634</v>
      </c>
      <c r="S69" s="308">
        <f t="shared" ca="1" si="5"/>
        <v>62</v>
      </c>
    </row>
    <row r="70" spans="1:19">
      <c r="A70" s="633" t="str">
        <f>'12.23面积'!M80</f>
        <v>19-203</v>
      </c>
      <c r="B70" s="633">
        <f>'12.23面积'!N80</f>
        <v>22.98</v>
      </c>
      <c r="C70" s="21">
        <f t="shared" si="6"/>
        <v>1.01</v>
      </c>
      <c r="D70" s="635"/>
      <c r="E70" s="21">
        <f t="shared" si="7"/>
        <v>1</v>
      </c>
      <c r="F70" s="635"/>
      <c r="G70" s="21">
        <f t="shared" si="8"/>
        <v>1</v>
      </c>
      <c r="H70" s="635"/>
      <c r="I70" s="21">
        <f t="shared" si="9"/>
        <v>1</v>
      </c>
      <c r="J70" s="635"/>
      <c r="K70" s="21">
        <f t="shared" si="10"/>
        <v>1</v>
      </c>
      <c r="L70" s="635"/>
      <c r="M70" s="21">
        <f t="shared" si="11"/>
        <v>1</v>
      </c>
      <c r="N70" s="635"/>
      <c r="O70" s="21">
        <f t="shared" si="12"/>
        <v>1</v>
      </c>
      <c r="P70" s="635"/>
      <c r="Q70" s="21">
        <f t="shared" si="13"/>
        <v>1</v>
      </c>
      <c r="R70" s="21">
        <f t="shared" ca="1" si="14"/>
        <v>25634</v>
      </c>
      <c r="S70" s="308">
        <f t="shared" ca="1" si="5"/>
        <v>59</v>
      </c>
    </row>
    <row r="71" spans="1:19">
      <c r="A71" s="633" t="str">
        <f>'12.23面积'!M81</f>
        <v>1-109</v>
      </c>
      <c r="B71" s="633">
        <f>'12.23面积'!N81</f>
        <v>41.07</v>
      </c>
      <c r="C71" s="21">
        <f t="shared" si="6"/>
        <v>1</v>
      </c>
      <c r="D71" s="635"/>
      <c r="E71" s="21">
        <f t="shared" si="7"/>
        <v>1</v>
      </c>
      <c r="F71" s="635"/>
      <c r="G71" s="21">
        <f t="shared" si="8"/>
        <v>1</v>
      </c>
      <c r="H71" s="635"/>
      <c r="I71" s="21">
        <f t="shared" si="9"/>
        <v>1</v>
      </c>
      <c r="J71" s="635"/>
      <c r="K71" s="21">
        <f t="shared" si="10"/>
        <v>1</v>
      </c>
      <c r="L71" s="635"/>
      <c r="M71" s="21">
        <f t="shared" si="11"/>
        <v>1</v>
      </c>
      <c r="N71" s="635"/>
      <c r="O71" s="21">
        <f t="shared" si="12"/>
        <v>1</v>
      </c>
      <c r="P71" s="635"/>
      <c r="Q71" s="21">
        <f t="shared" si="13"/>
        <v>1</v>
      </c>
      <c r="R71" s="21">
        <f t="shared" ca="1" si="14"/>
        <v>25380</v>
      </c>
      <c r="S71" s="308">
        <f t="shared" ca="1" si="5"/>
        <v>104</v>
      </c>
    </row>
    <row r="72" spans="1:19">
      <c r="A72" s="633" t="str">
        <f>'12.23面积'!M82</f>
        <v>7-118</v>
      </c>
      <c r="B72" s="633">
        <f>'12.23面积'!N82</f>
        <v>23.61</v>
      </c>
      <c r="C72" s="21">
        <f t="shared" si="6"/>
        <v>1.01</v>
      </c>
      <c r="D72" s="635"/>
      <c r="E72" s="21">
        <f t="shared" si="7"/>
        <v>1</v>
      </c>
      <c r="F72" s="635"/>
      <c r="G72" s="21">
        <f t="shared" si="8"/>
        <v>1</v>
      </c>
      <c r="H72" s="635"/>
      <c r="I72" s="21">
        <f t="shared" si="9"/>
        <v>1</v>
      </c>
      <c r="J72" s="635"/>
      <c r="K72" s="21">
        <f t="shared" si="10"/>
        <v>1</v>
      </c>
      <c r="L72" s="635"/>
      <c r="M72" s="21">
        <f t="shared" si="11"/>
        <v>1</v>
      </c>
      <c r="N72" s="635"/>
      <c r="O72" s="21">
        <f t="shared" si="12"/>
        <v>1</v>
      </c>
      <c r="P72" s="635"/>
      <c r="Q72" s="21">
        <f t="shared" si="13"/>
        <v>1</v>
      </c>
      <c r="R72" s="21">
        <f t="shared" ca="1" si="14"/>
        <v>25634</v>
      </c>
      <c r="S72" s="308">
        <f t="shared" ca="1" si="5"/>
        <v>61</v>
      </c>
    </row>
    <row r="73" spans="1:19">
      <c r="A73" s="633" t="str">
        <f>'12.23面积'!M83</f>
        <v>7-119</v>
      </c>
      <c r="B73" s="633">
        <f>'12.23面积'!N83</f>
        <v>49.56</v>
      </c>
      <c r="C73" s="21">
        <f t="shared" si="6"/>
        <v>1</v>
      </c>
      <c r="D73" s="635"/>
      <c r="E73" s="21">
        <f t="shared" si="7"/>
        <v>1</v>
      </c>
      <c r="F73" s="635"/>
      <c r="G73" s="21">
        <f t="shared" si="8"/>
        <v>1</v>
      </c>
      <c r="H73" s="635"/>
      <c r="I73" s="21">
        <f t="shared" si="9"/>
        <v>1</v>
      </c>
      <c r="J73" s="635"/>
      <c r="K73" s="21">
        <f t="shared" si="10"/>
        <v>1</v>
      </c>
      <c r="L73" s="635"/>
      <c r="M73" s="21">
        <f t="shared" si="11"/>
        <v>1</v>
      </c>
      <c r="N73" s="635"/>
      <c r="O73" s="21">
        <f t="shared" si="12"/>
        <v>1</v>
      </c>
      <c r="P73" s="635"/>
      <c r="Q73" s="21">
        <f t="shared" si="13"/>
        <v>1</v>
      </c>
      <c r="R73" s="21">
        <f t="shared" ca="1" si="14"/>
        <v>25380</v>
      </c>
      <c r="S73" s="308">
        <f t="shared" ca="1" si="5"/>
        <v>126</v>
      </c>
    </row>
    <row r="74" spans="1:19">
      <c r="A74" s="633" t="str">
        <f>'12.23面积'!M84</f>
        <v>7-120</v>
      </c>
      <c r="B74" s="633">
        <f>'12.23面积'!N84</f>
        <v>47.94</v>
      </c>
      <c r="C74" s="21">
        <f t="shared" si="6"/>
        <v>1</v>
      </c>
      <c r="D74" s="635"/>
      <c r="E74" s="21">
        <f t="shared" si="7"/>
        <v>1</v>
      </c>
      <c r="F74" s="635"/>
      <c r="G74" s="21">
        <f t="shared" si="8"/>
        <v>1</v>
      </c>
      <c r="H74" s="635"/>
      <c r="I74" s="21">
        <f t="shared" si="9"/>
        <v>1</v>
      </c>
      <c r="J74" s="635"/>
      <c r="K74" s="21">
        <f t="shared" si="10"/>
        <v>1</v>
      </c>
      <c r="L74" s="635"/>
      <c r="M74" s="21">
        <f t="shared" si="11"/>
        <v>1</v>
      </c>
      <c r="N74" s="635"/>
      <c r="O74" s="21">
        <f t="shared" si="12"/>
        <v>1</v>
      </c>
      <c r="P74" s="635"/>
      <c r="Q74" s="21">
        <f t="shared" si="13"/>
        <v>1</v>
      </c>
      <c r="R74" s="21">
        <f t="shared" ca="1" si="14"/>
        <v>25380</v>
      </c>
      <c r="S74" s="308">
        <f t="shared" ca="1" si="5"/>
        <v>122</v>
      </c>
    </row>
    <row r="75" spans="1:19">
      <c r="A75" s="633" t="str">
        <f>'12.23面积'!M85</f>
        <v>7-121</v>
      </c>
      <c r="B75" s="633">
        <f>'12.23面积'!N85</f>
        <v>22.77</v>
      </c>
      <c r="C75" s="21">
        <f t="shared" si="6"/>
        <v>1.01</v>
      </c>
      <c r="D75" s="635"/>
      <c r="E75" s="21">
        <f t="shared" si="7"/>
        <v>1</v>
      </c>
      <c r="F75" s="635"/>
      <c r="G75" s="21">
        <f t="shared" si="8"/>
        <v>1</v>
      </c>
      <c r="H75" s="635"/>
      <c r="I75" s="21">
        <f t="shared" si="9"/>
        <v>1</v>
      </c>
      <c r="J75" s="635"/>
      <c r="K75" s="21">
        <f t="shared" si="10"/>
        <v>1</v>
      </c>
      <c r="L75" s="635"/>
      <c r="M75" s="21">
        <f t="shared" si="11"/>
        <v>1</v>
      </c>
      <c r="N75" s="635"/>
      <c r="O75" s="21">
        <f t="shared" si="12"/>
        <v>1</v>
      </c>
      <c r="P75" s="635"/>
      <c r="Q75" s="21">
        <f t="shared" si="13"/>
        <v>1</v>
      </c>
      <c r="R75" s="21">
        <f t="shared" ca="1" si="14"/>
        <v>25634</v>
      </c>
      <c r="S75" s="308">
        <f t="shared" ca="1" si="5"/>
        <v>58</v>
      </c>
    </row>
    <row r="76" spans="1:19">
      <c r="A76" s="633" t="str">
        <f>'12.23面积'!M86</f>
        <v>7-122</v>
      </c>
      <c r="B76" s="633">
        <f>'12.23面积'!N86</f>
        <v>27.96</v>
      </c>
      <c r="C76" s="21">
        <f t="shared" si="6"/>
        <v>1.01</v>
      </c>
      <c r="D76" s="635"/>
      <c r="E76" s="21">
        <f t="shared" si="7"/>
        <v>1</v>
      </c>
      <c r="F76" s="635"/>
      <c r="G76" s="21">
        <f t="shared" si="8"/>
        <v>1</v>
      </c>
      <c r="H76" s="635"/>
      <c r="I76" s="21">
        <f t="shared" si="9"/>
        <v>1</v>
      </c>
      <c r="J76" s="635"/>
      <c r="K76" s="21">
        <f t="shared" si="10"/>
        <v>1</v>
      </c>
      <c r="L76" s="635"/>
      <c r="M76" s="21">
        <f t="shared" si="11"/>
        <v>1</v>
      </c>
      <c r="N76" s="635"/>
      <c r="O76" s="21">
        <f t="shared" si="12"/>
        <v>1</v>
      </c>
      <c r="P76" s="635"/>
      <c r="Q76" s="21">
        <f t="shared" si="13"/>
        <v>1</v>
      </c>
      <c r="R76" s="21">
        <f t="shared" ca="1" si="14"/>
        <v>25634</v>
      </c>
      <c r="S76" s="308">
        <f t="shared" ca="1" si="5"/>
        <v>72</v>
      </c>
    </row>
    <row r="77" spans="1:19">
      <c r="A77" s="633" t="str">
        <f>'12.23面积'!M87</f>
        <v>7-206</v>
      </c>
      <c r="B77" s="633">
        <f>'12.23面积'!N87</f>
        <v>17.010000000000002</v>
      </c>
      <c r="C77" s="21">
        <f t="shared" si="6"/>
        <v>1.01</v>
      </c>
      <c r="D77" s="635"/>
      <c r="E77" s="21">
        <f t="shared" si="7"/>
        <v>1</v>
      </c>
      <c r="F77" s="635"/>
      <c r="G77" s="21">
        <f t="shared" si="8"/>
        <v>1</v>
      </c>
      <c r="H77" s="635"/>
      <c r="I77" s="21">
        <f t="shared" si="9"/>
        <v>1</v>
      </c>
      <c r="J77" s="635"/>
      <c r="K77" s="21">
        <f t="shared" si="10"/>
        <v>1</v>
      </c>
      <c r="L77" s="635"/>
      <c r="M77" s="21">
        <f t="shared" si="11"/>
        <v>1</v>
      </c>
      <c r="N77" s="635"/>
      <c r="O77" s="21">
        <f t="shared" si="12"/>
        <v>1</v>
      </c>
      <c r="P77" s="635"/>
      <c r="Q77" s="21">
        <f t="shared" si="13"/>
        <v>1</v>
      </c>
      <c r="R77" s="21">
        <f t="shared" ca="1" si="14"/>
        <v>25634</v>
      </c>
      <c r="S77" s="308">
        <f t="shared" ca="1" si="5"/>
        <v>44</v>
      </c>
    </row>
    <row r="78" spans="1:19">
      <c r="A78" s="633" t="str">
        <f>'12.23面积'!M88</f>
        <v>1-101</v>
      </c>
      <c r="B78" s="633">
        <f>'12.23面积'!N88</f>
        <v>30.97</v>
      </c>
      <c r="C78" s="21">
        <f t="shared" si="6"/>
        <v>1</v>
      </c>
      <c r="D78" s="635"/>
      <c r="E78" s="21">
        <f t="shared" si="7"/>
        <v>1</v>
      </c>
      <c r="F78" s="635"/>
      <c r="G78" s="21">
        <f t="shared" si="8"/>
        <v>1</v>
      </c>
      <c r="H78" s="635"/>
      <c r="I78" s="21">
        <f t="shared" si="9"/>
        <v>1</v>
      </c>
      <c r="J78" s="635"/>
      <c r="K78" s="21">
        <f t="shared" si="10"/>
        <v>1</v>
      </c>
      <c r="L78" s="635"/>
      <c r="M78" s="21">
        <f t="shared" si="11"/>
        <v>1</v>
      </c>
      <c r="N78" s="635"/>
      <c r="O78" s="21">
        <f t="shared" si="12"/>
        <v>1</v>
      </c>
      <c r="P78" s="635"/>
      <c r="Q78" s="21">
        <f t="shared" si="13"/>
        <v>1</v>
      </c>
      <c r="R78" s="21">
        <f t="shared" ca="1" si="14"/>
        <v>25380</v>
      </c>
      <c r="S78" s="308">
        <f t="shared" ca="1" si="5"/>
        <v>79</v>
      </c>
    </row>
    <row r="79" spans="1:19">
      <c r="A79" s="633" t="str">
        <f>'12.23面积'!M89</f>
        <v>1-102</v>
      </c>
      <c r="B79" s="633">
        <f>'12.23面积'!N89</f>
        <v>16.05</v>
      </c>
      <c r="C79" s="21">
        <f t="shared" si="6"/>
        <v>1.01</v>
      </c>
      <c r="D79" s="635"/>
      <c r="E79" s="21">
        <f t="shared" si="7"/>
        <v>1</v>
      </c>
      <c r="F79" s="635"/>
      <c r="G79" s="21">
        <f t="shared" si="8"/>
        <v>1</v>
      </c>
      <c r="H79" s="635"/>
      <c r="I79" s="21">
        <f t="shared" si="9"/>
        <v>1</v>
      </c>
      <c r="J79" s="635"/>
      <c r="K79" s="21">
        <f t="shared" si="10"/>
        <v>1</v>
      </c>
      <c r="L79" s="635"/>
      <c r="M79" s="21">
        <f t="shared" si="11"/>
        <v>1</v>
      </c>
      <c r="N79" s="635"/>
      <c r="O79" s="21">
        <f t="shared" si="12"/>
        <v>1</v>
      </c>
      <c r="P79" s="635"/>
      <c r="Q79" s="21">
        <f t="shared" si="13"/>
        <v>1</v>
      </c>
      <c r="R79" s="21">
        <f t="shared" ca="1" si="14"/>
        <v>25634</v>
      </c>
      <c r="S79" s="308">
        <f t="shared" ca="1" si="5"/>
        <v>41</v>
      </c>
    </row>
    <row r="80" spans="1:19">
      <c r="A80" s="633" t="str">
        <f>'12.23面积'!M90</f>
        <v>1-103</v>
      </c>
      <c r="B80" s="633">
        <f>'12.23面积'!N90</f>
        <v>46.63</v>
      </c>
      <c r="C80" s="21">
        <f t="shared" si="6"/>
        <v>1</v>
      </c>
      <c r="D80" s="635"/>
      <c r="E80" s="21">
        <f t="shared" si="7"/>
        <v>1</v>
      </c>
      <c r="F80" s="635"/>
      <c r="G80" s="21">
        <f t="shared" si="8"/>
        <v>1</v>
      </c>
      <c r="H80" s="635"/>
      <c r="I80" s="21">
        <f t="shared" si="9"/>
        <v>1</v>
      </c>
      <c r="J80" s="635"/>
      <c r="K80" s="21">
        <f t="shared" si="10"/>
        <v>1</v>
      </c>
      <c r="L80" s="635"/>
      <c r="M80" s="21">
        <f t="shared" si="11"/>
        <v>1</v>
      </c>
      <c r="N80" s="635"/>
      <c r="O80" s="21">
        <f t="shared" si="12"/>
        <v>1</v>
      </c>
      <c r="P80" s="635"/>
      <c r="Q80" s="21">
        <f t="shared" si="13"/>
        <v>1</v>
      </c>
      <c r="R80" s="21">
        <f t="shared" ca="1" si="14"/>
        <v>25380</v>
      </c>
      <c r="S80" s="308">
        <f t="shared" ca="1" si="5"/>
        <v>118</v>
      </c>
    </row>
    <row r="81" spans="1:19">
      <c r="A81" s="633" t="str">
        <f>'12.23面积'!M91</f>
        <v>1-104</v>
      </c>
      <c r="B81" s="633">
        <f>'12.23面积'!N91</f>
        <v>53.66</v>
      </c>
      <c r="C81" s="21">
        <f t="shared" si="6"/>
        <v>1</v>
      </c>
      <c r="D81" s="635"/>
      <c r="E81" s="21">
        <f t="shared" si="7"/>
        <v>1</v>
      </c>
      <c r="F81" s="635"/>
      <c r="G81" s="21">
        <f t="shared" si="8"/>
        <v>1</v>
      </c>
      <c r="H81" s="635"/>
      <c r="I81" s="21">
        <f t="shared" si="9"/>
        <v>1</v>
      </c>
      <c r="J81" s="635"/>
      <c r="K81" s="21">
        <f t="shared" si="10"/>
        <v>1</v>
      </c>
      <c r="L81" s="635"/>
      <c r="M81" s="21">
        <f t="shared" si="11"/>
        <v>1</v>
      </c>
      <c r="N81" s="635"/>
      <c r="O81" s="21">
        <f t="shared" si="12"/>
        <v>1</v>
      </c>
      <c r="P81" s="635"/>
      <c r="Q81" s="21">
        <f t="shared" si="13"/>
        <v>1</v>
      </c>
      <c r="R81" s="21">
        <f t="shared" ca="1" si="14"/>
        <v>25380</v>
      </c>
      <c r="S81" s="308">
        <f t="shared" ca="1" si="5"/>
        <v>136</v>
      </c>
    </row>
    <row r="82" spans="1:19">
      <c r="A82" s="633" t="str">
        <f>'12.23面积'!M92</f>
        <v>1-105</v>
      </c>
      <c r="B82" s="633">
        <f>'12.23面积'!N92</f>
        <v>23.61</v>
      </c>
      <c r="C82" s="21">
        <f t="shared" si="6"/>
        <v>1.01</v>
      </c>
      <c r="D82" s="635"/>
      <c r="E82" s="21">
        <f t="shared" si="7"/>
        <v>1</v>
      </c>
      <c r="F82" s="635"/>
      <c r="G82" s="21">
        <f t="shared" si="8"/>
        <v>1</v>
      </c>
      <c r="H82" s="635"/>
      <c r="I82" s="21">
        <f t="shared" si="9"/>
        <v>1</v>
      </c>
      <c r="J82" s="635"/>
      <c r="K82" s="21">
        <f t="shared" si="10"/>
        <v>1</v>
      </c>
      <c r="L82" s="635"/>
      <c r="M82" s="21">
        <f t="shared" si="11"/>
        <v>1</v>
      </c>
      <c r="N82" s="635"/>
      <c r="O82" s="21">
        <f t="shared" si="12"/>
        <v>1</v>
      </c>
      <c r="P82" s="635"/>
      <c r="Q82" s="21">
        <f t="shared" si="13"/>
        <v>1</v>
      </c>
      <c r="R82" s="21">
        <f t="shared" ca="1" si="14"/>
        <v>25634</v>
      </c>
      <c r="S82" s="308">
        <f t="shared" ca="1" si="5"/>
        <v>61</v>
      </c>
    </row>
    <row r="83" spans="1:19">
      <c r="A83" s="633" t="str">
        <f>'12.23面积'!M93</f>
        <v>1-106</v>
      </c>
      <c r="B83" s="633">
        <f>'12.23面积'!N93</f>
        <v>23.65</v>
      </c>
      <c r="C83" s="21">
        <f t="shared" si="6"/>
        <v>1.01</v>
      </c>
      <c r="D83" s="635"/>
      <c r="E83" s="21">
        <f t="shared" si="7"/>
        <v>1</v>
      </c>
      <c r="F83" s="635"/>
      <c r="G83" s="21">
        <f t="shared" si="8"/>
        <v>1</v>
      </c>
      <c r="H83" s="635"/>
      <c r="I83" s="21">
        <f t="shared" si="9"/>
        <v>1</v>
      </c>
      <c r="J83" s="635"/>
      <c r="K83" s="21">
        <f t="shared" si="10"/>
        <v>1</v>
      </c>
      <c r="L83" s="635"/>
      <c r="M83" s="21">
        <f t="shared" si="11"/>
        <v>1</v>
      </c>
      <c r="N83" s="635"/>
      <c r="O83" s="21">
        <f t="shared" si="12"/>
        <v>1</v>
      </c>
      <c r="P83" s="635"/>
      <c r="Q83" s="21">
        <f t="shared" si="13"/>
        <v>1</v>
      </c>
      <c r="R83" s="21">
        <f t="shared" ca="1" si="14"/>
        <v>25634</v>
      </c>
      <c r="S83" s="308">
        <f t="shared" ca="1" si="5"/>
        <v>61</v>
      </c>
    </row>
    <row r="84" spans="1:19">
      <c r="A84" s="633" t="str">
        <f>'12.23面积'!M94</f>
        <v>1-107</v>
      </c>
      <c r="B84" s="633">
        <f>'12.23面积'!N94</f>
        <v>56.63</v>
      </c>
      <c r="C84" s="21">
        <f t="shared" si="6"/>
        <v>1</v>
      </c>
      <c r="D84" s="635"/>
      <c r="E84" s="21">
        <f t="shared" si="7"/>
        <v>1</v>
      </c>
      <c r="F84" s="635"/>
      <c r="G84" s="21">
        <f t="shared" si="8"/>
        <v>1</v>
      </c>
      <c r="H84" s="635"/>
      <c r="I84" s="21">
        <f t="shared" si="9"/>
        <v>1</v>
      </c>
      <c r="J84" s="635"/>
      <c r="K84" s="21">
        <f t="shared" si="10"/>
        <v>1</v>
      </c>
      <c r="L84" s="635"/>
      <c r="M84" s="21">
        <f t="shared" si="11"/>
        <v>1</v>
      </c>
      <c r="N84" s="635"/>
      <c r="O84" s="21">
        <f t="shared" si="12"/>
        <v>1</v>
      </c>
      <c r="P84" s="635"/>
      <c r="Q84" s="21">
        <f t="shared" si="13"/>
        <v>1</v>
      </c>
      <c r="R84" s="21">
        <f t="shared" ca="1" si="14"/>
        <v>25380</v>
      </c>
      <c r="S84" s="308">
        <f t="shared" ca="1" si="5"/>
        <v>144</v>
      </c>
    </row>
    <row r="85" spans="1:19">
      <c r="A85" s="633" t="str">
        <f>'12.23面积'!M95</f>
        <v>1-108</v>
      </c>
      <c r="B85" s="633">
        <f>'12.23面积'!N95</f>
        <v>41.07</v>
      </c>
      <c r="C85" s="21">
        <f t="shared" si="6"/>
        <v>1</v>
      </c>
      <c r="D85" s="635"/>
      <c r="E85" s="21">
        <f t="shared" si="7"/>
        <v>1</v>
      </c>
      <c r="F85" s="635"/>
      <c r="G85" s="21">
        <f t="shared" si="8"/>
        <v>1</v>
      </c>
      <c r="H85" s="635"/>
      <c r="I85" s="21">
        <f t="shared" si="9"/>
        <v>1</v>
      </c>
      <c r="J85" s="635"/>
      <c r="K85" s="21">
        <f t="shared" si="10"/>
        <v>1</v>
      </c>
      <c r="L85" s="635"/>
      <c r="M85" s="21">
        <f t="shared" si="11"/>
        <v>1</v>
      </c>
      <c r="N85" s="635"/>
      <c r="O85" s="21">
        <f t="shared" si="12"/>
        <v>1</v>
      </c>
      <c r="P85" s="635"/>
      <c r="Q85" s="21">
        <f t="shared" si="13"/>
        <v>1</v>
      </c>
      <c r="R85" s="21">
        <f t="shared" ca="1" si="14"/>
        <v>25380</v>
      </c>
      <c r="S85" s="308">
        <f t="shared" ca="1" si="5"/>
        <v>104</v>
      </c>
    </row>
    <row r="86" spans="1:19">
      <c r="A86" s="633" t="str">
        <f>'12.23面积'!M96</f>
        <v>1-111</v>
      </c>
      <c r="B86" s="633">
        <f>'12.23面积'!N96</f>
        <v>23.65</v>
      </c>
      <c r="C86" s="21">
        <f t="shared" si="6"/>
        <v>1.01</v>
      </c>
      <c r="D86" s="635"/>
      <c r="E86" s="21">
        <f t="shared" si="7"/>
        <v>1</v>
      </c>
      <c r="F86" s="635"/>
      <c r="G86" s="21">
        <f t="shared" si="8"/>
        <v>1</v>
      </c>
      <c r="H86" s="635"/>
      <c r="I86" s="21">
        <f t="shared" si="9"/>
        <v>1</v>
      </c>
      <c r="J86" s="635"/>
      <c r="K86" s="21">
        <f t="shared" si="10"/>
        <v>1</v>
      </c>
      <c r="L86" s="635"/>
      <c r="M86" s="21">
        <f t="shared" si="11"/>
        <v>1</v>
      </c>
      <c r="N86" s="635"/>
      <c r="O86" s="21">
        <f t="shared" si="12"/>
        <v>1</v>
      </c>
      <c r="P86" s="635"/>
      <c r="Q86" s="21">
        <f t="shared" si="13"/>
        <v>1</v>
      </c>
      <c r="R86" s="21">
        <f t="shared" ca="1" si="14"/>
        <v>25634</v>
      </c>
      <c r="S86" s="308">
        <f t="shared" ca="1" si="5"/>
        <v>61</v>
      </c>
    </row>
    <row r="87" spans="1:19">
      <c r="A87" s="633" t="str">
        <f>'12.23面积'!M97</f>
        <v>1-112</v>
      </c>
      <c r="B87" s="633">
        <f>'12.23面积'!N97</f>
        <v>23.61</v>
      </c>
      <c r="C87" s="21">
        <f t="shared" si="6"/>
        <v>1.01</v>
      </c>
      <c r="D87" s="635"/>
      <c r="E87" s="21">
        <f t="shared" si="7"/>
        <v>1</v>
      </c>
      <c r="F87" s="635"/>
      <c r="G87" s="21">
        <f t="shared" si="8"/>
        <v>1</v>
      </c>
      <c r="H87" s="635"/>
      <c r="I87" s="21">
        <f t="shared" si="9"/>
        <v>1</v>
      </c>
      <c r="J87" s="635"/>
      <c r="K87" s="21">
        <f t="shared" si="10"/>
        <v>1</v>
      </c>
      <c r="L87" s="635"/>
      <c r="M87" s="21">
        <f t="shared" si="11"/>
        <v>1</v>
      </c>
      <c r="N87" s="635"/>
      <c r="O87" s="21">
        <f t="shared" si="12"/>
        <v>1</v>
      </c>
      <c r="P87" s="635"/>
      <c r="Q87" s="21">
        <f t="shared" si="13"/>
        <v>1</v>
      </c>
      <c r="R87" s="21">
        <f t="shared" ca="1" si="14"/>
        <v>25634</v>
      </c>
      <c r="S87" s="308">
        <f t="shared" ca="1" si="5"/>
        <v>61</v>
      </c>
    </row>
    <row r="88" spans="1:19">
      <c r="A88" s="633" t="str">
        <f>'12.23面积'!M98</f>
        <v>1-113</v>
      </c>
      <c r="B88" s="633">
        <f>'12.23面积'!N98</f>
        <v>49.57</v>
      </c>
      <c r="C88" s="21">
        <f t="shared" si="6"/>
        <v>1</v>
      </c>
      <c r="D88" s="635"/>
      <c r="E88" s="21">
        <f t="shared" si="7"/>
        <v>1</v>
      </c>
      <c r="F88" s="635"/>
      <c r="G88" s="21">
        <f t="shared" si="8"/>
        <v>1</v>
      </c>
      <c r="H88" s="635"/>
      <c r="I88" s="21">
        <f t="shared" si="9"/>
        <v>1</v>
      </c>
      <c r="J88" s="635"/>
      <c r="K88" s="21">
        <f t="shared" si="10"/>
        <v>1</v>
      </c>
      <c r="L88" s="635"/>
      <c r="M88" s="21">
        <f t="shared" si="11"/>
        <v>1</v>
      </c>
      <c r="N88" s="635"/>
      <c r="O88" s="21">
        <f t="shared" si="12"/>
        <v>1</v>
      </c>
      <c r="P88" s="635"/>
      <c r="Q88" s="21">
        <f t="shared" si="13"/>
        <v>1</v>
      </c>
      <c r="R88" s="21">
        <f t="shared" ca="1" si="14"/>
        <v>25380</v>
      </c>
      <c r="S88" s="308">
        <f t="shared" ref="S88:S151" ca="1" si="15">ROUND(R88*B88/10000,0)</f>
        <v>126</v>
      </c>
    </row>
    <row r="89" spans="1:19">
      <c r="A89" s="633" t="str">
        <f>'12.23面积'!M99</f>
        <v>1-114</v>
      </c>
      <c r="B89" s="633">
        <f>'12.23面积'!N99</f>
        <v>47.94</v>
      </c>
      <c r="C89" s="21">
        <f t="shared" si="6"/>
        <v>1</v>
      </c>
      <c r="D89" s="635"/>
      <c r="E89" s="21">
        <f t="shared" si="7"/>
        <v>1</v>
      </c>
      <c r="F89" s="635"/>
      <c r="G89" s="21">
        <f t="shared" si="8"/>
        <v>1</v>
      </c>
      <c r="H89" s="635"/>
      <c r="I89" s="21">
        <f t="shared" si="9"/>
        <v>1</v>
      </c>
      <c r="J89" s="635"/>
      <c r="K89" s="21">
        <f t="shared" si="10"/>
        <v>1</v>
      </c>
      <c r="L89" s="635"/>
      <c r="M89" s="21">
        <f t="shared" si="11"/>
        <v>1</v>
      </c>
      <c r="N89" s="635"/>
      <c r="O89" s="21">
        <f t="shared" si="12"/>
        <v>1</v>
      </c>
      <c r="P89" s="635"/>
      <c r="Q89" s="21">
        <f t="shared" si="13"/>
        <v>1</v>
      </c>
      <c r="R89" s="21">
        <f t="shared" ca="1" si="14"/>
        <v>25380</v>
      </c>
      <c r="S89" s="308">
        <f t="shared" ca="1" si="15"/>
        <v>122</v>
      </c>
    </row>
    <row r="90" spans="1:19">
      <c r="A90" s="633" t="str">
        <f>'12.23面积'!M100</f>
        <v>1-115</v>
      </c>
      <c r="B90" s="633">
        <f>'12.23面积'!N100</f>
        <v>22.6</v>
      </c>
      <c r="C90" s="21">
        <f t="shared" ref="C90:C153" si="16">IF(B90="",1,(LOOKUP(B90,$3:$3,$4:$4)-LOOKUP($B$24,$3:$3,$4:$4)+100)/100)</f>
        <v>1.01</v>
      </c>
      <c r="D90" s="635"/>
      <c r="E90" s="21">
        <f t="shared" ref="E90:E153" si="17">(SUMIF($5:$5,D90,$6:$6)-SUMIF($5:$5,$D$24,$6:$6)+100)/100</f>
        <v>1</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c r="Q90" s="21">
        <f t="shared" ref="Q90:Q153" si="23">(SUMIF($17:$17,P90,$18:$18)-SUMIF($17:$17,$P$24,$18:$18)+100)/100</f>
        <v>1</v>
      </c>
      <c r="R90" s="21">
        <f t="shared" ref="R90:R153" ca="1" si="24">IF(B90="",0,ROUND($R$24*C90*E90*G90*I90*K90*M90*O90*Q90,0))</f>
        <v>25634</v>
      </c>
      <c r="S90" s="308">
        <f t="shared" ca="1" si="15"/>
        <v>58</v>
      </c>
    </row>
    <row r="91" spans="1:19">
      <c r="A91" s="633" t="str">
        <f>'12.23面积'!M101</f>
        <v>1-116</v>
      </c>
      <c r="B91" s="633">
        <f>'12.23面积'!N101</f>
        <v>27.96</v>
      </c>
      <c r="C91" s="21">
        <f t="shared" si="16"/>
        <v>1.01</v>
      </c>
      <c r="D91" s="635"/>
      <c r="E91" s="21">
        <f t="shared" si="17"/>
        <v>1</v>
      </c>
      <c r="F91" s="635"/>
      <c r="G91" s="21">
        <f t="shared" si="18"/>
        <v>1</v>
      </c>
      <c r="H91" s="635"/>
      <c r="I91" s="21">
        <f t="shared" si="19"/>
        <v>1</v>
      </c>
      <c r="J91" s="635"/>
      <c r="K91" s="21">
        <f t="shared" si="20"/>
        <v>1</v>
      </c>
      <c r="L91" s="635"/>
      <c r="M91" s="21">
        <f t="shared" si="21"/>
        <v>1</v>
      </c>
      <c r="N91" s="635"/>
      <c r="O91" s="21">
        <f t="shared" si="22"/>
        <v>1</v>
      </c>
      <c r="P91" s="635"/>
      <c r="Q91" s="21">
        <f t="shared" si="23"/>
        <v>1</v>
      </c>
      <c r="R91" s="21">
        <f t="shared" ca="1" si="24"/>
        <v>25634</v>
      </c>
      <c r="S91" s="308">
        <f t="shared" ca="1" si="15"/>
        <v>72</v>
      </c>
    </row>
    <row r="92" spans="1:19">
      <c r="A92" s="633" t="str">
        <f>'12.23面积'!M102</f>
        <v>1-117</v>
      </c>
      <c r="B92" s="633">
        <f>'12.23面积'!N102</f>
        <v>27.55</v>
      </c>
      <c r="C92" s="21">
        <f t="shared" si="16"/>
        <v>1.01</v>
      </c>
      <c r="D92" s="635"/>
      <c r="E92" s="21">
        <f t="shared" si="17"/>
        <v>1</v>
      </c>
      <c r="F92" s="635"/>
      <c r="G92" s="21">
        <f t="shared" si="18"/>
        <v>1</v>
      </c>
      <c r="H92" s="635"/>
      <c r="I92" s="21">
        <f t="shared" si="19"/>
        <v>1</v>
      </c>
      <c r="J92" s="635"/>
      <c r="K92" s="21">
        <f t="shared" si="20"/>
        <v>1</v>
      </c>
      <c r="L92" s="635"/>
      <c r="M92" s="21">
        <f t="shared" si="21"/>
        <v>1</v>
      </c>
      <c r="N92" s="635"/>
      <c r="O92" s="21">
        <f t="shared" si="22"/>
        <v>1</v>
      </c>
      <c r="P92" s="635"/>
      <c r="Q92" s="21">
        <f t="shared" si="23"/>
        <v>1</v>
      </c>
      <c r="R92" s="21">
        <f t="shared" ca="1" si="24"/>
        <v>25634</v>
      </c>
      <c r="S92" s="308">
        <f t="shared" ca="1" si="15"/>
        <v>71</v>
      </c>
    </row>
    <row r="93" spans="1:19">
      <c r="A93" s="633" t="str">
        <f>'12.23面积'!M103</f>
        <v>1-118</v>
      </c>
      <c r="B93" s="633">
        <f>'12.23面积'!N103</f>
        <v>19.11</v>
      </c>
      <c r="C93" s="21">
        <f t="shared" si="16"/>
        <v>1.01</v>
      </c>
      <c r="D93" s="635"/>
      <c r="E93" s="21">
        <f t="shared" si="17"/>
        <v>1</v>
      </c>
      <c r="F93" s="635"/>
      <c r="G93" s="21">
        <f t="shared" si="18"/>
        <v>1</v>
      </c>
      <c r="H93" s="635"/>
      <c r="I93" s="21">
        <f t="shared" si="19"/>
        <v>1</v>
      </c>
      <c r="J93" s="635"/>
      <c r="K93" s="21">
        <f t="shared" si="20"/>
        <v>1</v>
      </c>
      <c r="L93" s="635"/>
      <c r="M93" s="21">
        <f t="shared" si="21"/>
        <v>1</v>
      </c>
      <c r="N93" s="635"/>
      <c r="O93" s="21">
        <f t="shared" si="22"/>
        <v>1</v>
      </c>
      <c r="P93" s="635"/>
      <c r="Q93" s="21">
        <f t="shared" si="23"/>
        <v>1</v>
      </c>
      <c r="R93" s="21">
        <f t="shared" ca="1" si="24"/>
        <v>25634</v>
      </c>
      <c r="S93" s="308">
        <f t="shared" ca="1" si="15"/>
        <v>49</v>
      </c>
    </row>
    <row r="94" spans="1:19">
      <c r="A94" s="633" t="str">
        <f>'12.23面积'!M104</f>
        <v>1-119</v>
      </c>
      <c r="B94" s="633">
        <f>'12.23面积'!N104</f>
        <v>19.11</v>
      </c>
      <c r="C94" s="21">
        <f t="shared" si="16"/>
        <v>1.01</v>
      </c>
      <c r="D94" s="635"/>
      <c r="E94" s="21">
        <f t="shared" si="17"/>
        <v>1</v>
      </c>
      <c r="F94" s="635"/>
      <c r="G94" s="21">
        <f t="shared" si="18"/>
        <v>1</v>
      </c>
      <c r="H94" s="635"/>
      <c r="I94" s="21">
        <f t="shared" si="19"/>
        <v>1</v>
      </c>
      <c r="J94" s="635"/>
      <c r="K94" s="21">
        <f t="shared" si="20"/>
        <v>1</v>
      </c>
      <c r="L94" s="635"/>
      <c r="M94" s="21">
        <f t="shared" si="21"/>
        <v>1</v>
      </c>
      <c r="N94" s="635"/>
      <c r="O94" s="21">
        <f t="shared" si="22"/>
        <v>1</v>
      </c>
      <c r="P94" s="635"/>
      <c r="Q94" s="21">
        <f t="shared" si="23"/>
        <v>1</v>
      </c>
      <c r="R94" s="21">
        <f t="shared" ca="1" si="24"/>
        <v>25634</v>
      </c>
      <c r="S94" s="308">
        <f t="shared" ca="1" si="15"/>
        <v>49</v>
      </c>
    </row>
    <row r="95" spans="1:19">
      <c r="A95" s="633" t="str">
        <f>'12.23面积'!M105</f>
        <v>1-120</v>
      </c>
      <c r="B95" s="633">
        <f>'12.23面积'!N105</f>
        <v>27.55</v>
      </c>
      <c r="C95" s="21">
        <f t="shared" si="16"/>
        <v>1.01</v>
      </c>
      <c r="D95" s="635"/>
      <c r="E95" s="21">
        <f t="shared" si="17"/>
        <v>1</v>
      </c>
      <c r="F95" s="635"/>
      <c r="G95" s="21">
        <f t="shared" si="18"/>
        <v>1</v>
      </c>
      <c r="H95" s="635"/>
      <c r="I95" s="21">
        <f t="shared" si="19"/>
        <v>1</v>
      </c>
      <c r="J95" s="635"/>
      <c r="K95" s="21">
        <f t="shared" si="20"/>
        <v>1</v>
      </c>
      <c r="L95" s="635"/>
      <c r="M95" s="21">
        <f t="shared" si="21"/>
        <v>1</v>
      </c>
      <c r="N95" s="635"/>
      <c r="O95" s="21">
        <f t="shared" si="22"/>
        <v>1</v>
      </c>
      <c r="P95" s="635"/>
      <c r="Q95" s="21">
        <f t="shared" si="23"/>
        <v>1</v>
      </c>
      <c r="R95" s="21">
        <f t="shared" ca="1" si="24"/>
        <v>25634</v>
      </c>
      <c r="S95" s="308">
        <f t="shared" ca="1" si="15"/>
        <v>71</v>
      </c>
    </row>
    <row r="96" spans="1:19">
      <c r="A96" s="633" t="str">
        <f>'12.23面积'!M106</f>
        <v>1-201</v>
      </c>
      <c r="B96" s="633">
        <f>'12.23面积'!N106</f>
        <v>15.83</v>
      </c>
      <c r="C96" s="21">
        <f t="shared" si="16"/>
        <v>1.01</v>
      </c>
      <c r="D96" s="635"/>
      <c r="E96" s="21">
        <f t="shared" si="17"/>
        <v>1</v>
      </c>
      <c r="F96" s="635"/>
      <c r="G96" s="21">
        <f t="shared" si="18"/>
        <v>1</v>
      </c>
      <c r="H96" s="635"/>
      <c r="I96" s="21">
        <f t="shared" si="19"/>
        <v>1</v>
      </c>
      <c r="J96" s="635"/>
      <c r="K96" s="21">
        <f t="shared" si="20"/>
        <v>1</v>
      </c>
      <c r="L96" s="635"/>
      <c r="M96" s="21">
        <f t="shared" si="21"/>
        <v>1</v>
      </c>
      <c r="N96" s="635"/>
      <c r="O96" s="21">
        <f t="shared" si="22"/>
        <v>1</v>
      </c>
      <c r="P96" s="635"/>
      <c r="Q96" s="21">
        <f t="shared" si="23"/>
        <v>1</v>
      </c>
      <c r="R96" s="21">
        <f t="shared" ca="1" si="24"/>
        <v>25634</v>
      </c>
      <c r="S96" s="308">
        <f t="shared" ca="1" si="15"/>
        <v>41</v>
      </c>
    </row>
    <row r="97" spans="1:19">
      <c r="A97" s="633" t="str">
        <f>'12.23面积'!M107</f>
        <v>1-202</v>
      </c>
      <c r="B97" s="633">
        <f>'12.23面积'!N107</f>
        <v>18.32</v>
      </c>
      <c r="C97" s="21">
        <f t="shared" si="16"/>
        <v>1.01</v>
      </c>
      <c r="D97" s="635"/>
      <c r="E97" s="21">
        <f t="shared" si="17"/>
        <v>1</v>
      </c>
      <c r="F97" s="635"/>
      <c r="G97" s="21">
        <f t="shared" si="18"/>
        <v>1</v>
      </c>
      <c r="H97" s="635"/>
      <c r="I97" s="21">
        <f t="shared" si="19"/>
        <v>1</v>
      </c>
      <c r="J97" s="635"/>
      <c r="K97" s="21">
        <f t="shared" si="20"/>
        <v>1</v>
      </c>
      <c r="L97" s="635"/>
      <c r="M97" s="21">
        <f t="shared" si="21"/>
        <v>1</v>
      </c>
      <c r="N97" s="635"/>
      <c r="O97" s="21">
        <f t="shared" si="22"/>
        <v>1</v>
      </c>
      <c r="P97" s="635"/>
      <c r="Q97" s="21">
        <f t="shared" si="23"/>
        <v>1</v>
      </c>
      <c r="R97" s="21">
        <f t="shared" ca="1" si="24"/>
        <v>25634</v>
      </c>
      <c r="S97" s="308">
        <f t="shared" ca="1" si="15"/>
        <v>47</v>
      </c>
    </row>
    <row r="98" spans="1:19">
      <c r="A98" s="633" t="str">
        <f>'12.23面积'!M108</f>
        <v>1-203</v>
      </c>
      <c r="B98" s="633">
        <f>'12.23面积'!N108</f>
        <v>16.329999999999998</v>
      </c>
      <c r="C98" s="21">
        <f t="shared" si="16"/>
        <v>1.01</v>
      </c>
      <c r="D98" s="635"/>
      <c r="E98" s="21">
        <f t="shared" si="17"/>
        <v>1</v>
      </c>
      <c r="F98" s="635"/>
      <c r="G98" s="21">
        <f t="shared" si="18"/>
        <v>1</v>
      </c>
      <c r="H98" s="635"/>
      <c r="I98" s="21">
        <f t="shared" si="19"/>
        <v>1</v>
      </c>
      <c r="J98" s="635"/>
      <c r="K98" s="21">
        <f t="shared" si="20"/>
        <v>1</v>
      </c>
      <c r="L98" s="635"/>
      <c r="M98" s="21">
        <f t="shared" si="21"/>
        <v>1</v>
      </c>
      <c r="N98" s="635"/>
      <c r="O98" s="21">
        <f t="shared" si="22"/>
        <v>1</v>
      </c>
      <c r="P98" s="635"/>
      <c r="Q98" s="21">
        <f t="shared" si="23"/>
        <v>1</v>
      </c>
      <c r="R98" s="21">
        <f t="shared" ca="1" si="24"/>
        <v>25634</v>
      </c>
      <c r="S98" s="308">
        <f t="shared" ca="1" si="15"/>
        <v>42</v>
      </c>
    </row>
    <row r="99" spans="1:19">
      <c r="A99" s="633" t="str">
        <f>'12.23面积'!M109</f>
        <v>1-204</v>
      </c>
      <c r="B99" s="633">
        <f>'12.23面积'!N109</f>
        <v>12.38</v>
      </c>
      <c r="C99" s="21">
        <f t="shared" si="16"/>
        <v>1.01</v>
      </c>
      <c r="D99" s="635"/>
      <c r="E99" s="21">
        <f t="shared" si="17"/>
        <v>1</v>
      </c>
      <c r="F99" s="635"/>
      <c r="G99" s="21">
        <f t="shared" si="18"/>
        <v>1</v>
      </c>
      <c r="H99" s="635"/>
      <c r="I99" s="21">
        <f t="shared" si="19"/>
        <v>1</v>
      </c>
      <c r="J99" s="635"/>
      <c r="K99" s="21">
        <f t="shared" si="20"/>
        <v>1</v>
      </c>
      <c r="L99" s="635"/>
      <c r="M99" s="21">
        <f t="shared" si="21"/>
        <v>1</v>
      </c>
      <c r="N99" s="635"/>
      <c r="O99" s="21">
        <f t="shared" si="22"/>
        <v>1</v>
      </c>
      <c r="P99" s="635"/>
      <c r="Q99" s="21">
        <f t="shared" si="23"/>
        <v>1</v>
      </c>
      <c r="R99" s="21">
        <f t="shared" ca="1" si="24"/>
        <v>25634</v>
      </c>
      <c r="S99" s="308">
        <f t="shared" ca="1" si="15"/>
        <v>32</v>
      </c>
    </row>
    <row r="100" spans="1:19">
      <c r="A100" s="633" t="str">
        <f>'12.23面积'!M110</f>
        <v>1-205</v>
      </c>
      <c r="B100" s="633">
        <f>'12.23面积'!N110</f>
        <v>17.010000000000002</v>
      </c>
      <c r="C100" s="21">
        <f t="shared" si="16"/>
        <v>1.01</v>
      </c>
      <c r="D100" s="635"/>
      <c r="E100" s="21">
        <f t="shared" si="17"/>
        <v>1</v>
      </c>
      <c r="F100" s="635"/>
      <c r="G100" s="21">
        <f t="shared" si="18"/>
        <v>1</v>
      </c>
      <c r="H100" s="635"/>
      <c r="I100" s="21">
        <f t="shared" si="19"/>
        <v>1</v>
      </c>
      <c r="J100" s="635"/>
      <c r="K100" s="21">
        <f t="shared" si="20"/>
        <v>1</v>
      </c>
      <c r="L100" s="635"/>
      <c r="M100" s="21">
        <f t="shared" si="21"/>
        <v>1</v>
      </c>
      <c r="N100" s="635"/>
      <c r="O100" s="21">
        <f t="shared" si="22"/>
        <v>1</v>
      </c>
      <c r="P100" s="635"/>
      <c r="Q100" s="21">
        <f t="shared" si="23"/>
        <v>1</v>
      </c>
      <c r="R100" s="21">
        <f t="shared" ca="1" si="24"/>
        <v>25634</v>
      </c>
      <c r="S100" s="308">
        <f t="shared" ca="1" si="15"/>
        <v>44</v>
      </c>
    </row>
    <row r="101" spans="1:19">
      <c r="A101" s="633" t="str">
        <f>'12.23面积'!M111</f>
        <v>2-107</v>
      </c>
      <c r="B101" s="633">
        <f>'12.23面积'!N111</f>
        <v>56.8</v>
      </c>
      <c r="C101" s="21">
        <f t="shared" si="16"/>
        <v>1</v>
      </c>
      <c r="D101" s="635"/>
      <c r="E101" s="21">
        <f t="shared" si="17"/>
        <v>1</v>
      </c>
      <c r="F101" s="635"/>
      <c r="G101" s="21">
        <f t="shared" si="18"/>
        <v>1</v>
      </c>
      <c r="H101" s="635"/>
      <c r="I101" s="21">
        <f t="shared" si="19"/>
        <v>1</v>
      </c>
      <c r="J101" s="635"/>
      <c r="K101" s="21">
        <f t="shared" si="20"/>
        <v>1</v>
      </c>
      <c r="L101" s="635"/>
      <c r="M101" s="21">
        <f t="shared" si="21"/>
        <v>1</v>
      </c>
      <c r="N101" s="635"/>
      <c r="O101" s="21">
        <f t="shared" si="22"/>
        <v>1</v>
      </c>
      <c r="P101" s="635"/>
      <c r="Q101" s="21">
        <f t="shared" si="23"/>
        <v>1</v>
      </c>
      <c r="R101" s="21">
        <f t="shared" ca="1" si="24"/>
        <v>25380</v>
      </c>
      <c r="S101" s="308">
        <f t="shared" ca="1" si="15"/>
        <v>144</v>
      </c>
    </row>
    <row r="102" spans="1:19">
      <c r="A102" s="633" t="str">
        <f>'12.23面积'!M112</f>
        <v>2-108</v>
      </c>
      <c r="B102" s="633">
        <f>'12.23面积'!N112</f>
        <v>41.51</v>
      </c>
      <c r="C102" s="21">
        <f t="shared" si="16"/>
        <v>1</v>
      </c>
      <c r="D102" s="635"/>
      <c r="E102" s="21">
        <f t="shared" si="17"/>
        <v>1</v>
      </c>
      <c r="F102" s="635"/>
      <c r="G102" s="21">
        <f t="shared" si="18"/>
        <v>1</v>
      </c>
      <c r="H102" s="635"/>
      <c r="I102" s="21">
        <f t="shared" si="19"/>
        <v>1</v>
      </c>
      <c r="J102" s="635"/>
      <c r="K102" s="21">
        <f t="shared" si="20"/>
        <v>1</v>
      </c>
      <c r="L102" s="635"/>
      <c r="M102" s="21">
        <f t="shared" si="21"/>
        <v>1</v>
      </c>
      <c r="N102" s="635"/>
      <c r="O102" s="21">
        <f t="shared" si="22"/>
        <v>1</v>
      </c>
      <c r="P102" s="635"/>
      <c r="Q102" s="21">
        <f t="shared" si="23"/>
        <v>1</v>
      </c>
      <c r="R102" s="21">
        <f t="shared" ca="1" si="24"/>
        <v>25380</v>
      </c>
      <c r="S102" s="308">
        <f t="shared" ca="1" si="15"/>
        <v>105</v>
      </c>
    </row>
    <row r="103" spans="1:19">
      <c r="A103" s="633" t="str">
        <f>'12.23面积'!M113</f>
        <v>2-109</v>
      </c>
      <c r="B103" s="633">
        <f>'12.23面积'!N113</f>
        <v>41.51</v>
      </c>
      <c r="C103" s="21">
        <f t="shared" si="16"/>
        <v>1</v>
      </c>
      <c r="D103" s="635"/>
      <c r="E103" s="21">
        <f t="shared" si="17"/>
        <v>1</v>
      </c>
      <c r="F103" s="635"/>
      <c r="G103" s="21">
        <f t="shared" si="18"/>
        <v>1</v>
      </c>
      <c r="H103" s="635"/>
      <c r="I103" s="21">
        <f t="shared" si="19"/>
        <v>1</v>
      </c>
      <c r="J103" s="635"/>
      <c r="K103" s="21">
        <f t="shared" si="20"/>
        <v>1</v>
      </c>
      <c r="L103" s="635"/>
      <c r="M103" s="21">
        <f t="shared" si="21"/>
        <v>1</v>
      </c>
      <c r="N103" s="635"/>
      <c r="O103" s="21">
        <f t="shared" si="22"/>
        <v>1</v>
      </c>
      <c r="P103" s="635"/>
      <c r="Q103" s="21">
        <f t="shared" si="23"/>
        <v>1</v>
      </c>
      <c r="R103" s="21">
        <f t="shared" ca="1" si="24"/>
        <v>25380</v>
      </c>
      <c r="S103" s="308">
        <f t="shared" ca="1" si="15"/>
        <v>105</v>
      </c>
    </row>
    <row r="104" spans="1:19">
      <c r="A104" s="633" t="str">
        <f>'12.23面积'!M114</f>
        <v>2-110</v>
      </c>
      <c r="B104" s="633">
        <f>'12.23面积'!N114</f>
        <v>56.8</v>
      </c>
      <c r="C104" s="21">
        <f t="shared" si="16"/>
        <v>1</v>
      </c>
      <c r="D104" s="635"/>
      <c r="E104" s="21">
        <f t="shared" si="17"/>
        <v>1</v>
      </c>
      <c r="F104" s="635"/>
      <c r="G104" s="21">
        <f t="shared" si="18"/>
        <v>1</v>
      </c>
      <c r="H104" s="635"/>
      <c r="I104" s="21">
        <f t="shared" si="19"/>
        <v>1</v>
      </c>
      <c r="J104" s="635"/>
      <c r="K104" s="21">
        <f t="shared" si="20"/>
        <v>1</v>
      </c>
      <c r="L104" s="635"/>
      <c r="M104" s="21">
        <f t="shared" si="21"/>
        <v>1</v>
      </c>
      <c r="N104" s="635"/>
      <c r="O104" s="21">
        <f t="shared" si="22"/>
        <v>1</v>
      </c>
      <c r="P104" s="635"/>
      <c r="Q104" s="21">
        <f t="shared" si="23"/>
        <v>1</v>
      </c>
      <c r="R104" s="21">
        <f t="shared" ca="1" si="24"/>
        <v>25380</v>
      </c>
      <c r="S104" s="308">
        <f t="shared" ca="1" si="15"/>
        <v>144</v>
      </c>
    </row>
    <row r="105" spans="1:19">
      <c r="A105" s="633" t="str">
        <f>'12.23面积'!M115</f>
        <v>2-111</v>
      </c>
      <c r="B105" s="633">
        <f>'12.23面积'!N115</f>
        <v>23.72</v>
      </c>
      <c r="C105" s="21">
        <f t="shared" si="16"/>
        <v>1.01</v>
      </c>
      <c r="D105" s="635"/>
      <c r="E105" s="21">
        <f t="shared" si="17"/>
        <v>1</v>
      </c>
      <c r="F105" s="635"/>
      <c r="G105" s="21">
        <f t="shared" si="18"/>
        <v>1</v>
      </c>
      <c r="H105" s="635"/>
      <c r="I105" s="21">
        <f t="shared" si="19"/>
        <v>1</v>
      </c>
      <c r="J105" s="635"/>
      <c r="K105" s="21">
        <f t="shared" si="20"/>
        <v>1</v>
      </c>
      <c r="L105" s="635"/>
      <c r="M105" s="21">
        <f t="shared" si="21"/>
        <v>1</v>
      </c>
      <c r="N105" s="635"/>
      <c r="O105" s="21">
        <f t="shared" si="22"/>
        <v>1</v>
      </c>
      <c r="P105" s="635"/>
      <c r="Q105" s="21">
        <f t="shared" si="23"/>
        <v>1</v>
      </c>
      <c r="R105" s="21">
        <f t="shared" ca="1" si="24"/>
        <v>25634</v>
      </c>
      <c r="S105" s="308">
        <f t="shared" ca="1" si="15"/>
        <v>61</v>
      </c>
    </row>
    <row r="106" spans="1:19">
      <c r="A106" s="633" t="str">
        <f>'12.23面积'!M116</f>
        <v>2-112</v>
      </c>
      <c r="B106" s="633">
        <f>'12.23面积'!N116</f>
        <v>23.69</v>
      </c>
      <c r="C106" s="21">
        <f t="shared" si="16"/>
        <v>1.01</v>
      </c>
      <c r="D106" s="635"/>
      <c r="E106" s="21">
        <f t="shared" si="17"/>
        <v>1</v>
      </c>
      <c r="F106" s="635"/>
      <c r="G106" s="21">
        <f t="shared" si="18"/>
        <v>1</v>
      </c>
      <c r="H106" s="635"/>
      <c r="I106" s="21">
        <f t="shared" si="19"/>
        <v>1</v>
      </c>
      <c r="J106" s="635"/>
      <c r="K106" s="21">
        <f t="shared" si="20"/>
        <v>1</v>
      </c>
      <c r="L106" s="635"/>
      <c r="M106" s="21">
        <f t="shared" si="21"/>
        <v>1</v>
      </c>
      <c r="N106" s="635"/>
      <c r="O106" s="21">
        <f t="shared" si="22"/>
        <v>1</v>
      </c>
      <c r="P106" s="635"/>
      <c r="Q106" s="21">
        <f t="shared" si="23"/>
        <v>1</v>
      </c>
      <c r="R106" s="21">
        <f t="shared" ca="1" si="24"/>
        <v>25634</v>
      </c>
      <c r="S106" s="308">
        <f t="shared" ca="1" si="15"/>
        <v>61</v>
      </c>
    </row>
    <row r="107" spans="1:19">
      <c r="A107" s="633" t="str">
        <f>'12.23面积'!M117</f>
        <v>2-113</v>
      </c>
      <c r="B107" s="633">
        <f>'12.23面积'!N117</f>
        <v>56.76</v>
      </c>
      <c r="C107" s="21">
        <f t="shared" si="16"/>
        <v>1</v>
      </c>
      <c r="D107" s="635"/>
      <c r="E107" s="21">
        <f t="shared" si="17"/>
        <v>1</v>
      </c>
      <c r="F107" s="635"/>
      <c r="G107" s="21">
        <f t="shared" si="18"/>
        <v>1</v>
      </c>
      <c r="H107" s="635"/>
      <c r="I107" s="21">
        <f t="shared" si="19"/>
        <v>1</v>
      </c>
      <c r="J107" s="635"/>
      <c r="K107" s="21">
        <f t="shared" si="20"/>
        <v>1</v>
      </c>
      <c r="L107" s="635"/>
      <c r="M107" s="21">
        <f t="shared" si="21"/>
        <v>1</v>
      </c>
      <c r="N107" s="635"/>
      <c r="O107" s="21">
        <f t="shared" si="22"/>
        <v>1</v>
      </c>
      <c r="P107" s="635"/>
      <c r="Q107" s="21">
        <f t="shared" si="23"/>
        <v>1</v>
      </c>
      <c r="R107" s="21">
        <f t="shared" ca="1" si="24"/>
        <v>25380</v>
      </c>
      <c r="S107" s="308">
        <f t="shared" ca="1" si="15"/>
        <v>144</v>
      </c>
    </row>
    <row r="108" spans="1:19">
      <c r="A108" s="633" t="str">
        <f>'12.23面积'!M118</f>
        <v>2-114</v>
      </c>
      <c r="B108" s="633">
        <f>'12.23面积'!N118</f>
        <v>41.2</v>
      </c>
      <c r="C108" s="21">
        <f t="shared" si="16"/>
        <v>1</v>
      </c>
      <c r="D108" s="635"/>
      <c r="E108" s="21">
        <f t="shared" si="17"/>
        <v>1</v>
      </c>
      <c r="F108" s="635"/>
      <c r="G108" s="21">
        <f t="shared" si="18"/>
        <v>1</v>
      </c>
      <c r="H108" s="635"/>
      <c r="I108" s="21">
        <f t="shared" si="19"/>
        <v>1</v>
      </c>
      <c r="J108" s="635"/>
      <c r="K108" s="21">
        <f t="shared" si="20"/>
        <v>1</v>
      </c>
      <c r="L108" s="635"/>
      <c r="M108" s="21">
        <f t="shared" si="21"/>
        <v>1</v>
      </c>
      <c r="N108" s="635"/>
      <c r="O108" s="21">
        <f t="shared" si="22"/>
        <v>1</v>
      </c>
      <c r="P108" s="635"/>
      <c r="Q108" s="21">
        <f t="shared" si="23"/>
        <v>1</v>
      </c>
      <c r="R108" s="21">
        <f t="shared" ca="1" si="24"/>
        <v>25380</v>
      </c>
      <c r="S108" s="308">
        <f t="shared" ca="1" si="15"/>
        <v>105</v>
      </c>
    </row>
    <row r="109" spans="1:19">
      <c r="A109" s="633" t="str">
        <f>'12.23面积'!M119</f>
        <v>2-115</v>
      </c>
      <c r="B109" s="633">
        <f>'12.23面积'!N119</f>
        <v>41.2</v>
      </c>
      <c r="C109" s="21">
        <f t="shared" si="16"/>
        <v>1</v>
      </c>
      <c r="D109" s="635"/>
      <c r="E109" s="21">
        <f t="shared" si="17"/>
        <v>1</v>
      </c>
      <c r="F109" s="635"/>
      <c r="G109" s="21">
        <f t="shared" si="18"/>
        <v>1</v>
      </c>
      <c r="H109" s="635"/>
      <c r="I109" s="21">
        <f t="shared" si="19"/>
        <v>1</v>
      </c>
      <c r="J109" s="635"/>
      <c r="K109" s="21">
        <f t="shared" si="20"/>
        <v>1</v>
      </c>
      <c r="L109" s="635"/>
      <c r="M109" s="21">
        <f t="shared" si="21"/>
        <v>1</v>
      </c>
      <c r="N109" s="635"/>
      <c r="O109" s="21">
        <f t="shared" si="22"/>
        <v>1</v>
      </c>
      <c r="P109" s="635"/>
      <c r="Q109" s="21">
        <f t="shared" si="23"/>
        <v>1</v>
      </c>
      <c r="R109" s="21">
        <f t="shared" ca="1" si="24"/>
        <v>25380</v>
      </c>
      <c r="S109" s="308">
        <f t="shared" ca="1" si="15"/>
        <v>105</v>
      </c>
    </row>
    <row r="110" spans="1:19">
      <c r="A110" s="633" t="str">
        <f>'12.23面积'!M120</f>
        <v>2-117</v>
      </c>
      <c r="B110" s="633">
        <f>'12.23面积'!N120</f>
        <v>23.72</v>
      </c>
      <c r="C110" s="21">
        <f t="shared" si="16"/>
        <v>1.01</v>
      </c>
      <c r="D110" s="635"/>
      <c r="E110" s="21">
        <f t="shared" si="17"/>
        <v>1</v>
      </c>
      <c r="F110" s="635"/>
      <c r="G110" s="21">
        <f t="shared" si="18"/>
        <v>1</v>
      </c>
      <c r="H110" s="635"/>
      <c r="I110" s="21">
        <f t="shared" si="19"/>
        <v>1</v>
      </c>
      <c r="J110" s="635"/>
      <c r="K110" s="21">
        <f t="shared" si="20"/>
        <v>1</v>
      </c>
      <c r="L110" s="635"/>
      <c r="M110" s="21">
        <f t="shared" si="21"/>
        <v>1</v>
      </c>
      <c r="N110" s="635"/>
      <c r="O110" s="21">
        <f t="shared" si="22"/>
        <v>1</v>
      </c>
      <c r="P110" s="635"/>
      <c r="Q110" s="21">
        <f t="shared" si="23"/>
        <v>1</v>
      </c>
      <c r="R110" s="21">
        <f t="shared" ca="1" si="24"/>
        <v>25634</v>
      </c>
      <c r="S110" s="308">
        <f t="shared" ca="1" si="15"/>
        <v>61</v>
      </c>
    </row>
    <row r="111" spans="1:19">
      <c r="A111" s="633" t="str">
        <f>'12.23面积'!M121</f>
        <v>2-118</v>
      </c>
      <c r="B111" s="633">
        <f>'12.23面积'!N121</f>
        <v>23.69</v>
      </c>
      <c r="C111" s="21">
        <f t="shared" si="16"/>
        <v>1.01</v>
      </c>
      <c r="D111" s="635"/>
      <c r="E111" s="21">
        <f t="shared" si="17"/>
        <v>1</v>
      </c>
      <c r="F111" s="635"/>
      <c r="G111" s="21">
        <f t="shared" si="18"/>
        <v>1</v>
      </c>
      <c r="H111" s="635"/>
      <c r="I111" s="21">
        <f t="shared" si="19"/>
        <v>1</v>
      </c>
      <c r="J111" s="635"/>
      <c r="K111" s="21">
        <f t="shared" si="20"/>
        <v>1</v>
      </c>
      <c r="L111" s="635"/>
      <c r="M111" s="21">
        <f t="shared" si="21"/>
        <v>1</v>
      </c>
      <c r="N111" s="635"/>
      <c r="O111" s="21">
        <f t="shared" si="22"/>
        <v>1</v>
      </c>
      <c r="P111" s="635"/>
      <c r="Q111" s="21">
        <f t="shared" si="23"/>
        <v>1</v>
      </c>
      <c r="R111" s="21">
        <f t="shared" ca="1" si="24"/>
        <v>25634</v>
      </c>
      <c r="S111" s="308">
        <f t="shared" ca="1" si="15"/>
        <v>61</v>
      </c>
    </row>
    <row r="112" spans="1:19">
      <c r="A112" s="633" t="str">
        <f>'12.23面积'!M122</f>
        <v>2-119</v>
      </c>
      <c r="B112" s="633">
        <f>'12.23面积'!N122</f>
        <v>49.72</v>
      </c>
      <c r="C112" s="21">
        <f t="shared" si="16"/>
        <v>1</v>
      </c>
      <c r="D112" s="635"/>
      <c r="E112" s="21">
        <f t="shared" si="17"/>
        <v>1</v>
      </c>
      <c r="F112" s="635"/>
      <c r="G112" s="21">
        <f t="shared" si="18"/>
        <v>1</v>
      </c>
      <c r="H112" s="635"/>
      <c r="I112" s="21">
        <f t="shared" si="19"/>
        <v>1</v>
      </c>
      <c r="J112" s="635"/>
      <c r="K112" s="21">
        <f t="shared" si="20"/>
        <v>1</v>
      </c>
      <c r="L112" s="635"/>
      <c r="M112" s="21">
        <f t="shared" si="21"/>
        <v>1</v>
      </c>
      <c r="N112" s="635"/>
      <c r="O112" s="21">
        <f t="shared" si="22"/>
        <v>1</v>
      </c>
      <c r="P112" s="635"/>
      <c r="Q112" s="21">
        <f t="shared" si="23"/>
        <v>1</v>
      </c>
      <c r="R112" s="21">
        <f t="shared" ca="1" si="24"/>
        <v>25380</v>
      </c>
      <c r="S112" s="308">
        <f t="shared" ca="1" si="15"/>
        <v>126</v>
      </c>
    </row>
    <row r="113" spans="1:19">
      <c r="A113" s="633" t="str">
        <f>'12.23面积'!M123</f>
        <v>2-120</v>
      </c>
      <c r="B113" s="633">
        <f>'12.23面积'!N123</f>
        <v>48.09</v>
      </c>
      <c r="C113" s="21">
        <f t="shared" si="16"/>
        <v>1</v>
      </c>
      <c r="D113" s="635"/>
      <c r="E113" s="21">
        <f t="shared" si="17"/>
        <v>1</v>
      </c>
      <c r="F113" s="635"/>
      <c r="G113" s="21">
        <f t="shared" si="18"/>
        <v>1</v>
      </c>
      <c r="H113" s="635"/>
      <c r="I113" s="21">
        <f t="shared" si="19"/>
        <v>1</v>
      </c>
      <c r="J113" s="635"/>
      <c r="K113" s="21">
        <f t="shared" si="20"/>
        <v>1</v>
      </c>
      <c r="L113" s="635"/>
      <c r="M113" s="21">
        <f t="shared" si="21"/>
        <v>1</v>
      </c>
      <c r="N113" s="635"/>
      <c r="O113" s="21">
        <f t="shared" si="22"/>
        <v>1</v>
      </c>
      <c r="P113" s="635"/>
      <c r="Q113" s="21">
        <f t="shared" si="23"/>
        <v>1</v>
      </c>
      <c r="R113" s="21">
        <f t="shared" ca="1" si="24"/>
        <v>25380</v>
      </c>
      <c r="S113" s="308">
        <f t="shared" ca="1" si="15"/>
        <v>122</v>
      </c>
    </row>
    <row r="114" spans="1:19">
      <c r="A114" s="633" t="str">
        <f>'12.23面积'!M124</f>
        <v>2-121</v>
      </c>
      <c r="B114" s="633">
        <f>'12.23面积'!N124</f>
        <v>22.84</v>
      </c>
      <c r="C114" s="21">
        <f t="shared" si="16"/>
        <v>1.01</v>
      </c>
      <c r="D114" s="635"/>
      <c r="E114" s="21">
        <f t="shared" si="17"/>
        <v>1</v>
      </c>
      <c r="F114" s="635"/>
      <c r="G114" s="21">
        <f t="shared" si="18"/>
        <v>1</v>
      </c>
      <c r="H114" s="635"/>
      <c r="I114" s="21">
        <f t="shared" si="19"/>
        <v>1</v>
      </c>
      <c r="J114" s="635"/>
      <c r="K114" s="21">
        <f t="shared" si="20"/>
        <v>1</v>
      </c>
      <c r="L114" s="635"/>
      <c r="M114" s="21">
        <f t="shared" si="21"/>
        <v>1</v>
      </c>
      <c r="N114" s="635"/>
      <c r="O114" s="21">
        <f t="shared" si="22"/>
        <v>1</v>
      </c>
      <c r="P114" s="635"/>
      <c r="Q114" s="21">
        <f t="shared" si="23"/>
        <v>1</v>
      </c>
      <c r="R114" s="21">
        <f t="shared" ca="1" si="24"/>
        <v>25634</v>
      </c>
      <c r="S114" s="308">
        <f t="shared" ca="1" si="15"/>
        <v>59</v>
      </c>
    </row>
    <row r="115" spans="1:19">
      <c r="A115" s="633" t="str">
        <f>'12.23面积'!M125</f>
        <v>2-122</v>
      </c>
      <c r="B115" s="633">
        <f>'12.23面积'!N125</f>
        <v>28.04</v>
      </c>
      <c r="C115" s="21">
        <f t="shared" si="16"/>
        <v>1.01</v>
      </c>
      <c r="D115" s="635"/>
      <c r="E115" s="21">
        <f t="shared" si="17"/>
        <v>1</v>
      </c>
      <c r="F115" s="635"/>
      <c r="G115" s="21">
        <f t="shared" si="18"/>
        <v>1</v>
      </c>
      <c r="H115" s="635"/>
      <c r="I115" s="21">
        <f t="shared" si="19"/>
        <v>1</v>
      </c>
      <c r="J115" s="635"/>
      <c r="K115" s="21">
        <f t="shared" si="20"/>
        <v>1</v>
      </c>
      <c r="L115" s="635"/>
      <c r="M115" s="21">
        <f t="shared" si="21"/>
        <v>1</v>
      </c>
      <c r="N115" s="635"/>
      <c r="O115" s="21">
        <f t="shared" si="22"/>
        <v>1</v>
      </c>
      <c r="P115" s="635"/>
      <c r="Q115" s="21">
        <f t="shared" si="23"/>
        <v>1</v>
      </c>
      <c r="R115" s="21">
        <f t="shared" ca="1" si="24"/>
        <v>25634</v>
      </c>
      <c r="S115" s="308">
        <f t="shared" ca="1" si="15"/>
        <v>72</v>
      </c>
    </row>
    <row r="116" spans="1:19">
      <c r="A116" s="633" t="str">
        <f>'12.23面积'!M126</f>
        <v>2-123</v>
      </c>
      <c r="B116" s="633">
        <f>'12.23面积'!N126</f>
        <v>27.64</v>
      </c>
      <c r="C116" s="21">
        <f t="shared" si="16"/>
        <v>1.01</v>
      </c>
      <c r="D116" s="635"/>
      <c r="E116" s="21">
        <f t="shared" si="17"/>
        <v>1</v>
      </c>
      <c r="F116" s="635"/>
      <c r="G116" s="21">
        <f t="shared" si="18"/>
        <v>1</v>
      </c>
      <c r="H116" s="635"/>
      <c r="I116" s="21">
        <f t="shared" si="19"/>
        <v>1</v>
      </c>
      <c r="J116" s="635"/>
      <c r="K116" s="21">
        <f t="shared" si="20"/>
        <v>1</v>
      </c>
      <c r="L116" s="635"/>
      <c r="M116" s="21">
        <f t="shared" si="21"/>
        <v>1</v>
      </c>
      <c r="N116" s="635"/>
      <c r="O116" s="21">
        <f t="shared" si="22"/>
        <v>1</v>
      </c>
      <c r="P116" s="635"/>
      <c r="Q116" s="21">
        <f t="shared" si="23"/>
        <v>1</v>
      </c>
      <c r="R116" s="21">
        <f t="shared" ca="1" si="24"/>
        <v>25634</v>
      </c>
      <c r="S116" s="308">
        <f t="shared" ca="1" si="15"/>
        <v>71</v>
      </c>
    </row>
    <row r="117" spans="1:19">
      <c r="A117" s="633" t="str">
        <f>'12.23面积'!M127</f>
        <v>2-124</v>
      </c>
      <c r="B117" s="633">
        <f>'12.23面积'!N127</f>
        <v>19.170000000000002</v>
      </c>
      <c r="C117" s="21">
        <f t="shared" si="16"/>
        <v>1.01</v>
      </c>
      <c r="D117" s="635"/>
      <c r="E117" s="21">
        <f t="shared" si="17"/>
        <v>1</v>
      </c>
      <c r="F117" s="635"/>
      <c r="G117" s="21">
        <f t="shared" si="18"/>
        <v>1</v>
      </c>
      <c r="H117" s="635"/>
      <c r="I117" s="21">
        <f t="shared" si="19"/>
        <v>1</v>
      </c>
      <c r="J117" s="635"/>
      <c r="K117" s="21">
        <f t="shared" si="20"/>
        <v>1</v>
      </c>
      <c r="L117" s="635"/>
      <c r="M117" s="21">
        <f t="shared" si="21"/>
        <v>1</v>
      </c>
      <c r="N117" s="635"/>
      <c r="O117" s="21">
        <f t="shared" si="22"/>
        <v>1</v>
      </c>
      <c r="P117" s="635"/>
      <c r="Q117" s="21">
        <f t="shared" si="23"/>
        <v>1</v>
      </c>
      <c r="R117" s="21">
        <f t="shared" ca="1" si="24"/>
        <v>25634</v>
      </c>
      <c r="S117" s="308">
        <f t="shared" ca="1" si="15"/>
        <v>49</v>
      </c>
    </row>
    <row r="118" spans="1:19">
      <c r="A118" s="633" t="str">
        <f>'12.23面积'!M128</f>
        <v>2-125</v>
      </c>
      <c r="B118" s="633">
        <f>'12.23面积'!N128</f>
        <v>19.170000000000002</v>
      </c>
      <c r="C118" s="21">
        <f t="shared" si="16"/>
        <v>1.01</v>
      </c>
      <c r="D118" s="635"/>
      <c r="E118" s="21">
        <f t="shared" si="17"/>
        <v>1</v>
      </c>
      <c r="F118" s="635"/>
      <c r="G118" s="21">
        <f t="shared" si="18"/>
        <v>1</v>
      </c>
      <c r="H118" s="635"/>
      <c r="I118" s="21">
        <f t="shared" si="19"/>
        <v>1</v>
      </c>
      <c r="J118" s="635"/>
      <c r="K118" s="21">
        <f t="shared" si="20"/>
        <v>1</v>
      </c>
      <c r="L118" s="635"/>
      <c r="M118" s="21">
        <f t="shared" si="21"/>
        <v>1</v>
      </c>
      <c r="N118" s="635"/>
      <c r="O118" s="21">
        <f t="shared" si="22"/>
        <v>1</v>
      </c>
      <c r="P118" s="635"/>
      <c r="Q118" s="21">
        <f t="shared" si="23"/>
        <v>1</v>
      </c>
      <c r="R118" s="21">
        <f t="shared" ca="1" si="24"/>
        <v>25634</v>
      </c>
      <c r="S118" s="308">
        <f t="shared" ca="1" si="15"/>
        <v>49</v>
      </c>
    </row>
    <row r="119" spans="1:19">
      <c r="A119" s="633" t="str">
        <f>'12.23面积'!M129</f>
        <v>2-126</v>
      </c>
      <c r="B119" s="633">
        <f>'12.23面积'!N129</f>
        <v>27.82</v>
      </c>
      <c r="C119" s="21">
        <f t="shared" si="16"/>
        <v>1.01</v>
      </c>
      <c r="D119" s="635"/>
      <c r="E119" s="21">
        <f t="shared" si="17"/>
        <v>1</v>
      </c>
      <c r="F119" s="635"/>
      <c r="G119" s="21">
        <f t="shared" si="18"/>
        <v>1</v>
      </c>
      <c r="H119" s="635"/>
      <c r="I119" s="21">
        <f t="shared" si="19"/>
        <v>1</v>
      </c>
      <c r="J119" s="635"/>
      <c r="K119" s="21">
        <f t="shared" si="20"/>
        <v>1</v>
      </c>
      <c r="L119" s="635"/>
      <c r="M119" s="21">
        <f t="shared" si="21"/>
        <v>1</v>
      </c>
      <c r="N119" s="635"/>
      <c r="O119" s="21">
        <f t="shared" si="22"/>
        <v>1</v>
      </c>
      <c r="P119" s="635"/>
      <c r="Q119" s="21">
        <f t="shared" si="23"/>
        <v>1</v>
      </c>
      <c r="R119" s="21">
        <f t="shared" ca="1" si="24"/>
        <v>25634</v>
      </c>
      <c r="S119" s="308">
        <f t="shared" ca="1" si="15"/>
        <v>71</v>
      </c>
    </row>
    <row r="120" spans="1:19">
      <c r="A120" s="633" t="str">
        <f>'12.23面积'!M130</f>
        <v>2-127</v>
      </c>
      <c r="B120" s="633">
        <f>'12.23面积'!N130</f>
        <v>27.64</v>
      </c>
      <c r="C120" s="21">
        <f t="shared" si="16"/>
        <v>1.01</v>
      </c>
      <c r="D120" s="635"/>
      <c r="E120" s="21">
        <f t="shared" si="17"/>
        <v>1</v>
      </c>
      <c r="F120" s="635"/>
      <c r="G120" s="21">
        <f t="shared" si="18"/>
        <v>1</v>
      </c>
      <c r="H120" s="635"/>
      <c r="I120" s="21">
        <f t="shared" si="19"/>
        <v>1</v>
      </c>
      <c r="J120" s="635"/>
      <c r="K120" s="21">
        <f t="shared" si="20"/>
        <v>1</v>
      </c>
      <c r="L120" s="635"/>
      <c r="M120" s="21">
        <f t="shared" si="21"/>
        <v>1</v>
      </c>
      <c r="N120" s="635"/>
      <c r="O120" s="21">
        <f t="shared" si="22"/>
        <v>1</v>
      </c>
      <c r="P120" s="635"/>
      <c r="Q120" s="21">
        <f t="shared" si="23"/>
        <v>1</v>
      </c>
      <c r="R120" s="21">
        <f t="shared" ca="1" si="24"/>
        <v>25634</v>
      </c>
      <c r="S120" s="308">
        <f t="shared" ca="1" si="15"/>
        <v>71</v>
      </c>
    </row>
    <row r="121" spans="1:19">
      <c r="A121" s="633" t="str">
        <f>'12.23面积'!M131</f>
        <v>2-128</v>
      </c>
      <c r="B121" s="633">
        <f>'12.23面积'!N131</f>
        <v>19.809999999999999</v>
      </c>
      <c r="C121" s="21">
        <f t="shared" si="16"/>
        <v>1.01</v>
      </c>
      <c r="D121" s="635"/>
      <c r="E121" s="21">
        <f t="shared" si="17"/>
        <v>1</v>
      </c>
      <c r="F121" s="635"/>
      <c r="G121" s="21">
        <f t="shared" si="18"/>
        <v>1</v>
      </c>
      <c r="H121" s="635"/>
      <c r="I121" s="21">
        <f t="shared" si="19"/>
        <v>1</v>
      </c>
      <c r="J121" s="635"/>
      <c r="K121" s="21">
        <f t="shared" si="20"/>
        <v>1</v>
      </c>
      <c r="L121" s="635"/>
      <c r="M121" s="21">
        <f t="shared" si="21"/>
        <v>1</v>
      </c>
      <c r="N121" s="635"/>
      <c r="O121" s="21">
        <f t="shared" si="22"/>
        <v>1</v>
      </c>
      <c r="P121" s="635"/>
      <c r="Q121" s="21">
        <f t="shared" si="23"/>
        <v>1</v>
      </c>
      <c r="R121" s="21">
        <f t="shared" ca="1" si="24"/>
        <v>25634</v>
      </c>
      <c r="S121" s="308">
        <f t="shared" ca="1" si="15"/>
        <v>51</v>
      </c>
    </row>
    <row r="122" spans="1:19">
      <c r="A122" s="633" t="str">
        <f>'12.23面积'!M132</f>
        <v>2-129</v>
      </c>
      <c r="B122" s="633">
        <f>'12.23面积'!N132</f>
        <v>19.809999999999999</v>
      </c>
      <c r="C122" s="21">
        <f t="shared" si="16"/>
        <v>1.01</v>
      </c>
      <c r="D122" s="635"/>
      <c r="E122" s="21">
        <f t="shared" si="17"/>
        <v>1</v>
      </c>
      <c r="F122" s="635"/>
      <c r="G122" s="21">
        <f t="shared" si="18"/>
        <v>1</v>
      </c>
      <c r="H122" s="635"/>
      <c r="I122" s="21">
        <f t="shared" si="19"/>
        <v>1</v>
      </c>
      <c r="J122" s="635"/>
      <c r="K122" s="21">
        <f t="shared" si="20"/>
        <v>1</v>
      </c>
      <c r="L122" s="635"/>
      <c r="M122" s="21">
        <f t="shared" si="21"/>
        <v>1</v>
      </c>
      <c r="N122" s="635"/>
      <c r="O122" s="21">
        <f t="shared" si="22"/>
        <v>1</v>
      </c>
      <c r="P122" s="635"/>
      <c r="Q122" s="21">
        <f t="shared" si="23"/>
        <v>1</v>
      </c>
      <c r="R122" s="21">
        <f t="shared" ca="1" si="24"/>
        <v>25634</v>
      </c>
      <c r="S122" s="308">
        <f t="shared" ca="1" si="15"/>
        <v>51</v>
      </c>
    </row>
    <row r="123" spans="1:19">
      <c r="A123" s="633" t="str">
        <f>'12.23面积'!M133</f>
        <v>2-130</v>
      </c>
      <c r="B123" s="633">
        <f>'12.23面积'!N133</f>
        <v>27.64</v>
      </c>
      <c r="C123" s="21">
        <f t="shared" si="16"/>
        <v>1.01</v>
      </c>
      <c r="D123" s="635"/>
      <c r="E123" s="21">
        <f t="shared" si="17"/>
        <v>1</v>
      </c>
      <c r="F123" s="635"/>
      <c r="G123" s="21">
        <f t="shared" si="18"/>
        <v>1</v>
      </c>
      <c r="H123" s="635"/>
      <c r="I123" s="21">
        <f t="shared" si="19"/>
        <v>1</v>
      </c>
      <c r="J123" s="635"/>
      <c r="K123" s="21">
        <f t="shared" si="20"/>
        <v>1</v>
      </c>
      <c r="L123" s="635"/>
      <c r="M123" s="21">
        <f t="shared" si="21"/>
        <v>1</v>
      </c>
      <c r="N123" s="635"/>
      <c r="O123" s="21">
        <f t="shared" si="22"/>
        <v>1</v>
      </c>
      <c r="P123" s="635"/>
      <c r="Q123" s="21">
        <f t="shared" si="23"/>
        <v>1</v>
      </c>
      <c r="R123" s="21">
        <f t="shared" ca="1" si="24"/>
        <v>25634</v>
      </c>
      <c r="S123" s="308">
        <f t="shared" ca="1" si="15"/>
        <v>71</v>
      </c>
    </row>
    <row r="124" spans="1:19">
      <c r="A124" s="633" t="str">
        <f>'12.23面积'!M134</f>
        <v>2-202</v>
      </c>
      <c r="B124" s="633">
        <f>'12.23面积'!N134</f>
        <v>16.38</v>
      </c>
      <c r="C124" s="21">
        <f t="shared" si="16"/>
        <v>1.01</v>
      </c>
      <c r="D124" s="635"/>
      <c r="E124" s="21">
        <f t="shared" si="17"/>
        <v>1</v>
      </c>
      <c r="F124" s="635"/>
      <c r="G124" s="21">
        <f t="shared" si="18"/>
        <v>1</v>
      </c>
      <c r="H124" s="635"/>
      <c r="I124" s="21">
        <f t="shared" si="19"/>
        <v>1</v>
      </c>
      <c r="J124" s="635"/>
      <c r="K124" s="21">
        <f t="shared" si="20"/>
        <v>1</v>
      </c>
      <c r="L124" s="635"/>
      <c r="M124" s="21">
        <f t="shared" si="21"/>
        <v>1</v>
      </c>
      <c r="N124" s="635"/>
      <c r="O124" s="21">
        <f t="shared" si="22"/>
        <v>1</v>
      </c>
      <c r="P124" s="635"/>
      <c r="Q124" s="21">
        <f t="shared" si="23"/>
        <v>1</v>
      </c>
      <c r="R124" s="21">
        <f t="shared" ca="1" si="24"/>
        <v>25634</v>
      </c>
      <c r="S124" s="308">
        <f t="shared" ca="1" si="15"/>
        <v>42</v>
      </c>
    </row>
    <row r="125" spans="1:19">
      <c r="A125" s="633" t="str">
        <f>'12.23面积'!M135</f>
        <v>2-204</v>
      </c>
      <c r="B125" s="633">
        <f>'12.23面积'!N135</f>
        <v>16.38</v>
      </c>
      <c r="C125" s="21">
        <f t="shared" si="16"/>
        <v>1.01</v>
      </c>
      <c r="D125" s="635"/>
      <c r="E125" s="21">
        <f t="shared" si="17"/>
        <v>1</v>
      </c>
      <c r="F125" s="635"/>
      <c r="G125" s="21">
        <f t="shared" si="18"/>
        <v>1</v>
      </c>
      <c r="H125" s="635"/>
      <c r="I125" s="21">
        <f t="shared" si="19"/>
        <v>1</v>
      </c>
      <c r="J125" s="635"/>
      <c r="K125" s="21">
        <f t="shared" si="20"/>
        <v>1</v>
      </c>
      <c r="L125" s="635"/>
      <c r="M125" s="21">
        <f t="shared" si="21"/>
        <v>1</v>
      </c>
      <c r="N125" s="635"/>
      <c r="O125" s="21">
        <f t="shared" si="22"/>
        <v>1</v>
      </c>
      <c r="P125" s="635"/>
      <c r="Q125" s="21">
        <f t="shared" si="23"/>
        <v>1</v>
      </c>
      <c r="R125" s="21">
        <f t="shared" ca="1" si="24"/>
        <v>25634</v>
      </c>
      <c r="S125" s="308">
        <f t="shared" ca="1" si="15"/>
        <v>42</v>
      </c>
    </row>
    <row r="126" spans="1:19">
      <c r="A126" s="633" t="str">
        <f>'12.23面积'!M136</f>
        <v>2-205</v>
      </c>
      <c r="B126" s="633">
        <f>'12.23面积'!N136</f>
        <v>16.38</v>
      </c>
      <c r="C126" s="21">
        <f t="shared" si="16"/>
        <v>1.01</v>
      </c>
      <c r="D126" s="635"/>
      <c r="E126" s="21">
        <f t="shared" si="17"/>
        <v>1</v>
      </c>
      <c r="F126" s="635"/>
      <c r="G126" s="21">
        <f t="shared" si="18"/>
        <v>1</v>
      </c>
      <c r="H126" s="635"/>
      <c r="I126" s="21">
        <f t="shared" si="19"/>
        <v>1</v>
      </c>
      <c r="J126" s="635"/>
      <c r="K126" s="21">
        <f t="shared" si="20"/>
        <v>1</v>
      </c>
      <c r="L126" s="635"/>
      <c r="M126" s="21">
        <f t="shared" si="21"/>
        <v>1</v>
      </c>
      <c r="N126" s="635"/>
      <c r="O126" s="21">
        <f t="shared" si="22"/>
        <v>1</v>
      </c>
      <c r="P126" s="635"/>
      <c r="Q126" s="21">
        <f t="shared" si="23"/>
        <v>1</v>
      </c>
      <c r="R126" s="21">
        <f t="shared" ca="1" si="24"/>
        <v>25634</v>
      </c>
      <c r="S126" s="308">
        <f t="shared" ca="1" si="15"/>
        <v>42</v>
      </c>
    </row>
    <row r="127" spans="1:19">
      <c r="A127" s="633" t="str">
        <f>'12.23面积'!M137</f>
        <v>2-206</v>
      </c>
      <c r="B127" s="633">
        <f>'12.23面积'!N137</f>
        <v>17.059999999999999</v>
      </c>
      <c r="C127" s="21">
        <f t="shared" si="16"/>
        <v>1.01</v>
      </c>
      <c r="D127" s="635"/>
      <c r="E127" s="21">
        <f t="shared" si="17"/>
        <v>1</v>
      </c>
      <c r="F127" s="635"/>
      <c r="G127" s="21">
        <f t="shared" si="18"/>
        <v>1</v>
      </c>
      <c r="H127" s="635"/>
      <c r="I127" s="21">
        <f t="shared" si="19"/>
        <v>1</v>
      </c>
      <c r="J127" s="635"/>
      <c r="K127" s="21">
        <f t="shared" si="20"/>
        <v>1</v>
      </c>
      <c r="L127" s="635"/>
      <c r="M127" s="21">
        <f t="shared" si="21"/>
        <v>1</v>
      </c>
      <c r="N127" s="635"/>
      <c r="O127" s="21">
        <f t="shared" si="22"/>
        <v>1</v>
      </c>
      <c r="P127" s="635"/>
      <c r="Q127" s="21">
        <f t="shared" si="23"/>
        <v>1</v>
      </c>
      <c r="R127" s="21">
        <f t="shared" ca="1" si="24"/>
        <v>25634</v>
      </c>
      <c r="S127" s="308">
        <f t="shared" ca="1" si="15"/>
        <v>44</v>
      </c>
    </row>
    <row r="128" spans="1:19">
      <c r="A128" s="633" t="str">
        <f>'12.23面积'!M138</f>
        <v>5-109</v>
      </c>
      <c r="B128" s="633">
        <f>'12.23面积'!N138</f>
        <v>41.46</v>
      </c>
      <c r="C128" s="21">
        <f t="shared" si="16"/>
        <v>1</v>
      </c>
      <c r="D128" s="635"/>
      <c r="E128" s="21">
        <f t="shared" si="17"/>
        <v>1</v>
      </c>
      <c r="F128" s="635"/>
      <c r="G128" s="21">
        <f t="shared" si="18"/>
        <v>1</v>
      </c>
      <c r="H128" s="635"/>
      <c r="I128" s="21">
        <f t="shared" si="19"/>
        <v>1</v>
      </c>
      <c r="J128" s="635"/>
      <c r="K128" s="21">
        <f t="shared" si="20"/>
        <v>1</v>
      </c>
      <c r="L128" s="635"/>
      <c r="M128" s="21">
        <f t="shared" si="21"/>
        <v>1</v>
      </c>
      <c r="N128" s="635"/>
      <c r="O128" s="21">
        <f t="shared" si="22"/>
        <v>1</v>
      </c>
      <c r="P128" s="635"/>
      <c r="Q128" s="21">
        <f t="shared" si="23"/>
        <v>1</v>
      </c>
      <c r="R128" s="21">
        <f t="shared" ca="1" si="24"/>
        <v>25380</v>
      </c>
      <c r="S128" s="308">
        <f t="shared" ca="1" si="15"/>
        <v>105</v>
      </c>
    </row>
    <row r="129" spans="1:19">
      <c r="A129" s="633" t="str">
        <f>'12.23面积'!M139</f>
        <v>5-110</v>
      </c>
      <c r="B129" s="633">
        <f>'12.23面积'!N139</f>
        <v>56.7</v>
      </c>
      <c r="C129" s="21">
        <f t="shared" si="16"/>
        <v>1</v>
      </c>
      <c r="D129" s="635"/>
      <c r="E129" s="21">
        <f t="shared" si="17"/>
        <v>1</v>
      </c>
      <c r="F129" s="635"/>
      <c r="G129" s="21">
        <f t="shared" si="18"/>
        <v>1</v>
      </c>
      <c r="H129" s="635"/>
      <c r="I129" s="21">
        <f t="shared" si="19"/>
        <v>1</v>
      </c>
      <c r="J129" s="635"/>
      <c r="K129" s="21">
        <f t="shared" si="20"/>
        <v>1</v>
      </c>
      <c r="L129" s="635"/>
      <c r="M129" s="21">
        <f t="shared" si="21"/>
        <v>1</v>
      </c>
      <c r="N129" s="635"/>
      <c r="O129" s="21">
        <f t="shared" si="22"/>
        <v>1</v>
      </c>
      <c r="P129" s="635"/>
      <c r="Q129" s="21">
        <f t="shared" si="23"/>
        <v>1</v>
      </c>
      <c r="R129" s="21">
        <f t="shared" ca="1" si="24"/>
        <v>25380</v>
      </c>
      <c r="S129" s="308">
        <f t="shared" ca="1" si="15"/>
        <v>144</v>
      </c>
    </row>
    <row r="130" spans="1:19">
      <c r="A130" s="633" t="str">
        <f>'12.23面积'!M140</f>
        <v>5-111</v>
      </c>
      <c r="B130" s="633">
        <f>'12.23面积'!N140</f>
        <v>23.66</v>
      </c>
      <c r="C130" s="21">
        <f t="shared" si="16"/>
        <v>1.01</v>
      </c>
      <c r="D130" s="635"/>
      <c r="E130" s="21">
        <f t="shared" si="17"/>
        <v>1</v>
      </c>
      <c r="F130" s="635"/>
      <c r="G130" s="21">
        <f t="shared" si="18"/>
        <v>1</v>
      </c>
      <c r="H130" s="635"/>
      <c r="I130" s="21">
        <f t="shared" si="19"/>
        <v>1</v>
      </c>
      <c r="J130" s="635"/>
      <c r="K130" s="21">
        <f t="shared" si="20"/>
        <v>1</v>
      </c>
      <c r="L130" s="635"/>
      <c r="M130" s="21">
        <f t="shared" si="21"/>
        <v>1</v>
      </c>
      <c r="N130" s="635"/>
      <c r="O130" s="21">
        <f t="shared" si="22"/>
        <v>1</v>
      </c>
      <c r="P130" s="635"/>
      <c r="Q130" s="21">
        <f t="shared" si="23"/>
        <v>1</v>
      </c>
      <c r="R130" s="21">
        <f t="shared" ca="1" si="24"/>
        <v>25634</v>
      </c>
      <c r="S130" s="308">
        <f t="shared" ca="1" si="15"/>
        <v>61</v>
      </c>
    </row>
    <row r="131" spans="1:19">
      <c r="A131" s="633" t="str">
        <f>'12.23面积'!M141</f>
        <v>5-123</v>
      </c>
      <c r="B131" s="633">
        <f>'12.23面积'!N141</f>
        <v>27.61</v>
      </c>
      <c r="C131" s="21">
        <f t="shared" si="16"/>
        <v>1.01</v>
      </c>
      <c r="D131" s="635"/>
      <c r="E131" s="21">
        <f t="shared" si="17"/>
        <v>1</v>
      </c>
      <c r="F131" s="635"/>
      <c r="G131" s="21">
        <f t="shared" si="18"/>
        <v>1</v>
      </c>
      <c r="H131" s="635"/>
      <c r="I131" s="21">
        <f t="shared" si="19"/>
        <v>1</v>
      </c>
      <c r="J131" s="635"/>
      <c r="K131" s="21">
        <f t="shared" si="20"/>
        <v>1</v>
      </c>
      <c r="L131" s="635"/>
      <c r="M131" s="21">
        <f t="shared" si="21"/>
        <v>1</v>
      </c>
      <c r="N131" s="635"/>
      <c r="O131" s="21">
        <f t="shared" si="22"/>
        <v>1</v>
      </c>
      <c r="P131" s="635"/>
      <c r="Q131" s="21">
        <f t="shared" si="23"/>
        <v>1</v>
      </c>
      <c r="R131" s="21">
        <f t="shared" ca="1" si="24"/>
        <v>25634</v>
      </c>
      <c r="S131" s="308">
        <f t="shared" ca="1" si="15"/>
        <v>71</v>
      </c>
    </row>
    <row r="132" spans="1:19">
      <c r="A132" s="633" t="str">
        <f>'12.23面积'!M142</f>
        <v>5-124</v>
      </c>
      <c r="B132" s="633">
        <f>'12.23面积'!N142</f>
        <v>19.149999999999999</v>
      </c>
      <c r="C132" s="21">
        <f t="shared" si="16"/>
        <v>1.01</v>
      </c>
      <c r="D132" s="635"/>
      <c r="E132" s="21">
        <f t="shared" si="17"/>
        <v>1</v>
      </c>
      <c r="F132" s="635"/>
      <c r="G132" s="21">
        <f t="shared" si="18"/>
        <v>1</v>
      </c>
      <c r="H132" s="635"/>
      <c r="I132" s="21">
        <f t="shared" si="19"/>
        <v>1</v>
      </c>
      <c r="J132" s="635"/>
      <c r="K132" s="21">
        <f t="shared" si="20"/>
        <v>1</v>
      </c>
      <c r="L132" s="635"/>
      <c r="M132" s="21">
        <f t="shared" si="21"/>
        <v>1</v>
      </c>
      <c r="N132" s="635"/>
      <c r="O132" s="21">
        <f t="shared" si="22"/>
        <v>1</v>
      </c>
      <c r="P132" s="635"/>
      <c r="Q132" s="21">
        <f t="shared" si="23"/>
        <v>1</v>
      </c>
      <c r="R132" s="21">
        <f t="shared" ca="1" si="24"/>
        <v>25634</v>
      </c>
      <c r="S132" s="308">
        <f t="shared" ca="1" si="15"/>
        <v>49</v>
      </c>
    </row>
    <row r="133" spans="1:19">
      <c r="A133" s="633" t="str">
        <f>'12.23面积'!M143</f>
        <v>5-125</v>
      </c>
      <c r="B133" s="633">
        <f>'12.23面积'!N143</f>
        <v>19.149999999999999</v>
      </c>
      <c r="C133" s="21">
        <f t="shared" si="16"/>
        <v>1.01</v>
      </c>
      <c r="D133" s="635"/>
      <c r="E133" s="21">
        <f t="shared" si="17"/>
        <v>1</v>
      </c>
      <c r="F133" s="635"/>
      <c r="G133" s="21">
        <f t="shared" si="18"/>
        <v>1</v>
      </c>
      <c r="H133" s="635"/>
      <c r="I133" s="21">
        <f t="shared" si="19"/>
        <v>1</v>
      </c>
      <c r="J133" s="635"/>
      <c r="K133" s="21">
        <f t="shared" si="20"/>
        <v>1</v>
      </c>
      <c r="L133" s="635"/>
      <c r="M133" s="21">
        <f t="shared" si="21"/>
        <v>1</v>
      </c>
      <c r="N133" s="635"/>
      <c r="O133" s="21">
        <f t="shared" si="22"/>
        <v>1</v>
      </c>
      <c r="P133" s="635"/>
      <c r="Q133" s="21">
        <f t="shared" si="23"/>
        <v>1</v>
      </c>
      <c r="R133" s="21">
        <f t="shared" ca="1" si="24"/>
        <v>25634</v>
      </c>
      <c r="S133" s="308">
        <f t="shared" ca="1" si="15"/>
        <v>49</v>
      </c>
    </row>
    <row r="134" spans="1:19">
      <c r="A134" s="633" t="str">
        <f>'12.23面积'!M144</f>
        <v>5-126</v>
      </c>
      <c r="B134" s="633">
        <f>'12.23面积'!N144</f>
        <v>27.79</v>
      </c>
      <c r="C134" s="21">
        <f t="shared" si="16"/>
        <v>1.01</v>
      </c>
      <c r="D134" s="635"/>
      <c r="E134" s="21">
        <f t="shared" si="17"/>
        <v>1</v>
      </c>
      <c r="F134" s="635"/>
      <c r="G134" s="21">
        <f t="shared" si="18"/>
        <v>1</v>
      </c>
      <c r="H134" s="635"/>
      <c r="I134" s="21">
        <f t="shared" si="19"/>
        <v>1</v>
      </c>
      <c r="J134" s="635"/>
      <c r="K134" s="21">
        <f t="shared" si="20"/>
        <v>1</v>
      </c>
      <c r="L134" s="635"/>
      <c r="M134" s="21">
        <f t="shared" si="21"/>
        <v>1</v>
      </c>
      <c r="N134" s="635"/>
      <c r="O134" s="21">
        <f t="shared" si="22"/>
        <v>1</v>
      </c>
      <c r="P134" s="635"/>
      <c r="Q134" s="21">
        <f t="shared" si="23"/>
        <v>1</v>
      </c>
      <c r="R134" s="21">
        <f t="shared" ca="1" si="24"/>
        <v>25634</v>
      </c>
      <c r="S134" s="308">
        <f t="shared" ca="1" si="15"/>
        <v>71</v>
      </c>
    </row>
    <row r="135" spans="1:19">
      <c r="A135" s="633" t="str">
        <f>'12.23面积'!M145</f>
        <v>5-127</v>
      </c>
      <c r="B135" s="633">
        <f>'12.23面积'!N145</f>
        <v>27.61</v>
      </c>
      <c r="C135" s="21">
        <f t="shared" si="16"/>
        <v>1.01</v>
      </c>
      <c r="D135" s="635"/>
      <c r="E135" s="21">
        <f t="shared" si="17"/>
        <v>1</v>
      </c>
      <c r="F135" s="635"/>
      <c r="G135" s="21">
        <f t="shared" si="18"/>
        <v>1</v>
      </c>
      <c r="H135" s="635"/>
      <c r="I135" s="21">
        <f t="shared" si="19"/>
        <v>1</v>
      </c>
      <c r="J135" s="635"/>
      <c r="K135" s="21">
        <f t="shared" si="20"/>
        <v>1</v>
      </c>
      <c r="L135" s="635"/>
      <c r="M135" s="21">
        <f t="shared" si="21"/>
        <v>1</v>
      </c>
      <c r="N135" s="635"/>
      <c r="O135" s="21">
        <f t="shared" si="22"/>
        <v>1</v>
      </c>
      <c r="P135" s="635"/>
      <c r="Q135" s="21">
        <f t="shared" si="23"/>
        <v>1</v>
      </c>
      <c r="R135" s="21">
        <f t="shared" ca="1" si="24"/>
        <v>25634</v>
      </c>
      <c r="S135" s="308">
        <f t="shared" ca="1" si="15"/>
        <v>71</v>
      </c>
    </row>
    <row r="136" spans="1:19">
      <c r="A136" s="633" t="str">
        <f>'12.23面积'!M146</f>
        <v>5-128</v>
      </c>
      <c r="B136" s="633">
        <f>'12.23面积'!N146</f>
        <v>19.79</v>
      </c>
      <c r="C136" s="21">
        <f t="shared" si="16"/>
        <v>1.01</v>
      </c>
      <c r="D136" s="635"/>
      <c r="E136" s="21">
        <f t="shared" si="17"/>
        <v>1</v>
      </c>
      <c r="F136" s="635"/>
      <c r="G136" s="21">
        <f t="shared" si="18"/>
        <v>1</v>
      </c>
      <c r="H136" s="635"/>
      <c r="I136" s="21">
        <f t="shared" si="19"/>
        <v>1</v>
      </c>
      <c r="J136" s="635"/>
      <c r="K136" s="21">
        <f t="shared" si="20"/>
        <v>1</v>
      </c>
      <c r="L136" s="635"/>
      <c r="M136" s="21">
        <f t="shared" si="21"/>
        <v>1</v>
      </c>
      <c r="N136" s="635"/>
      <c r="O136" s="21">
        <f t="shared" si="22"/>
        <v>1</v>
      </c>
      <c r="P136" s="635"/>
      <c r="Q136" s="21">
        <f t="shared" si="23"/>
        <v>1</v>
      </c>
      <c r="R136" s="21">
        <f t="shared" ca="1" si="24"/>
        <v>25634</v>
      </c>
      <c r="S136" s="308">
        <f t="shared" ca="1" si="15"/>
        <v>51</v>
      </c>
    </row>
    <row r="137" spans="1:19">
      <c r="A137" s="633" t="str">
        <f>'12.23面积'!M147</f>
        <v>5-130</v>
      </c>
      <c r="B137" s="633">
        <f>'12.23面积'!N147</f>
        <v>27.61</v>
      </c>
      <c r="C137" s="21">
        <f t="shared" si="16"/>
        <v>1.01</v>
      </c>
      <c r="D137" s="635"/>
      <c r="E137" s="21">
        <f t="shared" si="17"/>
        <v>1</v>
      </c>
      <c r="F137" s="635"/>
      <c r="G137" s="21">
        <f t="shared" si="18"/>
        <v>1</v>
      </c>
      <c r="H137" s="635"/>
      <c r="I137" s="21">
        <f t="shared" si="19"/>
        <v>1</v>
      </c>
      <c r="J137" s="635"/>
      <c r="K137" s="21">
        <f t="shared" si="20"/>
        <v>1</v>
      </c>
      <c r="L137" s="635"/>
      <c r="M137" s="21">
        <f t="shared" si="21"/>
        <v>1</v>
      </c>
      <c r="N137" s="635"/>
      <c r="O137" s="21">
        <f t="shared" si="22"/>
        <v>1</v>
      </c>
      <c r="P137" s="635"/>
      <c r="Q137" s="21">
        <f t="shared" si="23"/>
        <v>1</v>
      </c>
      <c r="R137" s="21">
        <f t="shared" ca="1" si="24"/>
        <v>25634</v>
      </c>
      <c r="S137" s="308">
        <f t="shared" ca="1" si="15"/>
        <v>71</v>
      </c>
    </row>
    <row r="138" spans="1:19">
      <c r="A138" s="633" t="str">
        <f>'12.23面积'!M148</f>
        <v>5-203</v>
      </c>
      <c r="B138" s="633">
        <f>'12.23面积'!N148</f>
        <v>12.41</v>
      </c>
      <c r="C138" s="21">
        <f t="shared" si="16"/>
        <v>1.01</v>
      </c>
      <c r="D138" s="635"/>
      <c r="E138" s="21">
        <f t="shared" si="17"/>
        <v>1</v>
      </c>
      <c r="F138" s="635"/>
      <c r="G138" s="21">
        <f t="shared" si="18"/>
        <v>1</v>
      </c>
      <c r="H138" s="635"/>
      <c r="I138" s="21">
        <f t="shared" si="19"/>
        <v>1</v>
      </c>
      <c r="J138" s="635"/>
      <c r="K138" s="21">
        <f t="shared" si="20"/>
        <v>1</v>
      </c>
      <c r="L138" s="635"/>
      <c r="M138" s="21">
        <f t="shared" si="21"/>
        <v>1</v>
      </c>
      <c r="N138" s="635"/>
      <c r="O138" s="21">
        <f t="shared" si="22"/>
        <v>1</v>
      </c>
      <c r="P138" s="635"/>
      <c r="Q138" s="21">
        <f t="shared" si="23"/>
        <v>1</v>
      </c>
      <c r="R138" s="21">
        <f t="shared" ca="1" si="24"/>
        <v>25634</v>
      </c>
      <c r="S138" s="308">
        <f t="shared" ca="1" si="15"/>
        <v>32</v>
      </c>
    </row>
    <row r="139" spans="1:19">
      <c r="A139" s="633" t="str">
        <f>'12.23面积'!M149</f>
        <v>4-101</v>
      </c>
      <c r="B139" s="633">
        <f>'12.23面积'!N149</f>
        <v>31.03</v>
      </c>
      <c r="C139" s="21">
        <f t="shared" si="16"/>
        <v>1</v>
      </c>
      <c r="D139" s="635"/>
      <c r="E139" s="21">
        <f t="shared" si="17"/>
        <v>1</v>
      </c>
      <c r="F139" s="635"/>
      <c r="G139" s="21">
        <f t="shared" si="18"/>
        <v>1</v>
      </c>
      <c r="H139" s="635"/>
      <c r="I139" s="21">
        <f t="shared" si="19"/>
        <v>1</v>
      </c>
      <c r="J139" s="635"/>
      <c r="K139" s="21">
        <f t="shared" si="20"/>
        <v>1</v>
      </c>
      <c r="L139" s="635"/>
      <c r="M139" s="21">
        <f t="shared" si="21"/>
        <v>1</v>
      </c>
      <c r="N139" s="635"/>
      <c r="O139" s="21">
        <f t="shared" si="22"/>
        <v>1</v>
      </c>
      <c r="P139" s="635"/>
      <c r="Q139" s="21">
        <f t="shared" si="23"/>
        <v>1</v>
      </c>
      <c r="R139" s="21">
        <f t="shared" ca="1" si="24"/>
        <v>25380</v>
      </c>
      <c r="S139" s="308">
        <f t="shared" ca="1" si="15"/>
        <v>79</v>
      </c>
    </row>
    <row r="140" spans="1:19">
      <c r="A140" s="633" t="str">
        <f>'12.23面积'!M150</f>
        <v>4-102</v>
      </c>
      <c r="B140" s="633">
        <f>'12.23面积'!N150</f>
        <v>16.09</v>
      </c>
      <c r="C140" s="21">
        <f t="shared" si="16"/>
        <v>1.01</v>
      </c>
      <c r="D140" s="635"/>
      <c r="E140" s="21">
        <f t="shared" si="17"/>
        <v>1</v>
      </c>
      <c r="F140" s="635"/>
      <c r="G140" s="21">
        <f t="shared" si="18"/>
        <v>1</v>
      </c>
      <c r="H140" s="635"/>
      <c r="I140" s="21">
        <f t="shared" si="19"/>
        <v>1</v>
      </c>
      <c r="J140" s="635"/>
      <c r="K140" s="21">
        <f t="shared" si="20"/>
        <v>1</v>
      </c>
      <c r="L140" s="635"/>
      <c r="M140" s="21">
        <f t="shared" si="21"/>
        <v>1</v>
      </c>
      <c r="N140" s="635"/>
      <c r="O140" s="21">
        <f t="shared" si="22"/>
        <v>1</v>
      </c>
      <c r="P140" s="635"/>
      <c r="Q140" s="21">
        <f t="shared" si="23"/>
        <v>1</v>
      </c>
      <c r="R140" s="21">
        <f t="shared" ca="1" si="24"/>
        <v>25634</v>
      </c>
      <c r="S140" s="308">
        <f t="shared" ca="1" si="15"/>
        <v>41</v>
      </c>
    </row>
    <row r="141" spans="1:19">
      <c r="A141" s="633" t="str">
        <f>'12.23面积'!M151</f>
        <v>4-103</v>
      </c>
      <c r="B141" s="633">
        <f>'12.23面积'!N151</f>
        <v>46.55</v>
      </c>
      <c r="C141" s="21">
        <f t="shared" si="16"/>
        <v>1</v>
      </c>
      <c r="D141" s="635"/>
      <c r="E141" s="21">
        <f t="shared" si="17"/>
        <v>1</v>
      </c>
      <c r="F141" s="635"/>
      <c r="G141" s="21">
        <f t="shared" si="18"/>
        <v>1</v>
      </c>
      <c r="H141" s="635"/>
      <c r="I141" s="21">
        <f t="shared" si="19"/>
        <v>1</v>
      </c>
      <c r="J141" s="635"/>
      <c r="K141" s="21">
        <f t="shared" si="20"/>
        <v>1</v>
      </c>
      <c r="L141" s="635"/>
      <c r="M141" s="21">
        <f t="shared" si="21"/>
        <v>1</v>
      </c>
      <c r="N141" s="635"/>
      <c r="O141" s="21">
        <f t="shared" si="22"/>
        <v>1</v>
      </c>
      <c r="P141" s="635"/>
      <c r="Q141" s="21">
        <f t="shared" si="23"/>
        <v>1</v>
      </c>
      <c r="R141" s="21">
        <f t="shared" ca="1" si="24"/>
        <v>25380</v>
      </c>
      <c r="S141" s="308">
        <f t="shared" ca="1" si="15"/>
        <v>118</v>
      </c>
    </row>
    <row r="142" spans="1:19">
      <c r="A142" s="633" t="str">
        <f>'12.23面积'!M152</f>
        <v>4-104</v>
      </c>
      <c r="B142" s="633">
        <f>'12.23面积'!N152</f>
        <v>53.78</v>
      </c>
      <c r="C142" s="21">
        <f t="shared" si="16"/>
        <v>1</v>
      </c>
      <c r="D142" s="635"/>
      <c r="E142" s="21">
        <f t="shared" si="17"/>
        <v>1</v>
      </c>
      <c r="F142" s="635"/>
      <c r="G142" s="21">
        <f t="shared" si="18"/>
        <v>1</v>
      </c>
      <c r="H142" s="635"/>
      <c r="I142" s="21">
        <f t="shared" si="19"/>
        <v>1</v>
      </c>
      <c r="J142" s="635"/>
      <c r="K142" s="21">
        <f t="shared" si="20"/>
        <v>1</v>
      </c>
      <c r="L142" s="635"/>
      <c r="M142" s="21">
        <f t="shared" si="21"/>
        <v>1</v>
      </c>
      <c r="N142" s="635"/>
      <c r="O142" s="21">
        <f t="shared" si="22"/>
        <v>1</v>
      </c>
      <c r="P142" s="635"/>
      <c r="Q142" s="21">
        <f t="shared" si="23"/>
        <v>1</v>
      </c>
      <c r="R142" s="21">
        <f t="shared" ca="1" si="24"/>
        <v>25380</v>
      </c>
      <c r="S142" s="308">
        <f t="shared" ca="1" si="15"/>
        <v>136</v>
      </c>
    </row>
    <row r="143" spans="1:19">
      <c r="A143" s="633" t="str">
        <f>'12.23面积'!M153</f>
        <v>4-105</v>
      </c>
      <c r="B143" s="633">
        <f>'12.23面积'!N153</f>
        <v>23.66</v>
      </c>
      <c r="C143" s="21">
        <f t="shared" si="16"/>
        <v>1.01</v>
      </c>
      <c r="D143" s="635"/>
      <c r="E143" s="21">
        <f t="shared" si="17"/>
        <v>1</v>
      </c>
      <c r="F143" s="635"/>
      <c r="G143" s="21">
        <f t="shared" si="18"/>
        <v>1</v>
      </c>
      <c r="H143" s="635"/>
      <c r="I143" s="21">
        <f t="shared" si="19"/>
        <v>1</v>
      </c>
      <c r="J143" s="635"/>
      <c r="K143" s="21">
        <f t="shared" si="20"/>
        <v>1</v>
      </c>
      <c r="L143" s="635"/>
      <c r="M143" s="21">
        <f t="shared" si="21"/>
        <v>1</v>
      </c>
      <c r="N143" s="635"/>
      <c r="O143" s="21">
        <f t="shared" si="22"/>
        <v>1</v>
      </c>
      <c r="P143" s="635"/>
      <c r="Q143" s="21">
        <f t="shared" si="23"/>
        <v>1</v>
      </c>
      <c r="R143" s="21">
        <f t="shared" ca="1" si="24"/>
        <v>25634</v>
      </c>
      <c r="S143" s="308">
        <f t="shared" ca="1" si="15"/>
        <v>61</v>
      </c>
    </row>
    <row r="144" spans="1:19">
      <c r="A144" s="633" t="str">
        <f>'12.23面积'!M154</f>
        <v>4-109</v>
      </c>
      <c r="B144" s="633">
        <f>'12.23面积'!N154</f>
        <v>41.16</v>
      </c>
      <c r="C144" s="21">
        <f t="shared" si="16"/>
        <v>1</v>
      </c>
      <c r="D144" s="635"/>
      <c r="E144" s="21">
        <f t="shared" si="17"/>
        <v>1</v>
      </c>
      <c r="F144" s="635"/>
      <c r="G144" s="21">
        <f t="shared" si="18"/>
        <v>1</v>
      </c>
      <c r="H144" s="635"/>
      <c r="I144" s="21">
        <f t="shared" si="19"/>
        <v>1</v>
      </c>
      <c r="J144" s="635"/>
      <c r="K144" s="21">
        <f t="shared" si="20"/>
        <v>1</v>
      </c>
      <c r="L144" s="635"/>
      <c r="M144" s="21">
        <f t="shared" si="21"/>
        <v>1</v>
      </c>
      <c r="N144" s="635"/>
      <c r="O144" s="21">
        <f t="shared" si="22"/>
        <v>1</v>
      </c>
      <c r="P144" s="635"/>
      <c r="Q144" s="21">
        <f t="shared" si="23"/>
        <v>1</v>
      </c>
      <c r="R144" s="21">
        <f t="shared" ca="1" si="24"/>
        <v>25380</v>
      </c>
      <c r="S144" s="308">
        <f t="shared" ca="1" si="15"/>
        <v>104</v>
      </c>
    </row>
    <row r="145" spans="1:19">
      <c r="A145" s="633" t="str">
        <f>'12.23面积'!M155</f>
        <v>4-110</v>
      </c>
      <c r="B145" s="633">
        <f>'12.23面积'!N155</f>
        <v>56.71</v>
      </c>
      <c r="C145" s="21">
        <f t="shared" si="16"/>
        <v>1</v>
      </c>
      <c r="D145" s="635"/>
      <c r="E145" s="21">
        <f t="shared" si="17"/>
        <v>1</v>
      </c>
      <c r="F145" s="635"/>
      <c r="G145" s="21">
        <f t="shared" si="18"/>
        <v>1</v>
      </c>
      <c r="H145" s="635"/>
      <c r="I145" s="21">
        <f t="shared" si="19"/>
        <v>1</v>
      </c>
      <c r="J145" s="635"/>
      <c r="K145" s="21">
        <f t="shared" si="20"/>
        <v>1</v>
      </c>
      <c r="L145" s="635"/>
      <c r="M145" s="21">
        <f t="shared" si="21"/>
        <v>1</v>
      </c>
      <c r="N145" s="635"/>
      <c r="O145" s="21">
        <f t="shared" si="22"/>
        <v>1</v>
      </c>
      <c r="P145" s="635"/>
      <c r="Q145" s="21">
        <f t="shared" si="23"/>
        <v>1</v>
      </c>
      <c r="R145" s="21">
        <f t="shared" ca="1" si="24"/>
        <v>25380</v>
      </c>
      <c r="S145" s="308">
        <f t="shared" ca="1" si="15"/>
        <v>144</v>
      </c>
    </row>
    <row r="146" spans="1:19">
      <c r="A146" s="633" t="str">
        <f>'12.23面积'!M156</f>
        <v>4-111</v>
      </c>
      <c r="B146" s="633">
        <f>'12.23面积'!N156</f>
        <v>23.66</v>
      </c>
      <c r="C146" s="21">
        <f t="shared" si="16"/>
        <v>1.01</v>
      </c>
      <c r="D146" s="635"/>
      <c r="E146" s="21">
        <f t="shared" si="17"/>
        <v>1</v>
      </c>
      <c r="F146" s="635"/>
      <c r="G146" s="21">
        <f t="shared" si="18"/>
        <v>1</v>
      </c>
      <c r="H146" s="635"/>
      <c r="I146" s="21">
        <f t="shared" si="19"/>
        <v>1</v>
      </c>
      <c r="J146" s="635"/>
      <c r="K146" s="21">
        <f t="shared" si="20"/>
        <v>1</v>
      </c>
      <c r="L146" s="635"/>
      <c r="M146" s="21">
        <f t="shared" si="21"/>
        <v>1</v>
      </c>
      <c r="N146" s="635"/>
      <c r="O146" s="21">
        <f t="shared" si="22"/>
        <v>1</v>
      </c>
      <c r="P146" s="635"/>
      <c r="Q146" s="21">
        <f t="shared" si="23"/>
        <v>1</v>
      </c>
      <c r="R146" s="21">
        <f t="shared" ca="1" si="24"/>
        <v>25634</v>
      </c>
      <c r="S146" s="308">
        <f t="shared" ca="1" si="15"/>
        <v>61</v>
      </c>
    </row>
    <row r="147" spans="1:19">
      <c r="A147" s="633" t="str">
        <f>'12.23面积'!M157</f>
        <v>4-117</v>
      </c>
      <c r="B147" s="633">
        <f>'12.23面积'!N157</f>
        <v>27.61</v>
      </c>
      <c r="C147" s="21">
        <f t="shared" si="16"/>
        <v>1.01</v>
      </c>
      <c r="D147" s="635"/>
      <c r="E147" s="21">
        <f t="shared" si="17"/>
        <v>1</v>
      </c>
      <c r="F147" s="635"/>
      <c r="G147" s="21">
        <f t="shared" si="18"/>
        <v>1</v>
      </c>
      <c r="H147" s="635"/>
      <c r="I147" s="21">
        <f t="shared" si="19"/>
        <v>1</v>
      </c>
      <c r="J147" s="635"/>
      <c r="K147" s="21">
        <f t="shared" si="20"/>
        <v>1</v>
      </c>
      <c r="L147" s="635"/>
      <c r="M147" s="21">
        <f t="shared" si="21"/>
        <v>1</v>
      </c>
      <c r="N147" s="635"/>
      <c r="O147" s="21">
        <f t="shared" si="22"/>
        <v>1</v>
      </c>
      <c r="P147" s="635"/>
      <c r="Q147" s="21">
        <f t="shared" si="23"/>
        <v>1</v>
      </c>
      <c r="R147" s="21">
        <f t="shared" ca="1" si="24"/>
        <v>25634</v>
      </c>
      <c r="S147" s="308">
        <f t="shared" ca="1" si="15"/>
        <v>71</v>
      </c>
    </row>
    <row r="148" spans="1:19">
      <c r="A148" s="633" t="str">
        <f>'12.23面积'!M158</f>
        <v>4-118</v>
      </c>
      <c r="B148" s="633">
        <f>'12.23面积'!N158</f>
        <v>19.149999999999999</v>
      </c>
      <c r="C148" s="21">
        <f t="shared" si="16"/>
        <v>1.01</v>
      </c>
      <c r="D148" s="635"/>
      <c r="E148" s="21">
        <f t="shared" si="17"/>
        <v>1</v>
      </c>
      <c r="F148" s="635"/>
      <c r="G148" s="21">
        <f t="shared" si="18"/>
        <v>1</v>
      </c>
      <c r="H148" s="635"/>
      <c r="I148" s="21">
        <f t="shared" si="19"/>
        <v>1</v>
      </c>
      <c r="J148" s="635"/>
      <c r="K148" s="21">
        <f t="shared" si="20"/>
        <v>1</v>
      </c>
      <c r="L148" s="635"/>
      <c r="M148" s="21">
        <f t="shared" si="21"/>
        <v>1</v>
      </c>
      <c r="N148" s="635"/>
      <c r="O148" s="21">
        <f t="shared" si="22"/>
        <v>1</v>
      </c>
      <c r="P148" s="635"/>
      <c r="Q148" s="21">
        <f t="shared" si="23"/>
        <v>1</v>
      </c>
      <c r="R148" s="21">
        <f t="shared" ca="1" si="24"/>
        <v>25634</v>
      </c>
      <c r="S148" s="308">
        <f t="shared" ca="1" si="15"/>
        <v>49</v>
      </c>
    </row>
    <row r="149" spans="1:19">
      <c r="A149" s="633" t="str">
        <f>'12.23面积'!M159</f>
        <v>4-119</v>
      </c>
      <c r="B149" s="633">
        <f>'12.23面积'!N159</f>
        <v>19.149999999999999</v>
      </c>
      <c r="C149" s="21">
        <f t="shared" si="16"/>
        <v>1.01</v>
      </c>
      <c r="D149" s="635"/>
      <c r="E149" s="21">
        <f t="shared" si="17"/>
        <v>1</v>
      </c>
      <c r="F149" s="635"/>
      <c r="G149" s="21">
        <f t="shared" si="18"/>
        <v>1</v>
      </c>
      <c r="H149" s="635"/>
      <c r="I149" s="21">
        <f t="shared" si="19"/>
        <v>1</v>
      </c>
      <c r="J149" s="635"/>
      <c r="K149" s="21">
        <f t="shared" si="20"/>
        <v>1</v>
      </c>
      <c r="L149" s="635"/>
      <c r="M149" s="21">
        <f t="shared" si="21"/>
        <v>1</v>
      </c>
      <c r="N149" s="635"/>
      <c r="O149" s="21">
        <f t="shared" si="22"/>
        <v>1</v>
      </c>
      <c r="P149" s="635"/>
      <c r="Q149" s="21">
        <f t="shared" si="23"/>
        <v>1</v>
      </c>
      <c r="R149" s="21">
        <f t="shared" ca="1" si="24"/>
        <v>25634</v>
      </c>
      <c r="S149" s="308">
        <f t="shared" ca="1" si="15"/>
        <v>49</v>
      </c>
    </row>
    <row r="150" spans="1:19">
      <c r="A150" s="633" t="str">
        <f>'12.23面积'!M160</f>
        <v>4-120</v>
      </c>
      <c r="B150" s="633">
        <f>'12.23面积'!N160</f>
        <v>27.61</v>
      </c>
      <c r="C150" s="21">
        <f t="shared" si="16"/>
        <v>1.01</v>
      </c>
      <c r="D150" s="635"/>
      <c r="E150" s="21">
        <f t="shared" si="17"/>
        <v>1</v>
      </c>
      <c r="F150" s="635"/>
      <c r="G150" s="21">
        <f t="shared" si="18"/>
        <v>1</v>
      </c>
      <c r="H150" s="635"/>
      <c r="I150" s="21">
        <f t="shared" si="19"/>
        <v>1</v>
      </c>
      <c r="J150" s="635"/>
      <c r="K150" s="21">
        <f t="shared" si="20"/>
        <v>1</v>
      </c>
      <c r="L150" s="635"/>
      <c r="M150" s="21">
        <f t="shared" si="21"/>
        <v>1</v>
      </c>
      <c r="N150" s="635"/>
      <c r="O150" s="21">
        <f t="shared" si="22"/>
        <v>1</v>
      </c>
      <c r="P150" s="635"/>
      <c r="Q150" s="21">
        <f t="shared" si="23"/>
        <v>1</v>
      </c>
      <c r="R150" s="21">
        <f t="shared" ca="1" si="24"/>
        <v>25634</v>
      </c>
      <c r="S150" s="308">
        <f t="shared" ca="1" si="15"/>
        <v>71</v>
      </c>
    </row>
    <row r="151" spans="1:19">
      <c r="A151" s="633" t="str">
        <f>'12.23面积'!M161</f>
        <v>4-201</v>
      </c>
      <c r="B151" s="633">
        <f>'12.23面积'!N161</f>
        <v>18.350000000000001</v>
      </c>
      <c r="C151" s="21">
        <f t="shared" si="16"/>
        <v>1.01</v>
      </c>
      <c r="D151" s="635"/>
      <c r="E151" s="21">
        <f t="shared" si="17"/>
        <v>1</v>
      </c>
      <c r="F151" s="635"/>
      <c r="G151" s="21">
        <f t="shared" si="18"/>
        <v>1</v>
      </c>
      <c r="H151" s="635"/>
      <c r="I151" s="21">
        <f t="shared" si="19"/>
        <v>1</v>
      </c>
      <c r="J151" s="635"/>
      <c r="K151" s="21">
        <f t="shared" si="20"/>
        <v>1</v>
      </c>
      <c r="L151" s="635"/>
      <c r="M151" s="21">
        <f t="shared" si="21"/>
        <v>1</v>
      </c>
      <c r="N151" s="635"/>
      <c r="O151" s="21">
        <f t="shared" si="22"/>
        <v>1</v>
      </c>
      <c r="P151" s="635"/>
      <c r="Q151" s="21">
        <f t="shared" si="23"/>
        <v>1</v>
      </c>
      <c r="R151" s="21">
        <f t="shared" ca="1" si="24"/>
        <v>25634</v>
      </c>
      <c r="S151" s="308">
        <f t="shared" ca="1" si="15"/>
        <v>47</v>
      </c>
    </row>
    <row r="152" spans="1:19">
      <c r="A152" s="633" t="str">
        <f>'12.23面积'!M162</f>
        <v>4-203</v>
      </c>
      <c r="B152" s="633">
        <f>'12.23面积'!N162</f>
        <v>12.41</v>
      </c>
      <c r="C152" s="21">
        <f t="shared" si="16"/>
        <v>1.01</v>
      </c>
      <c r="D152" s="635"/>
      <c r="E152" s="21">
        <f t="shared" si="17"/>
        <v>1</v>
      </c>
      <c r="F152" s="635"/>
      <c r="G152" s="21">
        <f t="shared" si="18"/>
        <v>1</v>
      </c>
      <c r="H152" s="635"/>
      <c r="I152" s="21">
        <f t="shared" si="19"/>
        <v>1</v>
      </c>
      <c r="J152" s="635"/>
      <c r="K152" s="21">
        <f t="shared" si="20"/>
        <v>1</v>
      </c>
      <c r="L152" s="635"/>
      <c r="M152" s="21">
        <f t="shared" si="21"/>
        <v>1</v>
      </c>
      <c r="N152" s="635"/>
      <c r="O152" s="21">
        <f t="shared" si="22"/>
        <v>1</v>
      </c>
      <c r="P152" s="635"/>
      <c r="Q152" s="21">
        <f t="shared" si="23"/>
        <v>1</v>
      </c>
      <c r="R152" s="21">
        <f t="shared" ca="1" si="24"/>
        <v>25634</v>
      </c>
      <c r="S152" s="308">
        <f t="shared" ref="S152:S215" ca="1" si="25">ROUND(R152*B152/10000,0)</f>
        <v>32</v>
      </c>
    </row>
    <row r="153" spans="1:19">
      <c r="A153" s="633" t="str">
        <f>'12.23面积'!M163</f>
        <v>3-101</v>
      </c>
      <c r="B153" s="633">
        <f>'12.23面积'!N163</f>
        <v>27.29</v>
      </c>
      <c r="C153" s="21">
        <f t="shared" si="16"/>
        <v>1.01</v>
      </c>
      <c r="D153" s="635"/>
      <c r="E153" s="21">
        <f t="shared" si="17"/>
        <v>1</v>
      </c>
      <c r="F153" s="635"/>
      <c r="G153" s="21">
        <f t="shared" si="18"/>
        <v>1</v>
      </c>
      <c r="H153" s="635"/>
      <c r="I153" s="21">
        <f t="shared" si="19"/>
        <v>1</v>
      </c>
      <c r="J153" s="635"/>
      <c r="K153" s="21">
        <f t="shared" si="20"/>
        <v>1</v>
      </c>
      <c r="L153" s="635"/>
      <c r="M153" s="21">
        <f t="shared" si="21"/>
        <v>1</v>
      </c>
      <c r="N153" s="635"/>
      <c r="O153" s="21">
        <f t="shared" si="22"/>
        <v>1</v>
      </c>
      <c r="P153" s="635"/>
      <c r="Q153" s="21">
        <f t="shared" si="23"/>
        <v>1</v>
      </c>
      <c r="R153" s="21">
        <f t="shared" ca="1" si="24"/>
        <v>25634</v>
      </c>
      <c r="S153" s="308">
        <f t="shared" ca="1" si="25"/>
        <v>70</v>
      </c>
    </row>
    <row r="154" spans="1:19">
      <c r="A154" s="633" t="str">
        <f>'12.23面积'!M164</f>
        <v>3-102</v>
      </c>
      <c r="B154" s="633">
        <f>'12.23面积'!N164</f>
        <v>22.37</v>
      </c>
      <c r="C154" s="21">
        <f t="shared" ref="C154:C217" si="26">IF(B154="",1,(LOOKUP(B154,$3:$3,$4:$4)-LOOKUP($B$24,$3:$3,$4:$4)+100)/100)</f>
        <v>1.01</v>
      </c>
      <c r="D154" s="635"/>
      <c r="E154" s="21">
        <f t="shared" ref="E154:E217" si="27">(SUMIF($5:$5,D154,$6:$6)-SUMIF($5:$5,$D$24,$6:$6)+100)/100</f>
        <v>1</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1</v>
      </c>
      <c r="R154" s="21">
        <f t="shared" ref="R154:R217" ca="1" si="34">IF(B154="",0,ROUND($R$24*C154*E154*G154*I154*K154*M154*O154*Q154,0))</f>
        <v>25634</v>
      </c>
      <c r="S154" s="308">
        <f t="shared" ca="1" si="25"/>
        <v>57</v>
      </c>
    </row>
    <row r="155" spans="1:19">
      <c r="A155" s="633" t="str">
        <f>'12.23面积'!M165</f>
        <v>3-103</v>
      </c>
      <c r="B155" s="633">
        <f>'12.23面积'!N165</f>
        <v>47.07</v>
      </c>
      <c r="C155" s="21">
        <f t="shared" si="26"/>
        <v>1</v>
      </c>
      <c r="D155" s="635"/>
      <c r="E155" s="21">
        <f t="shared" si="27"/>
        <v>1</v>
      </c>
      <c r="F155" s="635"/>
      <c r="G155" s="21">
        <f t="shared" si="28"/>
        <v>1</v>
      </c>
      <c r="H155" s="635"/>
      <c r="I155" s="21">
        <f t="shared" si="29"/>
        <v>1</v>
      </c>
      <c r="J155" s="635"/>
      <c r="K155" s="21">
        <f t="shared" si="30"/>
        <v>1</v>
      </c>
      <c r="L155" s="635"/>
      <c r="M155" s="21">
        <f t="shared" si="31"/>
        <v>1</v>
      </c>
      <c r="N155" s="635"/>
      <c r="O155" s="21">
        <f t="shared" si="32"/>
        <v>1</v>
      </c>
      <c r="P155" s="635"/>
      <c r="Q155" s="21">
        <f t="shared" si="33"/>
        <v>1</v>
      </c>
      <c r="R155" s="21">
        <f t="shared" ca="1" si="34"/>
        <v>25380</v>
      </c>
      <c r="S155" s="308">
        <f t="shared" ca="1" si="25"/>
        <v>119</v>
      </c>
    </row>
    <row r="156" spans="1:19">
      <c r="A156" s="633" t="str">
        <f>'12.23面积'!M166</f>
        <v>3-104</v>
      </c>
      <c r="B156" s="633">
        <f>'12.23面积'!N166</f>
        <v>48.7</v>
      </c>
      <c r="C156" s="21">
        <f t="shared" si="26"/>
        <v>1</v>
      </c>
      <c r="D156" s="635"/>
      <c r="E156" s="21">
        <f t="shared" si="27"/>
        <v>1</v>
      </c>
      <c r="F156" s="635"/>
      <c r="G156" s="21">
        <f t="shared" si="28"/>
        <v>1</v>
      </c>
      <c r="H156" s="635"/>
      <c r="I156" s="21">
        <f t="shared" si="29"/>
        <v>1</v>
      </c>
      <c r="J156" s="635"/>
      <c r="K156" s="21">
        <f t="shared" si="30"/>
        <v>1</v>
      </c>
      <c r="L156" s="635"/>
      <c r="M156" s="21">
        <f t="shared" si="31"/>
        <v>1</v>
      </c>
      <c r="N156" s="635"/>
      <c r="O156" s="21">
        <f t="shared" si="32"/>
        <v>1</v>
      </c>
      <c r="P156" s="635"/>
      <c r="Q156" s="21">
        <f t="shared" si="33"/>
        <v>1</v>
      </c>
      <c r="R156" s="21">
        <f t="shared" ca="1" si="34"/>
        <v>25380</v>
      </c>
      <c r="S156" s="308">
        <f t="shared" ca="1" si="25"/>
        <v>124</v>
      </c>
    </row>
    <row r="157" spans="1:19">
      <c r="A157" s="633" t="str">
        <f>'12.23面积'!M167</f>
        <v>3-105</v>
      </c>
      <c r="B157" s="633">
        <f>'12.23面积'!N167</f>
        <v>23.2</v>
      </c>
      <c r="C157" s="21">
        <f t="shared" si="26"/>
        <v>1.01</v>
      </c>
      <c r="D157" s="635"/>
      <c r="E157" s="21">
        <f t="shared" si="27"/>
        <v>1</v>
      </c>
      <c r="F157" s="635"/>
      <c r="G157" s="21">
        <f t="shared" si="28"/>
        <v>1</v>
      </c>
      <c r="H157" s="635"/>
      <c r="I157" s="21">
        <f t="shared" si="29"/>
        <v>1</v>
      </c>
      <c r="J157" s="635"/>
      <c r="K157" s="21">
        <f t="shared" si="30"/>
        <v>1</v>
      </c>
      <c r="L157" s="635"/>
      <c r="M157" s="21">
        <f t="shared" si="31"/>
        <v>1</v>
      </c>
      <c r="N157" s="635"/>
      <c r="O157" s="21">
        <f t="shared" si="32"/>
        <v>1</v>
      </c>
      <c r="P157" s="635"/>
      <c r="Q157" s="21">
        <f t="shared" si="33"/>
        <v>1</v>
      </c>
      <c r="R157" s="21">
        <f t="shared" ca="1" si="34"/>
        <v>25634</v>
      </c>
      <c r="S157" s="308">
        <f t="shared" ca="1" si="25"/>
        <v>59</v>
      </c>
    </row>
    <row r="158" spans="1:19">
      <c r="A158" s="633" t="str">
        <f>'12.23面积'!M168</f>
        <v>3-106</v>
      </c>
      <c r="B158" s="633">
        <f>'12.23面积'!N168</f>
        <v>23.2</v>
      </c>
      <c r="C158" s="21">
        <f t="shared" si="26"/>
        <v>1.01</v>
      </c>
      <c r="D158" s="635"/>
      <c r="E158" s="21">
        <f t="shared" si="27"/>
        <v>1</v>
      </c>
      <c r="F158" s="635"/>
      <c r="G158" s="21">
        <f t="shared" si="28"/>
        <v>1</v>
      </c>
      <c r="H158" s="635"/>
      <c r="I158" s="21">
        <f t="shared" si="29"/>
        <v>1</v>
      </c>
      <c r="J158" s="635"/>
      <c r="K158" s="21">
        <f t="shared" si="30"/>
        <v>1</v>
      </c>
      <c r="L158" s="635"/>
      <c r="M158" s="21">
        <f t="shared" si="31"/>
        <v>1</v>
      </c>
      <c r="N158" s="635"/>
      <c r="O158" s="21">
        <f t="shared" si="32"/>
        <v>1</v>
      </c>
      <c r="P158" s="635"/>
      <c r="Q158" s="21">
        <f t="shared" si="33"/>
        <v>1</v>
      </c>
      <c r="R158" s="21">
        <f t="shared" ca="1" si="34"/>
        <v>25634</v>
      </c>
      <c r="S158" s="308">
        <f t="shared" ca="1" si="25"/>
        <v>59</v>
      </c>
    </row>
    <row r="159" spans="1:19">
      <c r="A159" s="633" t="str">
        <f>'12.23面积'!M169</f>
        <v>3-107</v>
      </c>
      <c r="B159" s="633">
        <f>'12.23面积'!N169</f>
        <v>48.7</v>
      </c>
      <c r="C159" s="21">
        <f t="shared" si="26"/>
        <v>1</v>
      </c>
      <c r="D159" s="635"/>
      <c r="E159" s="21">
        <f t="shared" si="27"/>
        <v>1</v>
      </c>
      <c r="F159" s="635"/>
      <c r="G159" s="21">
        <f t="shared" si="28"/>
        <v>1</v>
      </c>
      <c r="H159" s="635"/>
      <c r="I159" s="21">
        <f t="shared" si="29"/>
        <v>1</v>
      </c>
      <c r="J159" s="635"/>
      <c r="K159" s="21">
        <f t="shared" si="30"/>
        <v>1</v>
      </c>
      <c r="L159" s="635"/>
      <c r="M159" s="21">
        <f t="shared" si="31"/>
        <v>1</v>
      </c>
      <c r="N159" s="635"/>
      <c r="O159" s="21">
        <f t="shared" si="32"/>
        <v>1</v>
      </c>
      <c r="P159" s="635"/>
      <c r="Q159" s="21">
        <f t="shared" si="33"/>
        <v>1</v>
      </c>
      <c r="R159" s="21">
        <f t="shared" ca="1" si="34"/>
        <v>25380</v>
      </c>
      <c r="S159" s="308">
        <f t="shared" ca="1" si="25"/>
        <v>124</v>
      </c>
    </row>
    <row r="160" spans="1:19">
      <c r="A160" s="633" t="str">
        <f>'12.23面积'!M170</f>
        <v>3-108</v>
      </c>
      <c r="B160" s="633">
        <f>'12.23面积'!N170</f>
        <v>47.1</v>
      </c>
      <c r="C160" s="21">
        <f t="shared" si="26"/>
        <v>1</v>
      </c>
      <c r="D160" s="635"/>
      <c r="E160" s="21">
        <f t="shared" si="27"/>
        <v>1</v>
      </c>
      <c r="F160" s="635"/>
      <c r="G160" s="21">
        <f t="shared" si="28"/>
        <v>1</v>
      </c>
      <c r="H160" s="635"/>
      <c r="I160" s="21">
        <f t="shared" si="29"/>
        <v>1</v>
      </c>
      <c r="J160" s="635"/>
      <c r="K160" s="21">
        <f t="shared" si="30"/>
        <v>1</v>
      </c>
      <c r="L160" s="635"/>
      <c r="M160" s="21">
        <f t="shared" si="31"/>
        <v>1</v>
      </c>
      <c r="N160" s="635"/>
      <c r="O160" s="21">
        <f t="shared" si="32"/>
        <v>1</v>
      </c>
      <c r="P160" s="635"/>
      <c r="Q160" s="21">
        <f t="shared" si="33"/>
        <v>1</v>
      </c>
      <c r="R160" s="21">
        <f t="shared" ca="1" si="34"/>
        <v>25380</v>
      </c>
      <c r="S160" s="308">
        <f t="shared" ca="1" si="25"/>
        <v>120</v>
      </c>
    </row>
    <row r="161" spans="1:19">
      <c r="A161" s="633" t="str">
        <f>'12.23面积'!M171</f>
        <v>3-109</v>
      </c>
      <c r="B161" s="633">
        <f>'12.23面积'!N171</f>
        <v>27.52</v>
      </c>
      <c r="C161" s="21">
        <f t="shared" si="26"/>
        <v>1.01</v>
      </c>
      <c r="D161" s="635"/>
      <c r="E161" s="21">
        <f t="shared" si="27"/>
        <v>1</v>
      </c>
      <c r="F161" s="635"/>
      <c r="G161" s="21">
        <f t="shared" si="28"/>
        <v>1</v>
      </c>
      <c r="H161" s="635"/>
      <c r="I161" s="21">
        <f t="shared" si="29"/>
        <v>1</v>
      </c>
      <c r="J161" s="635"/>
      <c r="K161" s="21">
        <f t="shared" si="30"/>
        <v>1</v>
      </c>
      <c r="L161" s="635"/>
      <c r="M161" s="21">
        <f t="shared" si="31"/>
        <v>1</v>
      </c>
      <c r="N161" s="635"/>
      <c r="O161" s="21">
        <f t="shared" si="32"/>
        <v>1</v>
      </c>
      <c r="P161" s="635"/>
      <c r="Q161" s="21">
        <f t="shared" si="33"/>
        <v>1</v>
      </c>
      <c r="R161" s="21">
        <f t="shared" ca="1" si="34"/>
        <v>25634</v>
      </c>
      <c r="S161" s="308">
        <f t="shared" ca="1" si="25"/>
        <v>71</v>
      </c>
    </row>
    <row r="162" spans="1:19">
      <c r="A162" s="633" t="str">
        <f>'12.23面积'!M172</f>
        <v>3-201</v>
      </c>
      <c r="B162" s="633">
        <f>'12.23面积'!N172</f>
        <v>16.940000000000001</v>
      </c>
      <c r="C162" s="21">
        <f t="shared" si="26"/>
        <v>1.01</v>
      </c>
      <c r="D162" s="635"/>
      <c r="E162" s="21">
        <f t="shared" si="27"/>
        <v>1</v>
      </c>
      <c r="F162" s="635"/>
      <c r="G162" s="21">
        <f t="shared" si="28"/>
        <v>1</v>
      </c>
      <c r="H162" s="635"/>
      <c r="I162" s="21">
        <f t="shared" si="29"/>
        <v>1</v>
      </c>
      <c r="J162" s="635"/>
      <c r="K162" s="21">
        <f t="shared" si="30"/>
        <v>1</v>
      </c>
      <c r="L162" s="635"/>
      <c r="M162" s="21">
        <f t="shared" si="31"/>
        <v>1</v>
      </c>
      <c r="N162" s="635"/>
      <c r="O162" s="21">
        <f t="shared" si="32"/>
        <v>1</v>
      </c>
      <c r="P162" s="635"/>
      <c r="Q162" s="21">
        <f t="shared" si="33"/>
        <v>1</v>
      </c>
      <c r="R162" s="21">
        <f t="shared" ca="1" si="34"/>
        <v>25634</v>
      </c>
      <c r="S162" s="308">
        <f t="shared" ca="1" si="25"/>
        <v>43</v>
      </c>
    </row>
    <row r="163" spans="1:19">
      <c r="A163" s="633" t="str">
        <f>'12.23面积'!M173</f>
        <v>3-202</v>
      </c>
      <c r="B163" s="633">
        <f>'12.23面积'!N173</f>
        <v>26.38</v>
      </c>
      <c r="C163" s="21">
        <f t="shared" si="26"/>
        <v>1.01</v>
      </c>
      <c r="D163" s="635"/>
      <c r="E163" s="21">
        <f t="shared" si="27"/>
        <v>1</v>
      </c>
      <c r="F163" s="635"/>
      <c r="G163" s="21">
        <f t="shared" si="28"/>
        <v>1</v>
      </c>
      <c r="H163" s="635"/>
      <c r="I163" s="21">
        <f t="shared" si="29"/>
        <v>1</v>
      </c>
      <c r="J163" s="635"/>
      <c r="K163" s="21">
        <f t="shared" si="30"/>
        <v>1</v>
      </c>
      <c r="L163" s="635"/>
      <c r="M163" s="21">
        <f t="shared" si="31"/>
        <v>1</v>
      </c>
      <c r="N163" s="635"/>
      <c r="O163" s="21">
        <f t="shared" si="32"/>
        <v>1</v>
      </c>
      <c r="P163" s="635"/>
      <c r="Q163" s="21">
        <f t="shared" si="33"/>
        <v>1</v>
      </c>
      <c r="R163" s="21">
        <f t="shared" ca="1" si="34"/>
        <v>25634</v>
      </c>
      <c r="S163" s="308">
        <f t="shared" ca="1" si="25"/>
        <v>68</v>
      </c>
    </row>
    <row r="164" spans="1:19">
      <c r="A164" s="633" t="str">
        <f>'12.23面积'!M174</f>
        <v>3-203</v>
      </c>
      <c r="B164" s="633">
        <f>'12.23面积'!N174</f>
        <v>19.690000000000001</v>
      </c>
      <c r="C164" s="21">
        <f t="shared" si="26"/>
        <v>1.01</v>
      </c>
      <c r="D164" s="635"/>
      <c r="E164" s="21">
        <f t="shared" si="27"/>
        <v>1</v>
      </c>
      <c r="F164" s="635"/>
      <c r="G164" s="21">
        <f t="shared" si="28"/>
        <v>1</v>
      </c>
      <c r="H164" s="635"/>
      <c r="I164" s="21">
        <f t="shared" si="29"/>
        <v>1</v>
      </c>
      <c r="J164" s="635"/>
      <c r="K164" s="21">
        <f t="shared" si="30"/>
        <v>1</v>
      </c>
      <c r="L164" s="635"/>
      <c r="M164" s="21">
        <f t="shared" si="31"/>
        <v>1</v>
      </c>
      <c r="N164" s="635"/>
      <c r="O164" s="21">
        <f t="shared" si="32"/>
        <v>1</v>
      </c>
      <c r="P164" s="635"/>
      <c r="Q164" s="21">
        <f t="shared" si="33"/>
        <v>1</v>
      </c>
      <c r="R164" s="21">
        <f t="shared" ca="1" si="34"/>
        <v>25634</v>
      </c>
      <c r="S164" s="308">
        <f t="shared" ca="1" si="25"/>
        <v>50</v>
      </c>
    </row>
    <row r="165" spans="1:19">
      <c r="A165" s="633" t="str">
        <f>'12.23面积'!M175</f>
        <v>3-204</v>
      </c>
      <c r="B165" s="633">
        <f>'12.23面积'!N175</f>
        <v>19.690000000000001</v>
      </c>
      <c r="C165" s="21">
        <f t="shared" si="26"/>
        <v>1.01</v>
      </c>
      <c r="D165" s="635"/>
      <c r="E165" s="21">
        <f t="shared" si="27"/>
        <v>1</v>
      </c>
      <c r="F165" s="635"/>
      <c r="G165" s="21">
        <f t="shared" si="28"/>
        <v>1</v>
      </c>
      <c r="H165" s="635"/>
      <c r="I165" s="21">
        <f t="shared" si="29"/>
        <v>1</v>
      </c>
      <c r="J165" s="635"/>
      <c r="K165" s="21">
        <f t="shared" si="30"/>
        <v>1</v>
      </c>
      <c r="L165" s="635"/>
      <c r="M165" s="21">
        <f t="shared" si="31"/>
        <v>1</v>
      </c>
      <c r="N165" s="635"/>
      <c r="O165" s="21">
        <f t="shared" si="32"/>
        <v>1</v>
      </c>
      <c r="P165" s="635"/>
      <c r="Q165" s="21">
        <f t="shared" si="33"/>
        <v>1</v>
      </c>
      <c r="R165" s="21">
        <f t="shared" ca="1" si="34"/>
        <v>25634</v>
      </c>
      <c r="S165" s="308">
        <f t="shared" ca="1" si="25"/>
        <v>50</v>
      </c>
    </row>
    <row r="166" spans="1:19">
      <c r="A166" s="633" t="str">
        <f>'12.23面积'!M176</f>
        <v>3-205</v>
      </c>
      <c r="B166" s="633">
        <f>'12.23面积'!N176</f>
        <v>16.45</v>
      </c>
      <c r="C166" s="21">
        <f t="shared" si="26"/>
        <v>1.01</v>
      </c>
      <c r="D166" s="635"/>
      <c r="E166" s="21">
        <f t="shared" si="27"/>
        <v>1</v>
      </c>
      <c r="F166" s="635"/>
      <c r="G166" s="21">
        <f t="shared" si="28"/>
        <v>1</v>
      </c>
      <c r="H166" s="635"/>
      <c r="I166" s="21">
        <f t="shared" si="29"/>
        <v>1</v>
      </c>
      <c r="J166" s="635"/>
      <c r="K166" s="21">
        <f t="shared" si="30"/>
        <v>1</v>
      </c>
      <c r="L166" s="635"/>
      <c r="M166" s="21">
        <f t="shared" si="31"/>
        <v>1</v>
      </c>
      <c r="N166" s="635"/>
      <c r="O166" s="21">
        <f t="shared" si="32"/>
        <v>1</v>
      </c>
      <c r="P166" s="635"/>
      <c r="Q166" s="21">
        <f t="shared" si="33"/>
        <v>1</v>
      </c>
      <c r="R166" s="21">
        <f t="shared" ca="1" si="34"/>
        <v>25634</v>
      </c>
      <c r="S166" s="308">
        <f t="shared" ca="1" si="25"/>
        <v>42</v>
      </c>
    </row>
    <row r="167" spans="1:19">
      <c r="A167" s="633" t="str">
        <f>'12.23面积'!M177</f>
        <v>7-106</v>
      </c>
      <c r="B167" s="633">
        <f>'12.23面积'!N177</f>
        <v>23.61</v>
      </c>
      <c r="C167" s="21">
        <f t="shared" si="26"/>
        <v>1.01</v>
      </c>
      <c r="D167" s="635"/>
      <c r="E167" s="21">
        <f t="shared" si="27"/>
        <v>1</v>
      </c>
      <c r="F167" s="635"/>
      <c r="G167" s="21">
        <f t="shared" si="28"/>
        <v>1</v>
      </c>
      <c r="H167" s="635"/>
      <c r="I167" s="21">
        <f t="shared" si="29"/>
        <v>1</v>
      </c>
      <c r="J167" s="635"/>
      <c r="K167" s="21">
        <f t="shared" si="30"/>
        <v>1</v>
      </c>
      <c r="L167" s="635"/>
      <c r="M167" s="21">
        <f t="shared" si="31"/>
        <v>1</v>
      </c>
      <c r="N167" s="635"/>
      <c r="O167" s="21">
        <f t="shared" si="32"/>
        <v>1</v>
      </c>
      <c r="P167" s="635"/>
      <c r="Q167" s="21">
        <f t="shared" si="33"/>
        <v>1</v>
      </c>
      <c r="R167" s="21">
        <f t="shared" ca="1" si="34"/>
        <v>25634</v>
      </c>
      <c r="S167" s="308">
        <f t="shared" ca="1" si="25"/>
        <v>61</v>
      </c>
    </row>
    <row r="168" spans="1:19">
      <c r="A168" s="633" t="str">
        <f>'12.23面积'!M178</f>
        <v>7-107</v>
      </c>
      <c r="B168" s="633">
        <f>'12.23面积'!N178</f>
        <v>56.59</v>
      </c>
      <c r="C168" s="21">
        <f t="shared" si="26"/>
        <v>1</v>
      </c>
      <c r="D168" s="635"/>
      <c r="E168" s="21">
        <f t="shared" si="27"/>
        <v>1</v>
      </c>
      <c r="F168" s="635"/>
      <c r="G168" s="21">
        <f t="shared" si="28"/>
        <v>1</v>
      </c>
      <c r="H168" s="635"/>
      <c r="I168" s="21">
        <f t="shared" si="29"/>
        <v>1</v>
      </c>
      <c r="J168" s="635"/>
      <c r="K168" s="21">
        <f t="shared" si="30"/>
        <v>1</v>
      </c>
      <c r="L168" s="635"/>
      <c r="M168" s="21">
        <f t="shared" si="31"/>
        <v>1</v>
      </c>
      <c r="N168" s="635"/>
      <c r="O168" s="21">
        <f t="shared" si="32"/>
        <v>1</v>
      </c>
      <c r="P168" s="635"/>
      <c r="Q168" s="21">
        <f t="shared" si="33"/>
        <v>1</v>
      </c>
      <c r="R168" s="21">
        <f t="shared" ca="1" si="34"/>
        <v>25380</v>
      </c>
      <c r="S168" s="308">
        <f t="shared" ca="1" si="25"/>
        <v>144</v>
      </c>
    </row>
    <row r="169" spans="1:19">
      <c r="A169" s="633" t="str">
        <f>'12.23面积'!M179</f>
        <v>7-108</v>
      </c>
      <c r="B169" s="633">
        <f>'12.23面积'!N179</f>
        <v>41.38</v>
      </c>
      <c r="C169" s="21">
        <f t="shared" si="26"/>
        <v>1</v>
      </c>
      <c r="D169" s="635"/>
      <c r="E169" s="21">
        <f t="shared" si="27"/>
        <v>1</v>
      </c>
      <c r="F169" s="635"/>
      <c r="G169" s="21">
        <f t="shared" si="28"/>
        <v>1</v>
      </c>
      <c r="H169" s="635"/>
      <c r="I169" s="21">
        <f t="shared" si="29"/>
        <v>1</v>
      </c>
      <c r="J169" s="635"/>
      <c r="K169" s="21">
        <f t="shared" si="30"/>
        <v>1</v>
      </c>
      <c r="L169" s="635"/>
      <c r="M169" s="21">
        <f t="shared" si="31"/>
        <v>1</v>
      </c>
      <c r="N169" s="635"/>
      <c r="O169" s="21">
        <f t="shared" si="32"/>
        <v>1</v>
      </c>
      <c r="P169" s="635"/>
      <c r="Q169" s="21">
        <f t="shared" si="33"/>
        <v>1</v>
      </c>
      <c r="R169" s="21">
        <f t="shared" ca="1" si="34"/>
        <v>25380</v>
      </c>
      <c r="S169" s="308">
        <f t="shared" ca="1" si="25"/>
        <v>105</v>
      </c>
    </row>
    <row r="170" spans="1:19">
      <c r="A170" s="633" t="str">
        <f>'12.23面积'!M180</f>
        <v>7-109</v>
      </c>
      <c r="B170" s="633">
        <f>'12.23面积'!N180</f>
        <v>41.38</v>
      </c>
      <c r="C170" s="21">
        <f t="shared" si="26"/>
        <v>1</v>
      </c>
      <c r="D170" s="635"/>
      <c r="E170" s="21">
        <f t="shared" si="27"/>
        <v>1</v>
      </c>
      <c r="F170" s="635"/>
      <c r="G170" s="21">
        <f t="shared" si="28"/>
        <v>1</v>
      </c>
      <c r="H170" s="635"/>
      <c r="I170" s="21">
        <f t="shared" si="29"/>
        <v>1</v>
      </c>
      <c r="J170" s="635"/>
      <c r="K170" s="21">
        <f t="shared" si="30"/>
        <v>1</v>
      </c>
      <c r="L170" s="635"/>
      <c r="M170" s="21">
        <f t="shared" si="31"/>
        <v>1</v>
      </c>
      <c r="N170" s="635"/>
      <c r="O170" s="21">
        <f t="shared" si="32"/>
        <v>1</v>
      </c>
      <c r="P170" s="635"/>
      <c r="Q170" s="21">
        <f t="shared" si="33"/>
        <v>1</v>
      </c>
      <c r="R170" s="21">
        <f t="shared" ca="1" si="34"/>
        <v>25380</v>
      </c>
      <c r="S170" s="308">
        <f t="shared" ca="1" si="25"/>
        <v>105</v>
      </c>
    </row>
    <row r="171" spans="1:19">
      <c r="A171" s="633" t="str">
        <f>'12.23面积'!M181</f>
        <v>7-110</v>
      </c>
      <c r="B171" s="633">
        <f>'12.23面积'!N181</f>
        <v>56.59</v>
      </c>
      <c r="C171" s="21">
        <f t="shared" si="26"/>
        <v>1</v>
      </c>
      <c r="D171" s="635"/>
      <c r="E171" s="21">
        <f t="shared" si="27"/>
        <v>1</v>
      </c>
      <c r="F171" s="635"/>
      <c r="G171" s="21">
        <f t="shared" si="28"/>
        <v>1</v>
      </c>
      <c r="H171" s="635"/>
      <c r="I171" s="21">
        <f t="shared" si="29"/>
        <v>1</v>
      </c>
      <c r="J171" s="635"/>
      <c r="K171" s="21">
        <f t="shared" si="30"/>
        <v>1</v>
      </c>
      <c r="L171" s="635"/>
      <c r="M171" s="21">
        <f t="shared" si="31"/>
        <v>1</v>
      </c>
      <c r="N171" s="635"/>
      <c r="O171" s="21">
        <f t="shared" si="32"/>
        <v>1</v>
      </c>
      <c r="P171" s="635"/>
      <c r="Q171" s="21">
        <f t="shared" si="33"/>
        <v>1</v>
      </c>
      <c r="R171" s="21">
        <f t="shared" ca="1" si="34"/>
        <v>25380</v>
      </c>
      <c r="S171" s="308">
        <f t="shared" ca="1" si="25"/>
        <v>144</v>
      </c>
    </row>
    <row r="172" spans="1:19">
      <c r="A172" s="633" t="str">
        <f>'12.23面积'!M182</f>
        <v>7-111</v>
      </c>
      <c r="B172" s="633">
        <f>'12.23面积'!N182</f>
        <v>23.61</v>
      </c>
      <c r="C172" s="21">
        <f t="shared" si="26"/>
        <v>1.01</v>
      </c>
      <c r="D172" s="635"/>
      <c r="E172" s="21">
        <f t="shared" si="27"/>
        <v>1</v>
      </c>
      <c r="F172" s="635"/>
      <c r="G172" s="21">
        <f t="shared" si="28"/>
        <v>1</v>
      </c>
      <c r="H172" s="635"/>
      <c r="I172" s="21">
        <f t="shared" si="29"/>
        <v>1</v>
      </c>
      <c r="J172" s="635"/>
      <c r="K172" s="21">
        <f t="shared" si="30"/>
        <v>1</v>
      </c>
      <c r="L172" s="635"/>
      <c r="M172" s="21">
        <f t="shared" si="31"/>
        <v>1</v>
      </c>
      <c r="N172" s="635"/>
      <c r="O172" s="21">
        <f t="shared" si="32"/>
        <v>1</v>
      </c>
      <c r="P172" s="635"/>
      <c r="Q172" s="21">
        <f t="shared" si="33"/>
        <v>1</v>
      </c>
      <c r="R172" s="21">
        <f t="shared" ca="1" si="34"/>
        <v>25634</v>
      </c>
      <c r="S172" s="308">
        <f t="shared" ca="1" si="25"/>
        <v>61</v>
      </c>
    </row>
    <row r="173" spans="1:19">
      <c r="A173" s="633" t="str">
        <f>'12.23面积'!M183</f>
        <v>7-115</v>
      </c>
      <c r="B173" s="633">
        <f>'12.23面积'!N183</f>
        <v>41.07</v>
      </c>
      <c r="C173" s="21">
        <f t="shared" si="26"/>
        <v>1</v>
      </c>
      <c r="D173" s="635"/>
      <c r="E173" s="21">
        <f t="shared" si="27"/>
        <v>1</v>
      </c>
      <c r="F173" s="635"/>
      <c r="G173" s="21">
        <f t="shared" si="28"/>
        <v>1</v>
      </c>
      <c r="H173" s="635"/>
      <c r="I173" s="21">
        <f t="shared" si="29"/>
        <v>1</v>
      </c>
      <c r="J173" s="635"/>
      <c r="K173" s="21">
        <f t="shared" si="30"/>
        <v>1</v>
      </c>
      <c r="L173" s="635"/>
      <c r="M173" s="21">
        <f t="shared" si="31"/>
        <v>1</v>
      </c>
      <c r="N173" s="635"/>
      <c r="O173" s="21">
        <f t="shared" si="32"/>
        <v>1</v>
      </c>
      <c r="P173" s="635"/>
      <c r="Q173" s="21">
        <f t="shared" si="33"/>
        <v>1</v>
      </c>
      <c r="R173" s="21">
        <f t="shared" ca="1" si="34"/>
        <v>25380</v>
      </c>
      <c r="S173" s="308">
        <f t="shared" ca="1" si="25"/>
        <v>104</v>
      </c>
    </row>
    <row r="174" spans="1:19">
      <c r="A174" s="633" t="str">
        <f>'12.23面积'!M184</f>
        <v>7-116</v>
      </c>
      <c r="B174" s="633">
        <f>'12.23面积'!N184</f>
        <v>56.59</v>
      </c>
      <c r="C174" s="21">
        <f t="shared" si="26"/>
        <v>1</v>
      </c>
      <c r="D174" s="635"/>
      <c r="E174" s="21">
        <f t="shared" si="27"/>
        <v>1</v>
      </c>
      <c r="F174" s="635"/>
      <c r="G174" s="21">
        <f t="shared" si="28"/>
        <v>1</v>
      </c>
      <c r="H174" s="635"/>
      <c r="I174" s="21">
        <f t="shared" si="29"/>
        <v>1</v>
      </c>
      <c r="J174" s="635"/>
      <c r="K174" s="21">
        <f t="shared" si="30"/>
        <v>1</v>
      </c>
      <c r="L174" s="635"/>
      <c r="M174" s="21">
        <f t="shared" si="31"/>
        <v>1</v>
      </c>
      <c r="N174" s="635"/>
      <c r="O174" s="21">
        <f t="shared" si="32"/>
        <v>1</v>
      </c>
      <c r="P174" s="635"/>
      <c r="Q174" s="21">
        <f t="shared" si="33"/>
        <v>1</v>
      </c>
      <c r="R174" s="21">
        <f t="shared" ca="1" si="34"/>
        <v>25380</v>
      </c>
      <c r="S174" s="308">
        <f t="shared" ca="1" si="25"/>
        <v>144</v>
      </c>
    </row>
    <row r="175" spans="1:19">
      <c r="A175" s="633" t="str">
        <f>'12.23面积'!M185</f>
        <v>7-117</v>
      </c>
      <c r="B175" s="633">
        <f>'12.23面积'!N185</f>
        <v>23.61</v>
      </c>
      <c r="C175" s="21">
        <f t="shared" si="26"/>
        <v>1.01</v>
      </c>
      <c r="D175" s="635"/>
      <c r="E175" s="21">
        <f t="shared" si="27"/>
        <v>1</v>
      </c>
      <c r="F175" s="635"/>
      <c r="G175" s="21">
        <f t="shared" si="28"/>
        <v>1</v>
      </c>
      <c r="H175" s="635"/>
      <c r="I175" s="21">
        <f t="shared" si="29"/>
        <v>1</v>
      </c>
      <c r="J175" s="635"/>
      <c r="K175" s="21">
        <f t="shared" si="30"/>
        <v>1</v>
      </c>
      <c r="L175" s="635"/>
      <c r="M175" s="21">
        <f t="shared" si="31"/>
        <v>1</v>
      </c>
      <c r="N175" s="635"/>
      <c r="O175" s="21">
        <f t="shared" si="32"/>
        <v>1</v>
      </c>
      <c r="P175" s="635"/>
      <c r="Q175" s="21">
        <f t="shared" si="33"/>
        <v>1</v>
      </c>
      <c r="R175" s="21">
        <f t="shared" ca="1" si="34"/>
        <v>25634</v>
      </c>
      <c r="S175" s="308">
        <f t="shared" ca="1" si="25"/>
        <v>61</v>
      </c>
    </row>
    <row r="176" spans="1:19">
      <c r="A176" s="633" t="str">
        <f>'12.23面积'!M186</f>
        <v>7-123</v>
      </c>
      <c r="B176" s="633">
        <f>'12.23面积'!N186</f>
        <v>27.55</v>
      </c>
      <c r="C176" s="21">
        <f t="shared" si="26"/>
        <v>1.01</v>
      </c>
      <c r="D176" s="635"/>
      <c r="E176" s="21">
        <f t="shared" si="27"/>
        <v>1</v>
      </c>
      <c r="F176" s="635"/>
      <c r="G176" s="21">
        <f t="shared" si="28"/>
        <v>1</v>
      </c>
      <c r="H176" s="635"/>
      <c r="I176" s="21">
        <f t="shared" si="29"/>
        <v>1</v>
      </c>
      <c r="J176" s="635"/>
      <c r="K176" s="21">
        <f t="shared" si="30"/>
        <v>1</v>
      </c>
      <c r="L176" s="635"/>
      <c r="M176" s="21">
        <f t="shared" si="31"/>
        <v>1</v>
      </c>
      <c r="N176" s="635"/>
      <c r="O176" s="21">
        <f t="shared" si="32"/>
        <v>1</v>
      </c>
      <c r="P176" s="635"/>
      <c r="Q176" s="21">
        <f t="shared" si="33"/>
        <v>1</v>
      </c>
      <c r="R176" s="21">
        <f t="shared" ca="1" si="34"/>
        <v>25634</v>
      </c>
      <c r="S176" s="308">
        <f t="shared" ca="1" si="25"/>
        <v>71</v>
      </c>
    </row>
    <row r="177" spans="1:19">
      <c r="A177" s="633" t="str">
        <f>'12.23面积'!M187</f>
        <v>7-124</v>
      </c>
      <c r="B177" s="633">
        <f>'12.23面积'!N187</f>
        <v>19.11</v>
      </c>
      <c r="C177" s="21">
        <f t="shared" si="26"/>
        <v>1.01</v>
      </c>
      <c r="D177" s="635"/>
      <c r="E177" s="21">
        <f t="shared" si="27"/>
        <v>1</v>
      </c>
      <c r="F177" s="635"/>
      <c r="G177" s="21">
        <f t="shared" si="28"/>
        <v>1</v>
      </c>
      <c r="H177" s="635"/>
      <c r="I177" s="21">
        <f t="shared" si="29"/>
        <v>1</v>
      </c>
      <c r="J177" s="635"/>
      <c r="K177" s="21">
        <f t="shared" si="30"/>
        <v>1</v>
      </c>
      <c r="L177" s="635"/>
      <c r="M177" s="21">
        <f t="shared" si="31"/>
        <v>1</v>
      </c>
      <c r="N177" s="635"/>
      <c r="O177" s="21">
        <f t="shared" si="32"/>
        <v>1</v>
      </c>
      <c r="P177" s="635"/>
      <c r="Q177" s="21">
        <f t="shared" si="33"/>
        <v>1</v>
      </c>
      <c r="R177" s="21">
        <f t="shared" ca="1" si="34"/>
        <v>25634</v>
      </c>
      <c r="S177" s="308">
        <f t="shared" ca="1" si="25"/>
        <v>49</v>
      </c>
    </row>
    <row r="178" spans="1:19">
      <c r="A178" s="633" t="str">
        <f>'12.23面积'!M188</f>
        <v>7-126</v>
      </c>
      <c r="B178" s="633">
        <f>'12.23面积'!N188</f>
        <v>27.74</v>
      </c>
      <c r="C178" s="21">
        <f t="shared" si="26"/>
        <v>1.01</v>
      </c>
      <c r="D178" s="635"/>
      <c r="E178" s="21">
        <f t="shared" si="27"/>
        <v>1</v>
      </c>
      <c r="F178" s="635"/>
      <c r="G178" s="21">
        <f t="shared" si="28"/>
        <v>1</v>
      </c>
      <c r="H178" s="635"/>
      <c r="I178" s="21">
        <f t="shared" si="29"/>
        <v>1</v>
      </c>
      <c r="J178" s="635"/>
      <c r="K178" s="21">
        <f t="shared" si="30"/>
        <v>1</v>
      </c>
      <c r="L178" s="635"/>
      <c r="M178" s="21">
        <f t="shared" si="31"/>
        <v>1</v>
      </c>
      <c r="N178" s="635"/>
      <c r="O178" s="21">
        <f t="shared" si="32"/>
        <v>1</v>
      </c>
      <c r="P178" s="635"/>
      <c r="Q178" s="21">
        <f t="shared" si="33"/>
        <v>1</v>
      </c>
      <c r="R178" s="21">
        <f t="shared" ca="1" si="34"/>
        <v>25634</v>
      </c>
      <c r="S178" s="308">
        <f t="shared" ca="1" si="25"/>
        <v>71</v>
      </c>
    </row>
    <row r="179" spans="1:19">
      <c r="A179" s="633" t="str">
        <f>'12.23面积'!M189</f>
        <v>7-127</v>
      </c>
      <c r="B179" s="633">
        <f>'12.23面积'!N189</f>
        <v>27.55</v>
      </c>
      <c r="C179" s="21">
        <f t="shared" si="26"/>
        <v>1.01</v>
      </c>
      <c r="D179" s="635"/>
      <c r="E179" s="21">
        <f t="shared" si="27"/>
        <v>1</v>
      </c>
      <c r="F179" s="635"/>
      <c r="G179" s="21">
        <f t="shared" si="28"/>
        <v>1</v>
      </c>
      <c r="H179" s="635"/>
      <c r="I179" s="21">
        <f t="shared" si="29"/>
        <v>1</v>
      </c>
      <c r="J179" s="635"/>
      <c r="K179" s="21">
        <f t="shared" si="30"/>
        <v>1</v>
      </c>
      <c r="L179" s="635"/>
      <c r="M179" s="21">
        <f t="shared" si="31"/>
        <v>1</v>
      </c>
      <c r="N179" s="635"/>
      <c r="O179" s="21">
        <f t="shared" si="32"/>
        <v>1</v>
      </c>
      <c r="P179" s="635"/>
      <c r="Q179" s="21">
        <f t="shared" si="33"/>
        <v>1</v>
      </c>
      <c r="R179" s="21">
        <f t="shared" ca="1" si="34"/>
        <v>25634</v>
      </c>
      <c r="S179" s="308">
        <f t="shared" ca="1" si="25"/>
        <v>71</v>
      </c>
    </row>
    <row r="180" spans="1:19">
      <c r="A180" s="633" t="str">
        <f>'12.23面积'!M190</f>
        <v>7-128</v>
      </c>
      <c r="B180" s="633">
        <f>'12.23面积'!N190</f>
        <v>19.75</v>
      </c>
      <c r="C180" s="21">
        <f t="shared" si="26"/>
        <v>1.01</v>
      </c>
      <c r="D180" s="635"/>
      <c r="E180" s="21">
        <f t="shared" si="27"/>
        <v>1</v>
      </c>
      <c r="F180" s="635"/>
      <c r="G180" s="21">
        <f t="shared" si="28"/>
        <v>1</v>
      </c>
      <c r="H180" s="635"/>
      <c r="I180" s="21">
        <f t="shared" si="29"/>
        <v>1</v>
      </c>
      <c r="J180" s="635"/>
      <c r="K180" s="21">
        <f t="shared" si="30"/>
        <v>1</v>
      </c>
      <c r="L180" s="635"/>
      <c r="M180" s="21">
        <f t="shared" si="31"/>
        <v>1</v>
      </c>
      <c r="N180" s="635"/>
      <c r="O180" s="21">
        <f t="shared" si="32"/>
        <v>1</v>
      </c>
      <c r="P180" s="635"/>
      <c r="Q180" s="21">
        <f t="shared" si="33"/>
        <v>1</v>
      </c>
      <c r="R180" s="21">
        <f t="shared" ca="1" si="34"/>
        <v>25634</v>
      </c>
      <c r="S180" s="308">
        <f t="shared" ca="1" si="25"/>
        <v>51</v>
      </c>
    </row>
    <row r="181" spans="1:19">
      <c r="A181" s="633" t="str">
        <f>'12.23面积'!M191</f>
        <v>7-202</v>
      </c>
      <c r="B181" s="633">
        <f>'12.23面积'!N191</f>
        <v>16.329999999999998</v>
      </c>
      <c r="C181" s="21">
        <f t="shared" si="26"/>
        <v>1.01</v>
      </c>
      <c r="D181" s="635"/>
      <c r="E181" s="21">
        <f t="shared" si="27"/>
        <v>1</v>
      </c>
      <c r="F181" s="635"/>
      <c r="G181" s="21">
        <f t="shared" si="28"/>
        <v>1</v>
      </c>
      <c r="H181" s="635"/>
      <c r="I181" s="21">
        <f t="shared" si="29"/>
        <v>1</v>
      </c>
      <c r="J181" s="635"/>
      <c r="K181" s="21">
        <f t="shared" si="30"/>
        <v>1</v>
      </c>
      <c r="L181" s="635"/>
      <c r="M181" s="21">
        <f t="shared" si="31"/>
        <v>1</v>
      </c>
      <c r="N181" s="635"/>
      <c r="O181" s="21">
        <f t="shared" si="32"/>
        <v>1</v>
      </c>
      <c r="P181" s="635"/>
      <c r="Q181" s="21">
        <f t="shared" si="33"/>
        <v>1</v>
      </c>
      <c r="R181" s="21">
        <f t="shared" ca="1" si="34"/>
        <v>25634</v>
      </c>
      <c r="S181" s="308">
        <f t="shared" ca="1" si="25"/>
        <v>42</v>
      </c>
    </row>
    <row r="182" spans="1:19">
      <c r="A182" s="633" t="str">
        <f>'12.23面积'!M192</f>
        <v>7-203</v>
      </c>
      <c r="B182" s="633">
        <f>'12.23面积'!N192</f>
        <v>12.38</v>
      </c>
      <c r="C182" s="21">
        <f t="shared" si="26"/>
        <v>1.01</v>
      </c>
      <c r="D182" s="635"/>
      <c r="E182" s="21">
        <f t="shared" si="27"/>
        <v>1</v>
      </c>
      <c r="F182" s="635"/>
      <c r="G182" s="21">
        <f t="shared" si="28"/>
        <v>1</v>
      </c>
      <c r="H182" s="635"/>
      <c r="I182" s="21">
        <f t="shared" si="29"/>
        <v>1</v>
      </c>
      <c r="J182" s="635"/>
      <c r="K182" s="21">
        <f t="shared" si="30"/>
        <v>1</v>
      </c>
      <c r="L182" s="635"/>
      <c r="M182" s="21">
        <f t="shared" si="31"/>
        <v>1</v>
      </c>
      <c r="N182" s="635"/>
      <c r="O182" s="21">
        <f t="shared" si="32"/>
        <v>1</v>
      </c>
      <c r="P182" s="635"/>
      <c r="Q182" s="21">
        <f t="shared" si="33"/>
        <v>1</v>
      </c>
      <c r="R182" s="21">
        <f t="shared" ca="1" si="34"/>
        <v>25634</v>
      </c>
      <c r="S182" s="308">
        <f t="shared" ca="1" si="25"/>
        <v>32</v>
      </c>
    </row>
    <row r="183" spans="1:19">
      <c r="A183" s="633" t="str">
        <f>'12.23面积'!M193</f>
        <v>7-205</v>
      </c>
      <c r="B183" s="633">
        <f>'12.23面积'!N193</f>
        <v>12.38</v>
      </c>
      <c r="C183" s="21">
        <f t="shared" si="26"/>
        <v>1.01</v>
      </c>
      <c r="D183" s="635"/>
      <c r="E183" s="21">
        <f t="shared" si="27"/>
        <v>1</v>
      </c>
      <c r="F183" s="635"/>
      <c r="G183" s="21">
        <f t="shared" si="28"/>
        <v>1</v>
      </c>
      <c r="H183" s="635"/>
      <c r="I183" s="21">
        <f t="shared" si="29"/>
        <v>1</v>
      </c>
      <c r="J183" s="635"/>
      <c r="K183" s="21">
        <f t="shared" si="30"/>
        <v>1</v>
      </c>
      <c r="L183" s="635"/>
      <c r="M183" s="21">
        <f t="shared" si="31"/>
        <v>1</v>
      </c>
      <c r="N183" s="635"/>
      <c r="O183" s="21">
        <f t="shared" si="32"/>
        <v>1</v>
      </c>
      <c r="P183" s="635"/>
      <c r="Q183" s="21">
        <f t="shared" si="33"/>
        <v>1</v>
      </c>
      <c r="R183" s="21">
        <f t="shared" ca="1" si="34"/>
        <v>25634</v>
      </c>
      <c r="S183" s="308">
        <f t="shared" ca="1" si="25"/>
        <v>32</v>
      </c>
    </row>
    <row r="184" spans="1:19">
      <c r="A184" s="633" t="str">
        <f>'12.23面积'!M194</f>
        <v>8-101</v>
      </c>
      <c r="B184" s="633">
        <f>'12.23面积'!N194</f>
        <v>30.99</v>
      </c>
      <c r="C184" s="21">
        <f t="shared" si="26"/>
        <v>1</v>
      </c>
      <c r="D184" s="635"/>
      <c r="E184" s="21">
        <f t="shared" si="27"/>
        <v>1</v>
      </c>
      <c r="F184" s="635"/>
      <c r="G184" s="21">
        <f t="shared" si="28"/>
        <v>1</v>
      </c>
      <c r="H184" s="635"/>
      <c r="I184" s="21">
        <f t="shared" si="29"/>
        <v>1</v>
      </c>
      <c r="J184" s="635"/>
      <c r="K184" s="21">
        <f t="shared" si="30"/>
        <v>1</v>
      </c>
      <c r="L184" s="635"/>
      <c r="M184" s="21">
        <f t="shared" si="31"/>
        <v>1</v>
      </c>
      <c r="N184" s="635"/>
      <c r="O184" s="21">
        <f t="shared" si="32"/>
        <v>1</v>
      </c>
      <c r="P184" s="635"/>
      <c r="Q184" s="21">
        <f t="shared" si="33"/>
        <v>1</v>
      </c>
      <c r="R184" s="21">
        <f t="shared" ca="1" si="34"/>
        <v>25380</v>
      </c>
      <c r="S184" s="308">
        <f t="shared" ca="1" si="25"/>
        <v>79</v>
      </c>
    </row>
    <row r="185" spans="1:19">
      <c r="A185" s="633" t="str">
        <f>'12.23面积'!M195</f>
        <v>8-102</v>
      </c>
      <c r="B185" s="633">
        <f>'12.23面积'!N195</f>
        <v>16.059999999999999</v>
      </c>
      <c r="C185" s="21">
        <f t="shared" si="26"/>
        <v>1.01</v>
      </c>
      <c r="D185" s="635"/>
      <c r="E185" s="21">
        <f t="shared" si="27"/>
        <v>1</v>
      </c>
      <c r="F185" s="635"/>
      <c r="G185" s="21">
        <f t="shared" si="28"/>
        <v>1</v>
      </c>
      <c r="H185" s="635"/>
      <c r="I185" s="21">
        <f t="shared" si="29"/>
        <v>1</v>
      </c>
      <c r="J185" s="635"/>
      <c r="K185" s="21">
        <f t="shared" si="30"/>
        <v>1</v>
      </c>
      <c r="L185" s="635"/>
      <c r="M185" s="21">
        <f t="shared" si="31"/>
        <v>1</v>
      </c>
      <c r="N185" s="635"/>
      <c r="O185" s="21">
        <f t="shared" si="32"/>
        <v>1</v>
      </c>
      <c r="P185" s="635"/>
      <c r="Q185" s="21">
        <f t="shared" si="33"/>
        <v>1</v>
      </c>
      <c r="R185" s="21">
        <f t="shared" ca="1" si="34"/>
        <v>25634</v>
      </c>
      <c r="S185" s="308">
        <f t="shared" ca="1" si="25"/>
        <v>41</v>
      </c>
    </row>
    <row r="186" spans="1:19">
      <c r="A186" s="633" t="str">
        <f>'12.23面积'!M196</f>
        <v>8-103</v>
      </c>
      <c r="B186" s="633">
        <f>'12.23面积'!N196</f>
        <v>46.49</v>
      </c>
      <c r="C186" s="21">
        <f t="shared" si="26"/>
        <v>1</v>
      </c>
      <c r="D186" s="635"/>
      <c r="E186" s="21">
        <f t="shared" si="27"/>
        <v>1</v>
      </c>
      <c r="F186" s="635"/>
      <c r="G186" s="21">
        <f t="shared" si="28"/>
        <v>1</v>
      </c>
      <c r="H186" s="635"/>
      <c r="I186" s="21">
        <f t="shared" si="29"/>
        <v>1</v>
      </c>
      <c r="J186" s="635"/>
      <c r="K186" s="21">
        <f t="shared" si="30"/>
        <v>1</v>
      </c>
      <c r="L186" s="635"/>
      <c r="M186" s="21">
        <f t="shared" si="31"/>
        <v>1</v>
      </c>
      <c r="N186" s="635"/>
      <c r="O186" s="21">
        <f t="shared" si="32"/>
        <v>1</v>
      </c>
      <c r="P186" s="635"/>
      <c r="Q186" s="21">
        <f t="shared" si="33"/>
        <v>1</v>
      </c>
      <c r="R186" s="21">
        <f t="shared" ca="1" si="34"/>
        <v>25380</v>
      </c>
      <c r="S186" s="308">
        <f t="shared" ca="1" si="25"/>
        <v>118</v>
      </c>
    </row>
    <row r="187" spans="1:19">
      <c r="A187" s="633" t="str">
        <f>'12.23面积'!M197</f>
        <v>8-104</v>
      </c>
      <c r="B187" s="633">
        <f>'12.23面积'!N197</f>
        <v>53.7</v>
      </c>
      <c r="C187" s="21">
        <f t="shared" si="26"/>
        <v>1</v>
      </c>
      <c r="D187" s="635"/>
      <c r="E187" s="21">
        <f t="shared" si="27"/>
        <v>1</v>
      </c>
      <c r="F187" s="635"/>
      <c r="G187" s="21">
        <f t="shared" si="28"/>
        <v>1</v>
      </c>
      <c r="H187" s="635"/>
      <c r="I187" s="21">
        <f t="shared" si="29"/>
        <v>1</v>
      </c>
      <c r="J187" s="635"/>
      <c r="K187" s="21">
        <f t="shared" si="30"/>
        <v>1</v>
      </c>
      <c r="L187" s="635"/>
      <c r="M187" s="21">
        <f t="shared" si="31"/>
        <v>1</v>
      </c>
      <c r="N187" s="635"/>
      <c r="O187" s="21">
        <f t="shared" si="32"/>
        <v>1</v>
      </c>
      <c r="P187" s="635"/>
      <c r="Q187" s="21">
        <f t="shared" si="33"/>
        <v>1</v>
      </c>
      <c r="R187" s="21">
        <f t="shared" ca="1" si="34"/>
        <v>25380</v>
      </c>
      <c r="S187" s="308">
        <f t="shared" ca="1" si="25"/>
        <v>136</v>
      </c>
    </row>
    <row r="188" spans="1:19">
      <c r="A188" s="633" t="str">
        <f>'12.23面积'!M198</f>
        <v>8-105</v>
      </c>
      <c r="B188" s="633">
        <f>'12.23面积'!N198</f>
        <v>23.63</v>
      </c>
      <c r="C188" s="21">
        <f t="shared" si="26"/>
        <v>1.01</v>
      </c>
      <c r="D188" s="635"/>
      <c r="E188" s="21">
        <f t="shared" si="27"/>
        <v>1</v>
      </c>
      <c r="F188" s="635"/>
      <c r="G188" s="21">
        <f t="shared" si="28"/>
        <v>1</v>
      </c>
      <c r="H188" s="635"/>
      <c r="I188" s="21">
        <f t="shared" si="29"/>
        <v>1</v>
      </c>
      <c r="J188" s="635"/>
      <c r="K188" s="21">
        <f t="shared" si="30"/>
        <v>1</v>
      </c>
      <c r="L188" s="635"/>
      <c r="M188" s="21">
        <f t="shared" si="31"/>
        <v>1</v>
      </c>
      <c r="N188" s="635"/>
      <c r="O188" s="21">
        <f t="shared" si="32"/>
        <v>1</v>
      </c>
      <c r="P188" s="635"/>
      <c r="Q188" s="21">
        <f t="shared" si="33"/>
        <v>1</v>
      </c>
      <c r="R188" s="21">
        <f t="shared" ca="1" si="34"/>
        <v>25634</v>
      </c>
      <c r="S188" s="308">
        <f t="shared" ca="1" si="25"/>
        <v>61</v>
      </c>
    </row>
    <row r="189" spans="1:19">
      <c r="A189" s="633" t="str">
        <f>'12.23面积'!M199</f>
        <v>8-107</v>
      </c>
      <c r="B189" s="633">
        <f>'12.23面积'!N199</f>
        <v>56.67</v>
      </c>
      <c r="C189" s="21">
        <f t="shared" si="26"/>
        <v>1</v>
      </c>
      <c r="D189" s="635"/>
      <c r="E189" s="21">
        <f t="shared" si="27"/>
        <v>1</v>
      </c>
      <c r="F189" s="635"/>
      <c r="G189" s="21">
        <f t="shared" si="28"/>
        <v>1</v>
      </c>
      <c r="H189" s="635"/>
      <c r="I189" s="21">
        <f t="shared" si="29"/>
        <v>1</v>
      </c>
      <c r="J189" s="635"/>
      <c r="K189" s="21">
        <f t="shared" si="30"/>
        <v>1</v>
      </c>
      <c r="L189" s="635"/>
      <c r="M189" s="21">
        <f t="shared" si="31"/>
        <v>1</v>
      </c>
      <c r="N189" s="635"/>
      <c r="O189" s="21">
        <f t="shared" si="32"/>
        <v>1</v>
      </c>
      <c r="P189" s="635"/>
      <c r="Q189" s="21">
        <f t="shared" si="33"/>
        <v>1</v>
      </c>
      <c r="R189" s="21">
        <f t="shared" ca="1" si="34"/>
        <v>25380</v>
      </c>
      <c r="S189" s="308">
        <f t="shared" ca="1" si="25"/>
        <v>144</v>
      </c>
    </row>
    <row r="190" spans="1:19">
      <c r="A190" s="633" t="str">
        <f>'12.23面积'!M200</f>
        <v>8-108</v>
      </c>
      <c r="B190" s="633">
        <f>'12.23面积'!N200</f>
        <v>41.1</v>
      </c>
      <c r="C190" s="21">
        <f t="shared" si="26"/>
        <v>1</v>
      </c>
      <c r="D190" s="635"/>
      <c r="E190" s="21">
        <f t="shared" si="27"/>
        <v>1</v>
      </c>
      <c r="F190" s="635"/>
      <c r="G190" s="21">
        <f t="shared" si="28"/>
        <v>1</v>
      </c>
      <c r="H190" s="635"/>
      <c r="I190" s="21">
        <f t="shared" si="29"/>
        <v>1</v>
      </c>
      <c r="J190" s="635"/>
      <c r="K190" s="21">
        <f t="shared" si="30"/>
        <v>1</v>
      </c>
      <c r="L190" s="635"/>
      <c r="M190" s="21">
        <f t="shared" si="31"/>
        <v>1</v>
      </c>
      <c r="N190" s="635"/>
      <c r="O190" s="21">
        <f t="shared" si="32"/>
        <v>1</v>
      </c>
      <c r="P190" s="635"/>
      <c r="Q190" s="21">
        <f t="shared" si="33"/>
        <v>1</v>
      </c>
      <c r="R190" s="21">
        <f t="shared" ca="1" si="34"/>
        <v>25380</v>
      </c>
      <c r="S190" s="308">
        <f t="shared" ca="1" si="25"/>
        <v>104</v>
      </c>
    </row>
    <row r="191" spans="1:19">
      <c r="A191" s="633" t="str">
        <f>'12.23面积'!M201</f>
        <v>8-109</v>
      </c>
      <c r="B191" s="633">
        <f>'12.23面积'!N201</f>
        <v>41.1</v>
      </c>
      <c r="C191" s="21">
        <f t="shared" si="26"/>
        <v>1</v>
      </c>
      <c r="D191" s="635"/>
      <c r="E191" s="21">
        <f t="shared" si="27"/>
        <v>1</v>
      </c>
      <c r="F191" s="635"/>
      <c r="G191" s="21">
        <f t="shared" si="28"/>
        <v>1</v>
      </c>
      <c r="H191" s="635"/>
      <c r="I191" s="21">
        <f t="shared" si="29"/>
        <v>1</v>
      </c>
      <c r="J191" s="635"/>
      <c r="K191" s="21">
        <f t="shared" si="30"/>
        <v>1</v>
      </c>
      <c r="L191" s="635"/>
      <c r="M191" s="21">
        <f t="shared" si="31"/>
        <v>1</v>
      </c>
      <c r="N191" s="635"/>
      <c r="O191" s="21">
        <f t="shared" si="32"/>
        <v>1</v>
      </c>
      <c r="P191" s="635"/>
      <c r="Q191" s="21">
        <f t="shared" si="33"/>
        <v>1</v>
      </c>
      <c r="R191" s="21">
        <f t="shared" ca="1" si="34"/>
        <v>25380</v>
      </c>
      <c r="S191" s="308">
        <f t="shared" ca="1" si="25"/>
        <v>104</v>
      </c>
    </row>
    <row r="192" spans="1:19">
      <c r="A192" s="633" t="str">
        <f>'12.23面积'!M202</f>
        <v>8-110</v>
      </c>
      <c r="B192" s="633">
        <f>'12.23面积'!N202</f>
        <v>56.67</v>
      </c>
      <c r="C192" s="21">
        <f t="shared" si="26"/>
        <v>1</v>
      </c>
      <c r="D192" s="635"/>
      <c r="E192" s="21">
        <f t="shared" si="27"/>
        <v>1</v>
      </c>
      <c r="F192" s="635"/>
      <c r="G192" s="21">
        <f t="shared" si="28"/>
        <v>1</v>
      </c>
      <c r="H192" s="635"/>
      <c r="I192" s="21">
        <f t="shared" si="29"/>
        <v>1</v>
      </c>
      <c r="J192" s="635"/>
      <c r="K192" s="21">
        <f t="shared" si="30"/>
        <v>1</v>
      </c>
      <c r="L192" s="635"/>
      <c r="M192" s="21">
        <f t="shared" si="31"/>
        <v>1</v>
      </c>
      <c r="N192" s="635"/>
      <c r="O192" s="21">
        <f t="shared" si="32"/>
        <v>1</v>
      </c>
      <c r="P192" s="635"/>
      <c r="Q192" s="21">
        <f t="shared" si="33"/>
        <v>1</v>
      </c>
      <c r="R192" s="21">
        <f t="shared" ca="1" si="34"/>
        <v>25380</v>
      </c>
      <c r="S192" s="308">
        <f t="shared" ca="1" si="25"/>
        <v>144</v>
      </c>
    </row>
    <row r="193" spans="1:19">
      <c r="A193" s="633" t="str">
        <f>'12.23面积'!M203</f>
        <v>8-112</v>
      </c>
      <c r="B193" s="633">
        <f>'12.23面积'!N203</f>
        <v>23.63</v>
      </c>
      <c r="C193" s="21">
        <f t="shared" si="26"/>
        <v>1.01</v>
      </c>
      <c r="D193" s="635"/>
      <c r="E193" s="21">
        <f t="shared" si="27"/>
        <v>1</v>
      </c>
      <c r="F193" s="635"/>
      <c r="G193" s="21">
        <f t="shared" si="28"/>
        <v>1</v>
      </c>
      <c r="H193" s="635"/>
      <c r="I193" s="21">
        <f t="shared" si="29"/>
        <v>1</v>
      </c>
      <c r="J193" s="635"/>
      <c r="K193" s="21">
        <f t="shared" si="30"/>
        <v>1</v>
      </c>
      <c r="L193" s="635"/>
      <c r="M193" s="21">
        <f t="shared" si="31"/>
        <v>1</v>
      </c>
      <c r="N193" s="635"/>
      <c r="O193" s="21">
        <f t="shared" si="32"/>
        <v>1</v>
      </c>
      <c r="P193" s="635"/>
      <c r="Q193" s="21">
        <f t="shared" si="33"/>
        <v>1</v>
      </c>
      <c r="R193" s="21">
        <f t="shared" ca="1" si="34"/>
        <v>25634</v>
      </c>
      <c r="S193" s="308">
        <f t="shared" ca="1" si="25"/>
        <v>61</v>
      </c>
    </row>
    <row r="194" spans="1:19">
      <c r="A194" s="633" t="str">
        <f>'12.23面积'!M204</f>
        <v>8-113</v>
      </c>
      <c r="B194" s="633">
        <f>'12.23面积'!N204</f>
        <v>49.6</v>
      </c>
      <c r="C194" s="21">
        <f t="shared" si="26"/>
        <v>1</v>
      </c>
      <c r="D194" s="635"/>
      <c r="E194" s="21">
        <f t="shared" si="27"/>
        <v>1</v>
      </c>
      <c r="F194" s="635"/>
      <c r="G194" s="21">
        <f t="shared" si="28"/>
        <v>1</v>
      </c>
      <c r="H194" s="635"/>
      <c r="I194" s="21">
        <f t="shared" si="29"/>
        <v>1</v>
      </c>
      <c r="J194" s="635"/>
      <c r="K194" s="21">
        <f t="shared" si="30"/>
        <v>1</v>
      </c>
      <c r="L194" s="635"/>
      <c r="M194" s="21">
        <f t="shared" si="31"/>
        <v>1</v>
      </c>
      <c r="N194" s="635"/>
      <c r="O194" s="21">
        <f t="shared" si="32"/>
        <v>1</v>
      </c>
      <c r="P194" s="635"/>
      <c r="Q194" s="21">
        <f t="shared" si="33"/>
        <v>1</v>
      </c>
      <c r="R194" s="21">
        <f t="shared" ca="1" si="34"/>
        <v>25380</v>
      </c>
      <c r="S194" s="308">
        <f t="shared" ca="1" si="25"/>
        <v>126</v>
      </c>
    </row>
    <row r="195" spans="1:19">
      <c r="A195" s="633" t="str">
        <f>'12.23面积'!M205</f>
        <v>8-114</v>
      </c>
      <c r="B195" s="633">
        <f>'12.23面积'!N205</f>
        <v>47.97</v>
      </c>
      <c r="C195" s="21">
        <f t="shared" si="26"/>
        <v>1</v>
      </c>
      <c r="D195" s="635"/>
      <c r="E195" s="21">
        <f t="shared" si="27"/>
        <v>1</v>
      </c>
      <c r="F195" s="635"/>
      <c r="G195" s="21">
        <f t="shared" si="28"/>
        <v>1</v>
      </c>
      <c r="H195" s="635"/>
      <c r="I195" s="21">
        <f t="shared" si="29"/>
        <v>1</v>
      </c>
      <c r="J195" s="635"/>
      <c r="K195" s="21">
        <f t="shared" si="30"/>
        <v>1</v>
      </c>
      <c r="L195" s="635"/>
      <c r="M195" s="21">
        <f t="shared" si="31"/>
        <v>1</v>
      </c>
      <c r="N195" s="635"/>
      <c r="O195" s="21">
        <f t="shared" si="32"/>
        <v>1</v>
      </c>
      <c r="P195" s="635"/>
      <c r="Q195" s="21">
        <f t="shared" si="33"/>
        <v>1</v>
      </c>
      <c r="R195" s="21">
        <f t="shared" ca="1" si="34"/>
        <v>25380</v>
      </c>
      <c r="S195" s="308">
        <f t="shared" ca="1" si="25"/>
        <v>122</v>
      </c>
    </row>
    <row r="196" spans="1:19">
      <c r="A196" s="633" t="str">
        <f>'12.23面积'!M206</f>
        <v>8-115</v>
      </c>
      <c r="B196" s="633">
        <f>'12.23面积'!N206</f>
        <v>22.61</v>
      </c>
      <c r="C196" s="21">
        <f t="shared" si="26"/>
        <v>1.01</v>
      </c>
      <c r="D196" s="635"/>
      <c r="E196" s="21">
        <f t="shared" si="27"/>
        <v>1</v>
      </c>
      <c r="F196" s="635"/>
      <c r="G196" s="21">
        <f t="shared" si="28"/>
        <v>1</v>
      </c>
      <c r="H196" s="635"/>
      <c r="I196" s="21">
        <f t="shared" si="29"/>
        <v>1</v>
      </c>
      <c r="J196" s="635"/>
      <c r="K196" s="21">
        <f t="shared" si="30"/>
        <v>1</v>
      </c>
      <c r="L196" s="635"/>
      <c r="M196" s="21">
        <f t="shared" si="31"/>
        <v>1</v>
      </c>
      <c r="N196" s="635"/>
      <c r="O196" s="21">
        <f t="shared" si="32"/>
        <v>1</v>
      </c>
      <c r="P196" s="635"/>
      <c r="Q196" s="21">
        <f t="shared" si="33"/>
        <v>1</v>
      </c>
      <c r="R196" s="21">
        <f t="shared" ca="1" si="34"/>
        <v>25634</v>
      </c>
      <c r="S196" s="308">
        <f t="shared" ca="1" si="25"/>
        <v>58</v>
      </c>
    </row>
    <row r="197" spans="1:19">
      <c r="A197" s="633" t="str">
        <f>'12.23面积'!M207</f>
        <v>8-116</v>
      </c>
      <c r="B197" s="633">
        <f>'12.23面积'!N207</f>
        <v>27.98</v>
      </c>
      <c r="C197" s="21">
        <f t="shared" si="26"/>
        <v>1.01</v>
      </c>
      <c r="D197" s="635"/>
      <c r="E197" s="21">
        <f t="shared" si="27"/>
        <v>1</v>
      </c>
      <c r="F197" s="635"/>
      <c r="G197" s="21">
        <f t="shared" si="28"/>
        <v>1</v>
      </c>
      <c r="H197" s="635"/>
      <c r="I197" s="21">
        <f t="shared" si="29"/>
        <v>1</v>
      </c>
      <c r="J197" s="635"/>
      <c r="K197" s="21">
        <f t="shared" si="30"/>
        <v>1</v>
      </c>
      <c r="L197" s="635"/>
      <c r="M197" s="21">
        <f t="shared" si="31"/>
        <v>1</v>
      </c>
      <c r="N197" s="635"/>
      <c r="O197" s="21">
        <f t="shared" si="32"/>
        <v>1</v>
      </c>
      <c r="P197" s="635"/>
      <c r="Q197" s="21">
        <f t="shared" si="33"/>
        <v>1</v>
      </c>
      <c r="R197" s="21">
        <f t="shared" ca="1" si="34"/>
        <v>25634</v>
      </c>
      <c r="S197" s="308">
        <f t="shared" ca="1" si="25"/>
        <v>72</v>
      </c>
    </row>
    <row r="198" spans="1:19">
      <c r="A198" s="633" t="str">
        <f>'12.23面积'!M208</f>
        <v>8-117</v>
      </c>
      <c r="B198" s="633">
        <f>'12.23面积'!N208</f>
        <v>27.57</v>
      </c>
      <c r="C198" s="21">
        <f t="shared" si="26"/>
        <v>1.01</v>
      </c>
      <c r="D198" s="635"/>
      <c r="E198" s="21">
        <f t="shared" si="27"/>
        <v>1</v>
      </c>
      <c r="F198" s="635"/>
      <c r="G198" s="21">
        <f t="shared" si="28"/>
        <v>1</v>
      </c>
      <c r="H198" s="635"/>
      <c r="I198" s="21">
        <f t="shared" si="29"/>
        <v>1</v>
      </c>
      <c r="J198" s="635"/>
      <c r="K198" s="21">
        <f t="shared" si="30"/>
        <v>1</v>
      </c>
      <c r="L198" s="635"/>
      <c r="M198" s="21">
        <f t="shared" si="31"/>
        <v>1</v>
      </c>
      <c r="N198" s="635"/>
      <c r="O198" s="21">
        <f t="shared" si="32"/>
        <v>1</v>
      </c>
      <c r="P198" s="635"/>
      <c r="Q198" s="21">
        <f t="shared" si="33"/>
        <v>1</v>
      </c>
      <c r="R198" s="21">
        <f t="shared" ca="1" si="34"/>
        <v>25634</v>
      </c>
      <c r="S198" s="308">
        <f t="shared" ca="1" si="25"/>
        <v>71</v>
      </c>
    </row>
    <row r="199" spans="1:19">
      <c r="A199" s="633" t="str">
        <f>'12.23面积'!M209</f>
        <v>8-118</v>
      </c>
      <c r="B199" s="633">
        <f>'12.23面积'!N209</f>
        <v>19.13</v>
      </c>
      <c r="C199" s="21">
        <f t="shared" si="26"/>
        <v>1.01</v>
      </c>
      <c r="D199" s="635"/>
      <c r="E199" s="21">
        <f t="shared" si="27"/>
        <v>1</v>
      </c>
      <c r="F199" s="635"/>
      <c r="G199" s="21">
        <f t="shared" si="28"/>
        <v>1</v>
      </c>
      <c r="H199" s="635"/>
      <c r="I199" s="21">
        <f t="shared" si="29"/>
        <v>1</v>
      </c>
      <c r="J199" s="635"/>
      <c r="K199" s="21">
        <f t="shared" si="30"/>
        <v>1</v>
      </c>
      <c r="L199" s="635"/>
      <c r="M199" s="21">
        <f t="shared" si="31"/>
        <v>1</v>
      </c>
      <c r="N199" s="635"/>
      <c r="O199" s="21">
        <f t="shared" si="32"/>
        <v>1</v>
      </c>
      <c r="P199" s="635"/>
      <c r="Q199" s="21">
        <f t="shared" si="33"/>
        <v>1</v>
      </c>
      <c r="R199" s="21">
        <f t="shared" ca="1" si="34"/>
        <v>25634</v>
      </c>
      <c r="S199" s="308">
        <f t="shared" ca="1" si="25"/>
        <v>49</v>
      </c>
    </row>
    <row r="200" spans="1:19">
      <c r="A200" s="633" t="str">
        <f>'12.23面积'!M210</f>
        <v>8-119</v>
      </c>
      <c r="B200" s="633">
        <f>'12.23面积'!N210</f>
        <v>19.13</v>
      </c>
      <c r="C200" s="21">
        <f t="shared" si="26"/>
        <v>1.01</v>
      </c>
      <c r="D200" s="635"/>
      <c r="E200" s="21">
        <f t="shared" si="27"/>
        <v>1</v>
      </c>
      <c r="F200" s="635"/>
      <c r="G200" s="21">
        <f t="shared" si="28"/>
        <v>1</v>
      </c>
      <c r="H200" s="635"/>
      <c r="I200" s="21">
        <f t="shared" si="29"/>
        <v>1</v>
      </c>
      <c r="J200" s="635"/>
      <c r="K200" s="21">
        <f t="shared" si="30"/>
        <v>1</v>
      </c>
      <c r="L200" s="635"/>
      <c r="M200" s="21">
        <f t="shared" si="31"/>
        <v>1</v>
      </c>
      <c r="N200" s="635"/>
      <c r="O200" s="21">
        <f t="shared" si="32"/>
        <v>1</v>
      </c>
      <c r="P200" s="635"/>
      <c r="Q200" s="21">
        <f t="shared" si="33"/>
        <v>1</v>
      </c>
      <c r="R200" s="21">
        <f t="shared" ca="1" si="34"/>
        <v>25634</v>
      </c>
      <c r="S200" s="308">
        <f t="shared" ca="1" si="25"/>
        <v>49</v>
      </c>
    </row>
    <row r="201" spans="1:19">
      <c r="A201" s="633" t="str">
        <f>'12.23面积'!M211</f>
        <v>8-120</v>
      </c>
      <c r="B201" s="633">
        <f>'12.23面积'!N211</f>
        <v>27.57</v>
      </c>
      <c r="C201" s="21">
        <f t="shared" si="26"/>
        <v>1.01</v>
      </c>
      <c r="D201" s="635"/>
      <c r="E201" s="21">
        <f t="shared" si="27"/>
        <v>1</v>
      </c>
      <c r="F201" s="635"/>
      <c r="G201" s="21">
        <f t="shared" si="28"/>
        <v>1</v>
      </c>
      <c r="H201" s="635"/>
      <c r="I201" s="21">
        <f t="shared" si="29"/>
        <v>1</v>
      </c>
      <c r="J201" s="635"/>
      <c r="K201" s="21">
        <f t="shared" si="30"/>
        <v>1</v>
      </c>
      <c r="L201" s="635"/>
      <c r="M201" s="21">
        <f t="shared" si="31"/>
        <v>1</v>
      </c>
      <c r="N201" s="635"/>
      <c r="O201" s="21">
        <f t="shared" si="32"/>
        <v>1</v>
      </c>
      <c r="P201" s="635"/>
      <c r="Q201" s="21">
        <f t="shared" si="33"/>
        <v>1</v>
      </c>
      <c r="R201" s="21">
        <f t="shared" ca="1" si="34"/>
        <v>25634</v>
      </c>
      <c r="S201" s="308">
        <f t="shared" ca="1" si="25"/>
        <v>71</v>
      </c>
    </row>
    <row r="202" spans="1:19">
      <c r="A202" s="633" t="str">
        <f>'12.23面积'!M212</f>
        <v>8-201</v>
      </c>
      <c r="B202" s="633">
        <f>'12.23面积'!N212</f>
        <v>18.329999999999998</v>
      </c>
      <c r="C202" s="21">
        <f t="shared" si="26"/>
        <v>1.01</v>
      </c>
      <c r="D202" s="635"/>
      <c r="E202" s="21">
        <f t="shared" si="27"/>
        <v>1</v>
      </c>
      <c r="F202" s="635"/>
      <c r="G202" s="21">
        <f t="shared" si="28"/>
        <v>1</v>
      </c>
      <c r="H202" s="635"/>
      <c r="I202" s="21">
        <f t="shared" si="29"/>
        <v>1</v>
      </c>
      <c r="J202" s="635"/>
      <c r="K202" s="21">
        <f t="shared" si="30"/>
        <v>1</v>
      </c>
      <c r="L202" s="635"/>
      <c r="M202" s="21">
        <f t="shared" si="31"/>
        <v>1</v>
      </c>
      <c r="N202" s="635"/>
      <c r="O202" s="21">
        <f t="shared" si="32"/>
        <v>1</v>
      </c>
      <c r="P202" s="635"/>
      <c r="Q202" s="21">
        <f t="shared" si="33"/>
        <v>1</v>
      </c>
      <c r="R202" s="21">
        <f t="shared" ca="1" si="34"/>
        <v>25634</v>
      </c>
      <c r="S202" s="308">
        <f t="shared" ca="1" si="25"/>
        <v>47</v>
      </c>
    </row>
    <row r="203" spans="1:19">
      <c r="A203" s="633" t="str">
        <f>'12.23面积'!M213</f>
        <v>8-203</v>
      </c>
      <c r="B203" s="633">
        <f>'12.23面积'!N213</f>
        <v>16.350000000000001</v>
      </c>
      <c r="C203" s="21">
        <f t="shared" si="26"/>
        <v>1.01</v>
      </c>
      <c r="D203" s="635"/>
      <c r="E203" s="21">
        <f t="shared" si="27"/>
        <v>1</v>
      </c>
      <c r="F203" s="635"/>
      <c r="G203" s="21">
        <f t="shared" si="28"/>
        <v>1</v>
      </c>
      <c r="H203" s="635"/>
      <c r="I203" s="21">
        <f t="shared" si="29"/>
        <v>1</v>
      </c>
      <c r="J203" s="635"/>
      <c r="K203" s="21">
        <f t="shared" si="30"/>
        <v>1</v>
      </c>
      <c r="L203" s="635"/>
      <c r="M203" s="21">
        <f t="shared" si="31"/>
        <v>1</v>
      </c>
      <c r="N203" s="635"/>
      <c r="O203" s="21">
        <f t="shared" si="32"/>
        <v>1</v>
      </c>
      <c r="P203" s="635"/>
      <c r="Q203" s="21">
        <f t="shared" si="33"/>
        <v>1</v>
      </c>
      <c r="R203" s="21">
        <f t="shared" ca="1" si="34"/>
        <v>25634</v>
      </c>
      <c r="S203" s="308">
        <f t="shared" ca="1" si="25"/>
        <v>42</v>
      </c>
    </row>
    <row r="204" spans="1:19">
      <c r="A204" s="633" t="str">
        <f>'12.23面积'!M214</f>
        <v>8-204</v>
      </c>
      <c r="B204" s="633">
        <f>'12.23面积'!N214</f>
        <v>17.02</v>
      </c>
      <c r="C204" s="21">
        <f t="shared" si="26"/>
        <v>1.01</v>
      </c>
      <c r="D204" s="635"/>
      <c r="E204" s="21">
        <f t="shared" si="27"/>
        <v>1</v>
      </c>
      <c r="F204" s="635"/>
      <c r="G204" s="21">
        <f t="shared" si="28"/>
        <v>1</v>
      </c>
      <c r="H204" s="635"/>
      <c r="I204" s="21">
        <f t="shared" si="29"/>
        <v>1</v>
      </c>
      <c r="J204" s="635"/>
      <c r="K204" s="21">
        <f t="shared" si="30"/>
        <v>1</v>
      </c>
      <c r="L204" s="635"/>
      <c r="M204" s="21">
        <f t="shared" si="31"/>
        <v>1</v>
      </c>
      <c r="N204" s="635"/>
      <c r="O204" s="21">
        <f t="shared" si="32"/>
        <v>1</v>
      </c>
      <c r="P204" s="635"/>
      <c r="Q204" s="21">
        <f t="shared" si="33"/>
        <v>1</v>
      </c>
      <c r="R204" s="21">
        <f t="shared" ca="1" si="34"/>
        <v>25634</v>
      </c>
      <c r="S204" s="308">
        <f t="shared" ca="1" si="25"/>
        <v>44</v>
      </c>
    </row>
    <row r="205" spans="1:19">
      <c r="A205" s="633" t="str">
        <f>'12.23面积'!M215</f>
        <v>9-101</v>
      </c>
      <c r="B205" s="633">
        <f>'12.23面积'!N215</f>
        <v>27.99</v>
      </c>
      <c r="C205" s="21">
        <f t="shared" si="26"/>
        <v>1.01</v>
      </c>
      <c r="D205" s="635"/>
      <c r="E205" s="21">
        <f t="shared" si="27"/>
        <v>1</v>
      </c>
      <c r="F205" s="635"/>
      <c r="G205" s="21">
        <f t="shared" si="28"/>
        <v>1</v>
      </c>
      <c r="H205" s="635"/>
      <c r="I205" s="21">
        <f t="shared" si="29"/>
        <v>1</v>
      </c>
      <c r="J205" s="635"/>
      <c r="K205" s="21">
        <f t="shared" si="30"/>
        <v>1</v>
      </c>
      <c r="L205" s="635"/>
      <c r="M205" s="21">
        <f t="shared" si="31"/>
        <v>1</v>
      </c>
      <c r="N205" s="635"/>
      <c r="O205" s="21">
        <f t="shared" si="32"/>
        <v>1</v>
      </c>
      <c r="P205" s="635"/>
      <c r="Q205" s="21">
        <f t="shared" si="33"/>
        <v>1</v>
      </c>
      <c r="R205" s="21">
        <f t="shared" ca="1" si="34"/>
        <v>25634</v>
      </c>
      <c r="S205" s="308">
        <f t="shared" ca="1" si="25"/>
        <v>72</v>
      </c>
    </row>
    <row r="206" spans="1:19">
      <c r="A206" s="633" t="str">
        <f>'12.23面积'!M216</f>
        <v>9-102</v>
      </c>
      <c r="B206" s="633">
        <f>'12.23面积'!N216</f>
        <v>22.8</v>
      </c>
      <c r="C206" s="21">
        <f t="shared" si="26"/>
        <v>1.01</v>
      </c>
      <c r="D206" s="635"/>
      <c r="E206" s="21">
        <f t="shared" si="27"/>
        <v>1</v>
      </c>
      <c r="F206" s="635"/>
      <c r="G206" s="21">
        <f t="shared" si="28"/>
        <v>1</v>
      </c>
      <c r="H206" s="635"/>
      <c r="I206" s="21">
        <f t="shared" si="29"/>
        <v>1</v>
      </c>
      <c r="J206" s="635"/>
      <c r="K206" s="21">
        <f t="shared" si="30"/>
        <v>1</v>
      </c>
      <c r="L206" s="635"/>
      <c r="M206" s="21">
        <f t="shared" si="31"/>
        <v>1</v>
      </c>
      <c r="N206" s="635"/>
      <c r="O206" s="21">
        <f t="shared" si="32"/>
        <v>1</v>
      </c>
      <c r="P206" s="635"/>
      <c r="Q206" s="21">
        <f t="shared" si="33"/>
        <v>1</v>
      </c>
      <c r="R206" s="21">
        <f t="shared" ca="1" si="34"/>
        <v>25634</v>
      </c>
      <c r="S206" s="308">
        <f t="shared" ca="1" si="25"/>
        <v>58</v>
      </c>
    </row>
    <row r="207" spans="1:19">
      <c r="A207" s="633" t="str">
        <f>'12.23面积'!M217</f>
        <v>9-103</v>
      </c>
      <c r="B207" s="633">
        <f>'12.23面积'!N217</f>
        <v>48</v>
      </c>
      <c r="C207" s="21">
        <f t="shared" si="26"/>
        <v>1</v>
      </c>
      <c r="D207" s="635"/>
      <c r="E207" s="21">
        <f t="shared" si="27"/>
        <v>1</v>
      </c>
      <c r="F207" s="635"/>
      <c r="G207" s="21">
        <f t="shared" si="28"/>
        <v>1</v>
      </c>
      <c r="H207" s="635"/>
      <c r="I207" s="21">
        <f t="shared" si="29"/>
        <v>1</v>
      </c>
      <c r="J207" s="635"/>
      <c r="K207" s="21">
        <f t="shared" si="30"/>
        <v>1</v>
      </c>
      <c r="L207" s="635"/>
      <c r="M207" s="21">
        <f t="shared" si="31"/>
        <v>1</v>
      </c>
      <c r="N207" s="635"/>
      <c r="O207" s="21">
        <f t="shared" si="32"/>
        <v>1</v>
      </c>
      <c r="P207" s="635"/>
      <c r="Q207" s="21">
        <f t="shared" si="33"/>
        <v>1</v>
      </c>
      <c r="R207" s="21">
        <f t="shared" ca="1" si="34"/>
        <v>25380</v>
      </c>
      <c r="S207" s="308">
        <f t="shared" ca="1" si="25"/>
        <v>122</v>
      </c>
    </row>
    <row r="208" spans="1:19">
      <c r="A208" s="633" t="str">
        <f>'12.23面积'!M218</f>
        <v>9-104</v>
      </c>
      <c r="B208" s="633">
        <f>'12.23面积'!N218</f>
        <v>49.63</v>
      </c>
      <c r="C208" s="21">
        <f t="shared" si="26"/>
        <v>1</v>
      </c>
      <c r="D208" s="635"/>
      <c r="E208" s="21">
        <f t="shared" si="27"/>
        <v>1</v>
      </c>
      <c r="F208" s="635"/>
      <c r="G208" s="21">
        <f t="shared" si="28"/>
        <v>1</v>
      </c>
      <c r="H208" s="635"/>
      <c r="I208" s="21">
        <f t="shared" si="29"/>
        <v>1</v>
      </c>
      <c r="J208" s="635"/>
      <c r="K208" s="21">
        <f t="shared" si="30"/>
        <v>1</v>
      </c>
      <c r="L208" s="635"/>
      <c r="M208" s="21">
        <f t="shared" si="31"/>
        <v>1</v>
      </c>
      <c r="N208" s="635"/>
      <c r="O208" s="21">
        <f t="shared" si="32"/>
        <v>1</v>
      </c>
      <c r="P208" s="635"/>
      <c r="Q208" s="21">
        <f t="shared" si="33"/>
        <v>1</v>
      </c>
      <c r="R208" s="21">
        <f t="shared" ca="1" si="34"/>
        <v>25380</v>
      </c>
      <c r="S208" s="308">
        <f t="shared" ca="1" si="25"/>
        <v>126</v>
      </c>
    </row>
    <row r="209" spans="1:19">
      <c r="A209" s="633" t="str">
        <f>'12.23面积'!M219</f>
        <v>9-105</v>
      </c>
      <c r="B209" s="633">
        <f>'12.23面积'!N219</f>
        <v>23.64</v>
      </c>
      <c r="C209" s="21">
        <f t="shared" si="26"/>
        <v>1.01</v>
      </c>
      <c r="D209" s="635"/>
      <c r="E209" s="21">
        <f t="shared" si="27"/>
        <v>1</v>
      </c>
      <c r="F209" s="635"/>
      <c r="G209" s="21">
        <f t="shared" si="28"/>
        <v>1</v>
      </c>
      <c r="H209" s="635"/>
      <c r="I209" s="21">
        <f t="shared" si="29"/>
        <v>1</v>
      </c>
      <c r="J209" s="635"/>
      <c r="K209" s="21">
        <f t="shared" si="30"/>
        <v>1</v>
      </c>
      <c r="L209" s="635"/>
      <c r="M209" s="21">
        <f t="shared" si="31"/>
        <v>1</v>
      </c>
      <c r="N209" s="635"/>
      <c r="O209" s="21">
        <f t="shared" si="32"/>
        <v>1</v>
      </c>
      <c r="P209" s="635"/>
      <c r="Q209" s="21">
        <f t="shared" si="33"/>
        <v>1</v>
      </c>
      <c r="R209" s="21">
        <f t="shared" ca="1" si="34"/>
        <v>25634</v>
      </c>
      <c r="S209" s="308">
        <f t="shared" ca="1" si="25"/>
        <v>61</v>
      </c>
    </row>
    <row r="210" spans="1:19">
      <c r="A210" s="633" t="str">
        <f>'12.23面积'!M220</f>
        <v>9-107</v>
      </c>
      <c r="B210" s="633">
        <f>'12.23面积'!N220</f>
        <v>56.69</v>
      </c>
      <c r="C210" s="21">
        <f t="shared" si="26"/>
        <v>1</v>
      </c>
      <c r="D210" s="635"/>
      <c r="E210" s="21">
        <f t="shared" si="27"/>
        <v>1</v>
      </c>
      <c r="F210" s="635"/>
      <c r="G210" s="21">
        <f t="shared" si="28"/>
        <v>1</v>
      </c>
      <c r="H210" s="635"/>
      <c r="I210" s="21">
        <f t="shared" si="29"/>
        <v>1</v>
      </c>
      <c r="J210" s="635"/>
      <c r="K210" s="21">
        <f t="shared" si="30"/>
        <v>1</v>
      </c>
      <c r="L210" s="635"/>
      <c r="M210" s="21">
        <f t="shared" si="31"/>
        <v>1</v>
      </c>
      <c r="N210" s="635"/>
      <c r="O210" s="21">
        <f t="shared" si="32"/>
        <v>1</v>
      </c>
      <c r="P210" s="635"/>
      <c r="Q210" s="21">
        <f t="shared" si="33"/>
        <v>1</v>
      </c>
      <c r="R210" s="21">
        <f t="shared" ca="1" si="34"/>
        <v>25380</v>
      </c>
      <c r="S210" s="308">
        <f t="shared" ca="1" si="25"/>
        <v>144</v>
      </c>
    </row>
    <row r="211" spans="1:19">
      <c r="A211" s="633" t="str">
        <f>'12.23面积'!M221</f>
        <v>9-108</v>
      </c>
      <c r="B211" s="633">
        <f>'12.23面积'!N221</f>
        <v>41.12</v>
      </c>
      <c r="C211" s="21">
        <f t="shared" si="26"/>
        <v>1</v>
      </c>
      <c r="D211" s="635"/>
      <c r="E211" s="21">
        <f t="shared" si="27"/>
        <v>1</v>
      </c>
      <c r="F211" s="635"/>
      <c r="G211" s="21">
        <f t="shared" si="28"/>
        <v>1</v>
      </c>
      <c r="H211" s="635"/>
      <c r="I211" s="21">
        <f t="shared" si="29"/>
        <v>1</v>
      </c>
      <c r="J211" s="635"/>
      <c r="K211" s="21">
        <f t="shared" si="30"/>
        <v>1</v>
      </c>
      <c r="L211" s="635"/>
      <c r="M211" s="21">
        <f t="shared" si="31"/>
        <v>1</v>
      </c>
      <c r="N211" s="635"/>
      <c r="O211" s="21">
        <f t="shared" si="32"/>
        <v>1</v>
      </c>
      <c r="P211" s="635"/>
      <c r="Q211" s="21">
        <f t="shared" si="33"/>
        <v>1</v>
      </c>
      <c r="R211" s="21">
        <f t="shared" ca="1" si="34"/>
        <v>25380</v>
      </c>
      <c r="S211" s="308">
        <f t="shared" ca="1" si="25"/>
        <v>104</v>
      </c>
    </row>
    <row r="212" spans="1:19">
      <c r="A212" s="633" t="str">
        <f>'12.23面积'!M222</f>
        <v>9-109</v>
      </c>
      <c r="B212" s="633">
        <f>'12.23面积'!N222</f>
        <v>41.12</v>
      </c>
      <c r="C212" s="21">
        <f t="shared" si="26"/>
        <v>1</v>
      </c>
      <c r="D212" s="635"/>
      <c r="E212" s="21">
        <f t="shared" si="27"/>
        <v>1</v>
      </c>
      <c r="F212" s="635"/>
      <c r="G212" s="21">
        <f t="shared" si="28"/>
        <v>1</v>
      </c>
      <c r="H212" s="635"/>
      <c r="I212" s="21">
        <f t="shared" si="29"/>
        <v>1</v>
      </c>
      <c r="J212" s="635"/>
      <c r="K212" s="21">
        <f t="shared" si="30"/>
        <v>1</v>
      </c>
      <c r="L212" s="635"/>
      <c r="M212" s="21">
        <f t="shared" si="31"/>
        <v>1</v>
      </c>
      <c r="N212" s="635"/>
      <c r="O212" s="21">
        <f t="shared" si="32"/>
        <v>1</v>
      </c>
      <c r="P212" s="635"/>
      <c r="Q212" s="21">
        <f t="shared" si="33"/>
        <v>1</v>
      </c>
      <c r="R212" s="21">
        <f t="shared" ca="1" si="34"/>
        <v>25380</v>
      </c>
      <c r="S212" s="308">
        <f t="shared" ca="1" si="25"/>
        <v>104</v>
      </c>
    </row>
    <row r="213" spans="1:19">
      <c r="A213" s="633" t="str">
        <f>'12.23面积'!M223</f>
        <v>9-110</v>
      </c>
      <c r="B213" s="633">
        <f>'12.23面积'!N223</f>
        <v>56.69</v>
      </c>
      <c r="C213" s="21">
        <f t="shared" si="26"/>
        <v>1</v>
      </c>
      <c r="D213" s="635"/>
      <c r="E213" s="21">
        <f t="shared" si="27"/>
        <v>1</v>
      </c>
      <c r="F213" s="635"/>
      <c r="G213" s="21">
        <f t="shared" si="28"/>
        <v>1</v>
      </c>
      <c r="H213" s="635"/>
      <c r="I213" s="21">
        <f t="shared" si="29"/>
        <v>1</v>
      </c>
      <c r="J213" s="635"/>
      <c r="K213" s="21">
        <f t="shared" si="30"/>
        <v>1</v>
      </c>
      <c r="L213" s="635"/>
      <c r="M213" s="21">
        <f t="shared" si="31"/>
        <v>1</v>
      </c>
      <c r="N213" s="635"/>
      <c r="O213" s="21">
        <f t="shared" si="32"/>
        <v>1</v>
      </c>
      <c r="P213" s="635"/>
      <c r="Q213" s="21">
        <f t="shared" si="33"/>
        <v>1</v>
      </c>
      <c r="R213" s="21">
        <f t="shared" ca="1" si="34"/>
        <v>25380</v>
      </c>
      <c r="S213" s="308">
        <f t="shared" ca="1" si="25"/>
        <v>144</v>
      </c>
    </row>
    <row r="214" spans="1:19">
      <c r="A214" s="633" t="str">
        <f>'12.23面积'!M224</f>
        <v>9-119</v>
      </c>
      <c r="B214" s="633">
        <f>'12.23面积'!N224</f>
        <v>19.13</v>
      </c>
      <c r="C214" s="21">
        <f t="shared" si="26"/>
        <v>1.01</v>
      </c>
      <c r="D214" s="635"/>
      <c r="E214" s="21">
        <f t="shared" si="27"/>
        <v>1</v>
      </c>
      <c r="F214" s="635"/>
      <c r="G214" s="21">
        <f t="shared" si="28"/>
        <v>1</v>
      </c>
      <c r="H214" s="635"/>
      <c r="I214" s="21">
        <f t="shared" si="29"/>
        <v>1</v>
      </c>
      <c r="J214" s="635"/>
      <c r="K214" s="21">
        <f t="shared" si="30"/>
        <v>1</v>
      </c>
      <c r="L214" s="635"/>
      <c r="M214" s="21">
        <f t="shared" si="31"/>
        <v>1</v>
      </c>
      <c r="N214" s="635"/>
      <c r="O214" s="21">
        <f t="shared" si="32"/>
        <v>1</v>
      </c>
      <c r="P214" s="635"/>
      <c r="Q214" s="21">
        <f t="shared" si="33"/>
        <v>1</v>
      </c>
      <c r="R214" s="21">
        <f t="shared" ca="1" si="34"/>
        <v>25634</v>
      </c>
      <c r="S214" s="308">
        <f t="shared" ca="1" si="25"/>
        <v>49</v>
      </c>
    </row>
    <row r="215" spans="1:19">
      <c r="A215" s="633" t="str">
        <f>'12.23面积'!M225</f>
        <v>9-120</v>
      </c>
      <c r="B215" s="633">
        <f>'12.23面积'!N225</f>
        <v>27.59</v>
      </c>
      <c r="C215" s="21">
        <f t="shared" si="26"/>
        <v>1.01</v>
      </c>
      <c r="D215" s="635"/>
      <c r="E215" s="21">
        <f t="shared" si="27"/>
        <v>1</v>
      </c>
      <c r="F215" s="635"/>
      <c r="G215" s="21">
        <f t="shared" si="28"/>
        <v>1</v>
      </c>
      <c r="H215" s="635"/>
      <c r="I215" s="21">
        <f t="shared" si="29"/>
        <v>1</v>
      </c>
      <c r="J215" s="635"/>
      <c r="K215" s="21">
        <f t="shared" si="30"/>
        <v>1</v>
      </c>
      <c r="L215" s="635"/>
      <c r="M215" s="21">
        <f t="shared" si="31"/>
        <v>1</v>
      </c>
      <c r="N215" s="635"/>
      <c r="O215" s="21">
        <f t="shared" si="32"/>
        <v>1</v>
      </c>
      <c r="P215" s="635"/>
      <c r="Q215" s="21">
        <f t="shared" si="33"/>
        <v>1</v>
      </c>
      <c r="R215" s="21">
        <f t="shared" ca="1" si="34"/>
        <v>25634</v>
      </c>
      <c r="S215" s="308">
        <f t="shared" ca="1" si="25"/>
        <v>71</v>
      </c>
    </row>
    <row r="216" spans="1:19">
      <c r="A216" s="633" t="str">
        <f>'12.23面积'!M226</f>
        <v>9-201</v>
      </c>
      <c r="B216" s="633">
        <f>'12.23面积'!N226</f>
        <v>16.350000000000001</v>
      </c>
      <c r="C216" s="21">
        <f t="shared" si="26"/>
        <v>1.01</v>
      </c>
      <c r="D216" s="635"/>
      <c r="E216" s="21">
        <f t="shared" si="27"/>
        <v>1</v>
      </c>
      <c r="F216" s="635"/>
      <c r="G216" s="21">
        <f t="shared" si="28"/>
        <v>1</v>
      </c>
      <c r="H216" s="635"/>
      <c r="I216" s="21">
        <f t="shared" si="29"/>
        <v>1</v>
      </c>
      <c r="J216" s="635"/>
      <c r="K216" s="21">
        <f t="shared" si="30"/>
        <v>1</v>
      </c>
      <c r="L216" s="635"/>
      <c r="M216" s="21">
        <f t="shared" si="31"/>
        <v>1</v>
      </c>
      <c r="N216" s="635"/>
      <c r="O216" s="21">
        <f t="shared" si="32"/>
        <v>1</v>
      </c>
      <c r="P216" s="635"/>
      <c r="Q216" s="21">
        <f t="shared" si="33"/>
        <v>1</v>
      </c>
      <c r="R216" s="21">
        <f t="shared" ca="1" si="34"/>
        <v>25634</v>
      </c>
      <c r="S216" s="308">
        <f t="shared" ref="S216:S279" ca="1" si="35">ROUND(R216*B216/10000,0)</f>
        <v>42</v>
      </c>
    </row>
    <row r="217" spans="1:19">
      <c r="A217" s="633" t="str">
        <f>'12.23面积'!M227</f>
        <v>9-203</v>
      </c>
      <c r="B217" s="633">
        <f>'12.23面积'!N227</f>
        <v>17.78</v>
      </c>
      <c r="C217" s="21">
        <f t="shared" si="26"/>
        <v>1.01</v>
      </c>
      <c r="D217" s="635"/>
      <c r="E217" s="21">
        <f t="shared" si="27"/>
        <v>1</v>
      </c>
      <c r="F217" s="635"/>
      <c r="G217" s="21">
        <f t="shared" si="28"/>
        <v>1</v>
      </c>
      <c r="H217" s="635"/>
      <c r="I217" s="21">
        <f t="shared" si="29"/>
        <v>1</v>
      </c>
      <c r="J217" s="635"/>
      <c r="K217" s="21">
        <f t="shared" si="30"/>
        <v>1</v>
      </c>
      <c r="L217" s="635"/>
      <c r="M217" s="21">
        <f t="shared" si="31"/>
        <v>1</v>
      </c>
      <c r="N217" s="635"/>
      <c r="O217" s="21">
        <f t="shared" si="32"/>
        <v>1</v>
      </c>
      <c r="P217" s="635"/>
      <c r="Q217" s="21">
        <f t="shared" si="33"/>
        <v>1</v>
      </c>
      <c r="R217" s="21">
        <f t="shared" ca="1" si="34"/>
        <v>25634</v>
      </c>
      <c r="S217" s="308">
        <f t="shared" ca="1" si="35"/>
        <v>46</v>
      </c>
    </row>
    <row r="218" spans="1:19">
      <c r="A218" s="633" t="str">
        <f>'12.23面积'!M228</f>
        <v>10-109</v>
      </c>
      <c r="B218" s="633">
        <f>'12.23面积'!N228</f>
        <v>41.52</v>
      </c>
      <c r="C218" s="21">
        <f t="shared" ref="C218:C281" si="36">IF(B218="",1,(LOOKUP(B218,$3:$3,$4:$4)-LOOKUP($B$24,$3:$3,$4:$4)+100)/100)</f>
        <v>1</v>
      </c>
      <c r="D218" s="635"/>
      <c r="E218" s="21">
        <f t="shared" ref="E218:E281" si="37">(SUMIF($5:$5,D218,$6:$6)-SUMIF($5:$5,$D$24,$6:$6)+100)/100</f>
        <v>1</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1</v>
      </c>
      <c r="R218" s="21">
        <f t="shared" ref="R218:R281" ca="1" si="44">IF(B218="",0,ROUND($R$24*C218*E218*G218*I218*K218*M218*O218*Q218,0))</f>
        <v>25380</v>
      </c>
      <c r="S218" s="308">
        <f t="shared" ca="1" si="35"/>
        <v>105</v>
      </c>
    </row>
    <row r="219" spans="1:19">
      <c r="A219" s="633" t="str">
        <f>'12.23面积'!M229</f>
        <v>10-110</v>
      </c>
      <c r="B219" s="633">
        <f>'12.23面积'!N229</f>
        <v>56.78</v>
      </c>
      <c r="C219" s="21">
        <f t="shared" si="36"/>
        <v>1</v>
      </c>
      <c r="D219" s="635"/>
      <c r="E219" s="21">
        <f t="shared" si="37"/>
        <v>1</v>
      </c>
      <c r="F219" s="635"/>
      <c r="G219" s="21">
        <f t="shared" si="38"/>
        <v>1</v>
      </c>
      <c r="H219" s="635"/>
      <c r="I219" s="21">
        <f t="shared" si="39"/>
        <v>1</v>
      </c>
      <c r="J219" s="635"/>
      <c r="K219" s="21">
        <f t="shared" si="40"/>
        <v>1</v>
      </c>
      <c r="L219" s="635"/>
      <c r="M219" s="21">
        <f t="shared" si="41"/>
        <v>1</v>
      </c>
      <c r="N219" s="635"/>
      <c r="O219" s="21">
        <f t="shared" si="42"/>
        <v>1</v>
      </c>
      <c r="P219" s="635"/>
      <c r="Q219" s="21">
        <f t="shared" si="43"/>
        <v>1</v>
      </c>
      <c r="R219" s="21">
        <f t="shared" ca="1" si="44"/>
        <v>25380</v>
      </c>
      <c r="S219" s="308">
        <f t="shared" ca="1" si="35"/>
        <v>144</v>
      </c>
    </row>
    <row r="220" spans="1:19">
      <c r="A220" s="633" t="str">
        <f>'12.23面积'!M230</f>
        <v>10-111</v>
      </c>
      <c r="B220" s="633">
        <f>'12.23面积'!N230</f>
        <v>23.7</v>
      </c>
      <c r="C220" s="21">
        <f t="shared" si="36"/>
        <v>1.01</v>
      </c>
      <c r="D220" s="635"/>
      <c r="E220" s="21">
        <f t="shared" si="37"/>
        <v>1</v>
      </c>
      <c r="F220" s="635"/>
      <c r="G220" s="21">
        <f t="shared" si="38"/>
        <v>1</v>
      </c>
      <c r="H220" s="635"/>
      <c r="I220" s="21">
        <f t="shared" si="39"/>
        <v>1</v>
      </c>
      <c r="J220" s="635"/>
      <c r="K220" s="21">
        <f t="shared" si="40"/>
        <v>1</v>
      </c>
      <c r="L220" s="635"/>
      <c r="M220" s="21">
        <f t="shared" si="41"/>
        <v>1</v>
      </c>
      <c r="N220" s="635"/>
      <c r="O220" s="21">
        <f t="shared" si="42"/>
        <v>1</v>
      </c>
      <c r="P220" s="635"/>
      <c r="Q220" s="21">
        <f t="shared" si="43"/>
        <v>1</v>
      </c>
      <c r="R220" s="21">
        <f t="shared" ca="1" si="44"/>
        <v>25634</v>
      </c>
      <c r="S220" s="308">
        <f t="shared" ca="1" si="35"/>
        <v>61</v>
      </c>
    </row>
    <row r="221" spans="1:19">
      <c r="A221" s="633" t="str">
        <f>'12.23面积'!M231</f>
        <v>10-123</v>
      </c>
      <c r="B221" s="633">
        <f>'12.23面积'!N231</f>
        <v>27.65</v>
      </c>
      <c r="C221" s="21">
        <f t="shared" si="36"/>
        <v>1.01</v>
      </c>
      <c r="D221" s="635"/>
      <c r="E221" s="21">
        <f t="shared" si="37"/>
        <v>1</v>
      </c>
      <c r="F221" s="635"/>
      <c r="G221" s="21">
        <f t="shared" si="38"/>
        <v>1</v>
      </c>
      <c r="H221" s="635"/>
      <c r="I221" s="21">
        <f t="shared" si="39"/>
        <v>1</v>
      </c>
      <c r="J221" s="635"/>
      <c r="K221" s="21">
        <f t="shared" si="40"/>
        <v>1</v>
      </c>
      <c r="L221" s="635"/>
      <c r="M221" s="21">
        <f t="shared" si="41"/>
        <v>1</v>
      </c>
      <c r="N221" s="635"/>
      <c r="O221" s="21">
        <f t="shared" si="42"/>
        <v>1</v>
      </c>
      <c r="P221" s="635"/>
      <c r="Q221" s="21">
        <f t="shared" si="43"/>
        <v>1</v>
      </c>
      <c r="R221" s="21">
        <f t="shared" ca="1" si="44"/>
        <v>25634</v>
      </c>
      <c r="S221" s="308">
        <f t="shared" ca="1" si="35"/>
        <v>71</v>
      </c>
    </row>
    <row r="222" spans="1:19">
      <c r="A222" s="633" t="str">
        <f>'12.23面积'!M232</f>
        <v>10-124</v>
      </c>
      <c r="B222" s="633">
        <f>'12.23面积'!N232</f>
        <v>19.18</v>
      </c>
      <c r="C222" s="21">
        <f t="shared" si="36"/>
        <v>1.01</v>
      </c>
      <c r="D222" s="635"/>
      <c r="E222" s="21">
        <f t="shared" si="37"/>
        <v>1</v>
      </c>
      <c r="F222" s="635"/>
      <c r="G222" s="21">
        <f t="shared" si="38"/>
        <v>1</v>
      </c>
      <c r="H222" s="635"/>
      <c r="I222" s="21">
        <f t="shared" si="39"/>
        <v>1</v>
      </c>
      <c r="J222" s="635"/>
      <c r="K222" s="21">
        <f t="shared" si="40"/>
        <v>1</v>
      </c>
      <c r="L222" s="635"/>
      <c r="M222" s="21">
        <f t="shared" si="41"/>
        <v>1</v>
      </c>
      <c r="N222" s="635"/>
      <c r="O222" s="21">
        <f t="shared" si="42"/>
        <v>1</v>
      </c>
      <c r="P222" s="635"/>
      <c r="Q222" s="21">
        <f t="shared" si="43"/>
        <v>1</v>
      </c>
      <c r="R222" s="21">
        <f t="shared" ca="1" si="44"/>
        <v>25634</v>
      </c>
      <c r="S222" s="308">
        <f t="shared" ca="1" si="35"/>
        <v>49</v>
      </c>
    </row>
    <row r="223" spans="1:19">
      <c r="A223" s="633" t="str">
        <f>'12.23面积'!M233</f>
        <v>10-125</v>
      </c>
      <c r="B223" s="633">
        <f>'12.23面积'!N233</f>
        <v>19.18</v>
      </c>
      <c r="C223" s="21">
        <f t="shared" si="36"/>
        <v>1.01</v>
      </c>
      <c r="D223" s="635"/>
      <c r="E223" s="21">
        <f t="shared" si="37"/>
        <v>1</v>
      </c>
      <c r="F223" s="635"/>
      <c r="G223" s="21">
        <f t="shared" si="38"/>
        <v>1</v>
      </c>
      <c r="H223" s="635"/>
      <c r="I223" s="21">
        <f t="shared" si="39"/>
        <v>1</v>
      </c>
      <c r="J223" s="635"/>
      <c r="K223" s="21">
        <f t="shared" si="40"/>
        <v>1</v>
      </c>
      <c r="L223" s="635"/>
      <c r="M223" s="21">
        <f t="shared" si="41"/>
        <v>1</v>
      </c>
      <c r="N223" s="635"/>
      <c r="O223" s="21">
        <f t="shared" si="42"/>
        <v>1</v>
      </c>
      <c r="P223" s="635"/>
      <c r="Q223" s="21">
        <f t="shared" si="43"/>
        <v>1</v>
      </c>
      <c r="R223" s="21">
        <f t="shared" ca="1" si="44"/>
        <v>25634</v>
      </c>
      <c r="S223" s="308">
        <f t="shared" ca="1" si="35"/>
        <v>49</v>
      </c>
    </row>
    <row r="224" spans="1:19">
      <c r="A224" s="633" t="str">
        <f>'12.23面积'!M234</f>
        <v>10-127</v>
      </c>
      <c r="B224" s="633">
        <f>'12.23面积'!N234</f>
        <v>27.65</v>
      </c>
      <c r="C224" s="21">
        <f t="shared" si="36"/>
        <v>1.01</v>
      </c>
      <c r="D224" s="635"/>
      <c r="E224" s="21">
        <f t="shared" si="37"/>
        <v>1</v>
      </c>
      <c r="F224" s="635"/>
      <c r="G224" s="21">
        <f t="shared" si="38"/>
        <v>1</v>
      </c>
      <c r="H224" s="635"/>
      <c r="I224" s="21">
        <f t="shared" si="39"/>
        <v>1</v>
      </c>
      <c r="J224" s="635"/>
      <c r="K224" s="21">
        <f t="shared" si="40"/>
        <v>1</v>
      </c>
      <c r="L224" s="635"/>
      <c r="M224" s="21">
        <f t="shared" si="41"/>
        <v>1</v>
      </c>
      <c r="N224" s="635"/>
      <c r="O224" s="21">
        <f t="shared" si="42"/>
        <v>1</v>
      </c>
      <c r="P224" s="635"/>
      <c r="Q224" s="21">
        <f t="shared" si="43"/>
        <v>1</v>
      </c>
      <c r="R224" s="21">
        <f t="shared" ca="1" si="44"/>
        <v>25634</v>
      </c>
      <c r="S224" s="308">
        <f t="shared" ca="1" si="35"/>
        <v>71</v>
      </c>
    </row>
    <row r="225" spans="1:19">
      <c r="A225" s="633" t="str">
        <f>'12.23面积'!M235</f>
        <v>10-128</v>
      </c>
      <c r="B225" s="633">
        <f>'12.23面积'!N235</f>
        <v>19.82</v>
      </c>
      <c r="C225" s="21">
        <f t="shared" si="36"/>
        <v>1.01</v>
      </c>
      <c r="D225" s="635"/>
      <c r="E225" s="21">
        <f t="shared" si="37"/>
        <v>1</v>
      </c>
      <c r="F225" s="635"/>
      <c r="G225" s="21">
        <f t="shared" si="38"/>
        <v>1</v>
      </c>
      <c r="H225" s="635"/>
      <c r="I225" s="21">
        <f t="shared" si="39"/>
        <v>1</v>
      </c>
      <c r="J225" s="635"/>
      <c r="K225" s="21">
        <f t="shared" si="40"/>
        <v>1</v>
      </c>
      <c r="L225" s="635"/>
      <c r="M225" s="21">
        <f t="shared" si="41"/>
        <v>1</v>
      </c>
      <c r="N225" s="635"/>
      <c r="O225" s="21">
        <f t="shared" si="42"/>
        <v>1</v>
      </c>
      <c r="P225" s="635"/>
      <c r="Q225" s="21">
        <f t="shared" si="43"/>
        <v>1</v>
      </c>
      <c r="R225" s="21">
        <f t="shared" ca="1" si="44"/>
        <v>25634</v>
      </c>
      <c r="S225" s="308">
        <f t="shared" ca="1" si="35"/>
        <v>51</v>
      </c>
    </row>
    <row r="226" spans="1:19">
      <c r="A226" s="633" t="str">
        <f>'12.23面积'!M236</f>
        <v>10-129</v>
      </c>
      <c r="B226" s="633">
        <f>'12.23面积'!N236</f>
        <v>19.82</v>
      </c>
      <c r="C226" s="21">
        <f t="shared" si="36"/>
        <v>1.01</v>
      </c>
      <c r="D226" s="635"/>
      <c r="E226" s="21">
        <f t="shared" si="37"/>
        <v>1</v>
      </c>
      <c r="F226" s="635"/>
      <c r="G226" s="21">
        <f t="shared" si="38"/>
        <v>1</v>
      </c>
      <c r="H226" s="635"/>
      <c r="I226" s="21">
        <f t="shared" si="39"/>
        <v>1</v>
      </c>
      <c r="J226" s="635"/>
      <c r="K226" s="21">
        <f t="shared" si="40"/>
        <v>1</v>
      </c>
      <c r="L226" s="635"/>
      <c r="M226" s="21">
        <f t="shared" si="41"/>
        <v>1</v>
      </c>
      <c r="N226" s="635"/>
      <c r="O226" s="21">
        <f t="shared" si="42"/>
        <v>1</v>
      </c>
      <c r="P226" s="635"/>
      <c r="Q226" s="21">
        <f t="shared" si="43"/>
        <v>1</v>
      </c>
      <c r="R226" s="21">
        <f t="shared" ca="1" si="44"/>
        <v>25634</v>
      </c>
      <c r="S226" s="308">
        <f t="shared" ca="1" si="35"/>
        <v>51</v>
      </c>
    </row>
    <row r="227" spans="1:19">
      <c r="A227" s="633" t="str">
        <f>'12.23面积'!M237</f>
        <v>10-130</v>
      </c>
      <c r="B227" s="633">
        <f>'12.23面积'!N237</f>
        <v>27.65</v>
      </c>
      <c r="C227" s="21">
        <f t="shared" si="36"/>
        <v>1.01</v>
      </c>
      <c r="D227" s="635"/>
      <c r="E227" s="21">
        <f t="shared" si="37"/>
        <v>1</v>
      </c>
      <c r="F227" s="635"/>
      <c r="G227" s="21">
        <f t="shared" si="38"/>
        <v>1</v>
      </c>
      <c r="H227" s="635"/>
      <c r="I227" s="21">
        <f t="shared" si="39"/>
        <v>1</v>
      </c>
      <c r="J227" s="635"/>
      <c r="K227" s="21">
        <f t="shared" si="40"/>
        <v>1</v>
      </c>
      <c r="L227" s="635"/>
      <c r="M227" s="21">
        <f t="shared" si="41"/>
        <v>1</v>
      </c>
      <c r="N227" s="635"/>
      <c r="O227" s="21">
        <f t="shared" si="42"/>
        <v>1</v>
      </c>
      <c r="P227" s="635"/>
      <c r="Q227" s="21">
        <f t="shared" si="43"/>
        <v>1</v>
      </c>
      <c r="R227" s="21">
        <f t="shared" ca="1" si="44"/>
        <v>25634</v>
      </c>
      <c r="S227" s="308">
        <f t="shared" ca="1" si="35"/>
        <v>71</v>
      </c>
    </row>
    <row r="228" spans="1:19">
      <c r="A228" s="633" t="str">
        <f>'12.23面积'!M238</f>
        <v>10-203</v>
      </c>
      <c r="B228" s="633">
        <f>'12.23面积'!N238</f>
        <v>12.43</v>
      </c>
      <c r="C228" s="21">
        <f t="shared" si="36"/>
        <v>1.01</v>
      </c>
      <c r="D228" s="635"/>
      <c r="E228" s="21">
        <f t="shared" si="37"/>
        <v>1</v>
      </c>
      <c r="F228" s="635"/>
      <c r="G228" s="21">
        <f t="shared" si="38"/>
        <v>1</v>
      </c>
      <c r="H228" s="635"/>
      <c r="I228" s="21">
        <f t="shared" si="39"/>
        <v>1</v>
      </c>
      <c r="J228" s="635"/>
      <c r="K228" s="21">
        <f t="shared" si="40"/>
        <v>1</v>
      </c>
      <c r="L228" s="635"/>
      <c r="M228" s="21">
        <f t="shared" si="41"/>
        <v>1</v>
      </c>
      <c r="N228" s="635"/>
      <c r="O228" s="21">
        <f t="shared" si="42"/>
        <v>1</v>
      </c>
      <c r="P228" s="635"/>
      <c r="Q228" s="21">
        <f t="shared" si="43"/>
        <v>1</v>
      </c>
      <c r="R228" s="21">
        <f t="shared" ca="1" si="44"/>
        <v>25634</v>
      </c>
      <c r="S228" s="308">
        <f t="shared" ca="1" si="35"/>
        <v>32</v>
      </c>
    </row>
    <row r="229" spans="1:19">
      <c r="A229" s="633" t="str">
        <f>'12.23面积'!M239</f>
        <v>13-106</v>
      </c>
      <c r="B229" s="633">
        <f>'12.23面积'!N239</f>
        <v>34.11</v>
      </c>
      <c r="C229" s="21">
        <f t="shared" si="36"/>
        <v>1</v>
      </c>
      <c r="D229" s="635"/>
      <c r="E229" s="21">
        <f t="shared" si="37"/>
        <v>1</v>
      </c>
      <c r="F229" s="635"/>
      <c r="G229" s="21">
        <f t="shared" si="38"/>
        <v>1</v>
      </c>
      <c r="H229" s="635"/>
      <c r="I229" s="21">
        <f t="shared" si="39"/>
        <v>1</v>
      </c>
      <c r="J229" s="635"/>
      <c r="K229" s="21">
        <f t="shared" si="40"/>
        <v>1</v>
      </c>
      <c r="L229" s="635"/>
      <c r="M229" s="21">
        <f t="shared" si="41"/>
        <v>1</v>
      </c>
      <c r="N229" s="635"/>
      <c r="O229" s="21">
        <f t="shared" si="42"/>
        <v>1</v>
      </c>
      <c r="P229" s="635"/>
      <c r="Q229" s="21">
        <f t="shared" si="43"/>
        <v>1</v>
      </c>
      <c r="R229" s="21">
        <f t="shared" ca="1" si="44"/>
        <v>25380</v>
      </c>
      <c r="S229" s="308">
        <f t="shared" ca="1" si="35"/>
        <v>87</v>
      </c>
    </row>
    <row r="230" spans="1:19">
      <c r="A230" s="633" t="str">
        <f>'12.23面积'!M240</f>
        <v>13-107</v>
      </c>
      <c r="B230" s="633">
        <f>'12.23面积'!N240</f>
        <v>62.51</v>
      </c>
      <c r="C230" s="21">
        <f t="shared" si="36"/>
        <v>0.99</v>
      </c>
      <c r="D230" s="635"/>
      <c r="E230" s="21">
        <f t="shared" si="37"/>
        <v>1</v>
      </c>
      <c r="F230" s="635"/>
      <c r="G230" s="21">
        <f t="shared" si="38"/>
        <v>1</v>
      </c>
      <c r="H230" s="635"/>
      <c r="I230" s="21">
        <f t="shared" si="39"/>
        <v>1</v>
      </c>
      <c r="J230" s="635"/>
      <c r="K230" s="21">
        <f t="shared" si="40"/>
        <v>1</v>
      </c>
      <c r="L230" s="635"/>
      <c r="M230" s="21">
        <f t="shared" si="41"/>
        <v>1</v>
      </c>
      <c r="N230" s="635"/>
      <c r="O230" s="21">
        <f t="shared" si="42"/>
        <v>1</v>
      </c>
      <c r="P230" s="635"/>
      <c r="Q230" s="21">
        <f t="shared" si="43"/>
        <v>1</v>
      </c>
      <c r="R230" s="21">
        <f t="shared" ca="1" si="44"/>
        <v>25126</v>
      </c>
      <c r="S230" s="308">
        <f t="shared" ca="1" si="35"/>
        <v>157</v>
      </c>
    </row>
    <row r="231" spans="1:19">
      <c r="A231" s="633" t="str">
        <f>'12.23面积'!M241</f>
        <v>13-108</v>
      </c>
      <c r="B231" s="633">
        <f>'12.23面积'!N241</f>
        <v>47.4</v>
      </c>
      <c r="C231" s="21">
        <f t="shared" si="36"/>
        <v>1</v>
      </c>
      <c r="D231" s="635"/>
      <c r="E231" s="21">
        <f t="shared" si="37"/>
        <v>1</v>
      </c>
      <c r="F231" s="635"/>
      <c r="G231" s="21">
        <f t="shared" si="38"/>
        <v>1</v>
      </c>
      <c r="H231" s="635"/>
      <c r="I231" s="21">
        <f t="shared" si="39"/>
        <v>1</v>
      </c>
      <c r="J231" s="635"/>
      <c r="K231" s="21">
        <f t="shared" si="40"/>
        <v>1</v>
      </c>
      <c r="L231" s="635"/>
      <c r="M231" s="21">
        <f t="shared" si="41"/>
        <v>1</v>
      </c>
      <c r="N231" s="635"/>
      <c r="O231" s="21">
        <f t="shared" si="42"/>
        <v>1</v>
      </c>
      <c r="P231" s="635"/>
      <c r="Q231" s="21">
        <f t="shared" si="43"/>
        <v>1</v>
      </c>
      <c r="R231" s="21">
        <f t="shared" ca="1" si="44"/>
        <v>25380</v>
      </c>
      <c r="S231" s="308">
        <f t="shared" ca="1" si="35"/>
        <v>120</v>
      </c>
    </row>
    <row r="232" spans="1:19">
      <c r="A232" s="633" t="str">
        <f>'12.23面积'!M242</f>
        <v>13-109</v>
      </c>
      <c r="B232" s="633">
        <f>'12.23面积'!N242</f>
        <v>47.4</v>
      </c>
      <c r="C232" s="21">
        <f t="shared" si="36"/>
        <v>1</v>
      </c>
      <c r="D232" s="635"/>
      <c r="E232" s="21">
        <f t="shared" si="37"/>
        <v>1</v>
      </c>
      <c r="F232" s="635"/>
      <c r="G232" s="21">
        <f t="shared" si="38"/>
        <v>1</v>
      </c>
      <c r="H232" s="635"/>
      <c r="I232" s="21">
        <f t="shared" si="39"/>
        <v>1</v>
      </c>
      <c r="J232" s="635"/>
      <c r="K232" s="21">
        <f t="shared" si="40"/>
        <v>1</v>
      </c>
      <c r="L232" s="635"/>
      <c r="M232" s="21">
        <f t="shared" si="41"/>
        <v>1</v>
      </c>
      <c r="N232" s="635"/>
      <c r="O232" s="21">
        <f t="shared" si="42"/>
        <v>1</v>
      </c>
      <c r="P232" s="635"/>
      <c r="Q232" s="21">
        <f t="shared" si="43"/>
        <v>1</v>
      </c>
      <c r="R232" s="21">
        <f t="shared" ca="1" si="44"/>
        <v>25380</v>
      </c>
      <c r="S232" s="308">
        <f t="shared" ca="1" si="35"/>
        <v>120</v>
      </c>
    </row>
    <row r="233" spans="1:19">
      <c r="A233" s="633" t="str">
        <f>'12.23面积'!M243</f>
        <v>13-110</v>
      </c>
      <c r="B233" s="633">
        <f>'12.23面积'!N243</f>
        <v>62.51</v>
      </c>
      <c r="C233" s="21">
        <f t="shared" si="36"/>
        <v>0.99</v>
      </c>
      <c r="D233" s="635"/>
      <c r="E233" s="21">
        <f t="shared" si="37"/>
        <v>1</v>
      </c>
      <c r="F233" s="635"/>
      <c r="G233" s="21">
        <f t="shared" si="38"/>
        <v>1</v>
      </c>
      <c r="H233" s="635"/>
      <c r="I233" s="21">
        <f t="shared" si="39"/>
        <v>1</v>
      </c>
      <c r="J233" s="635"/>
      <c r="K233" s="21">
        <f t="shared" si="40"/>
        <v>1</v>
      </c>
      <c r="L233" s="635"/>
      <c r="M233" s="21">
        <f t="shared" si="41"/>
        <v>1</v>
      </c>
      <c r="N233" s="635"/>
      <c r="O233" s="21">
        <f t="shared" si="42"/>
        <v>1</v>
      </c>
      <c r="P233" s="635"/>
      <c r="Q233" s="21">
        <f t="shared" si="43"/>
        <v>1</v>
      </c>
      <c r="R233" s="21">
        <f t="shared" ca="1" si="44"/>
        <v>25126</v>
      </c>
      <c r="S233" s="308">
        <f t="shared" ca="1" si="35"/>
        <v>157</v>
      </c>
    </row>
    <row r="234" spans="1:19">
      <c r="A234" s="633" t="str">
        <f>'12.23面积'!M244</f>
        <v>13-111</v>
      </c>
      <c r="B234" s="633">
        <f>'12.23面积'!N244</f>
        <v>34.11</v>
      </c>
      <c r="C234" s="21">
        <f t="shared" si="36"/>
        <v>1</v>
      </c>
      <c r="D234" s="635"/>
      <c r="E234" s="21">
        <f t="shared" si="37"/>
        <v>1</v>
      </c>
      <c r="F234" s="635"/>
      <c r="G234" s="21">
        <f t="shared" si="38"/>
        <v>1</v>
      </c>
      <c r="H234" s="635"/>
      <c r="I234" s="21">
        <f t="shared" si="39"/>
        <v>1</v>
      </c>
      <c r="J234" s="635"/>
      <c r="K234" s="21">
        <f t="shared" si="40"/>
        <v>1</v>
      </c>
      <c r="L234" s="635"/>
      <c r="M234" s="21">
        <f t="shared" si="41"/>
        <v>1</v>
      </c>
      <c r="N234" s="635"/>
      <c r="O234" s="21">
        <f t="shared" si="42"/>
        <v>1</v>
      </c>
      <c r="P234" s="635"/>
      <c r="Q234" s="21">
        <f t="shared" si="43"/>
        <v>1</v>
      </c>
      <c r="R234" s="21">
        <f t="shared" ca="1" si="44"/>
        <v>25380</v>
      </c>
      <c r="S234" s="308">
        <f t="shared" ca="1" si="35"/>
        <v>87</v>
      </c>
    </row>
    <row r="235" spans="1:19">
      <c r="A235" s="633" t="str">
        <f>'12.23面积'!M245</f>
        <v>13-112</v>
      </c>
      <c r="B235" s="633">
        <f>'12.23面积'!N245</f>
        <v>34.11</v>
      </c>
      <c r="C235" s="21">
        <f t="shared" si="36"/>
        <v>1</v>
      </c>
      <c r="D235" s="635"/>
      <c r="E235" s="21">
        <f t="shared" si="37"/>
        <v>1</v>
      </c>
      <c r="F235" s="635"/>
      <c r="G235" s="21">
        <f t="shared" si="38"/>
        <v>1</v>
      </c>
      <c r="H235" s="635"/>
      <c r="I235" s="21">
        <f t="shared" si="39"/>
        <v>1</v>
      </c>
      <c r="J235" s="635"/>
      <c r="K235" s="21">
        <f t="shared" si="40"/>
        <v>1</v>
      </c>
      <c r="L235" s="635"/>
      <c r="M235" s="21">
        <f t="shared" si="41"/>
        <v>1</v>
      </c>
      <c r="N235" s="635"/>
      <c r="O235" s="21">
        <f t="shared" si="42"/>
        <v>1</v>
      </c>
      <c r="P235" s="635"/>
      <c r="Q235" s="21">
        <f t="shared" si="43"/>
        <v>1</v>
      </c>
      <c r="R235" s="21">
        <f t="shared" ca="1" si="44"/>
        <v>25380</v>
      </c>
      <c r="S235" s="308">
        <f t="shared" ca="1" si="35"/>
        <v>87</v>
      </c>
    </row>
    <row r="236" spans="1:19">
      <c r="A236" s="633" t="str">
        <f>'12.23面积'!M246</f>
        <v>13-113</v>
      </c>
      <c r="B236" s="633">
        <f>'12.23面积'!N246</f>
        <v>62.51</v>
      </c>
      <c r="C236" s="21">
        <f t="shared" si="36"/>
        <v>0.99</v>
      </c>
      <c r="D236" s="635"/>
      <c r="E236" s="21">
        <f t="shared" si="37"/>
        <v>1</v>
      </c>
      <c r="F236" s="635"/>
      <c r="G236" s="21">
        <f t="shared" si="38"/>
        <v>1</v>
      </c>
      <c r="H236" s="635"/>
      <c r="I236" s="21">
        <f t="shared" si="39"/>
        <v>1</v>
      </c>
      <c r="J236" s="635"/>
      <c r="K236" s="21">
        <f t="shared" si="40"/>
        <v>1</v>
      </c>
      <c r="L236" s="635"/>
      <c r="M236" s="21">
        <f t="shared" si="41"/>
        <v>1</v>
      </c>
      <c r="N236" s="635"/>
      <c r="O236" s="21">
        <f t="shared" si="42"/>
        <v>1</v>
      </c>
      <c r="P236" s="635"/>
      <c r="Q236" s="21">
        <f t="shared" si="43"/>
        <v>1</v>
      </c>
      <c r="R236" s="21">
        <f t="shared" ca="1" si="44"/>
        <v>25126</v>
      </c>
      <c r="S236" s="308">
        <f t="shared" ca="1" si="35"/>
        <v>157</v>
      </c>
    </row>
    <row r="237" spans="1:19">
      <c r="A237" s="633" t="str">
        <f>'12.23面积'!M247</f>
        <v>13-114</v>
      </c>
      <c r="B237" s="633">
        <f>'12.23面积'!N247</f>
        <v>47.07</v>
      </c>
      <c r="C237" s="21">
        <f t="shared" si="36"/>
        <v>1</v>
      </c>
      <c r="D237" s="635"/>
      <c r="E237" s="21">
        <f t="shared" si="37"/>
        <v>1</v>
      </c>
      <c r="F237" s="635"/>
      <c r="G237" s="21">
        <f t="shared" si="38"/>
        <v>1</v>
      </c>
      <c r="H237" s="635"/>
      <c r="I237" s="21">
        <f t="shared" si="39"/>
        <v>1</v>
      </c>
      <c r="J237" s="635"/>
      <c r="K237" s="21">
        <f t="shared" si="40"/>
        <v>1</v>
      </c>
      <c r="L237" s="635"/>
      <c r="M237" s="21">
        <f t="shared" si="41"/>
        <v>1</v>
      </c>
      <c r="N237" s="635"/>
      <c r="O237" s="21">
        <f t="shared" si="42"/>
        <v>1</v>
      </c>
      <c r="P237" s="635"/>
      <c r="Q237" s="21">
        <f t="shared" si="43"/>
        <v>1</v>
      </c>
      <c r="R237" s="21">
        <f t="shared" ca="1" si="44"/>
        <v>25380</v>
      </c>
      <c r="S237" s="308">
        <f t="shared" ca="1" si="35"/>
        <v>119</v>
      </c>
    </row>
    <row r="238" spans="1:19">
      <c r="A238" s="633" t="str">
        <f>'12.23面积'!M248</f>
        <v>13-115</v>
      </c>
      <c r="B238" s="633">
        <f>'12.23面积'!N248</f>
        <v>47.07</v>
      </c>
      <c r="C238" s="21">
        <f t="shared" si="36"/>
        <v>1</v>
      </c>
      <c r="D238" s="635"/>
      <c r="E238" s="21">
        <f t="shared" si="37"/>
        <v>1</v>
      </c>
      <c r="F238" s="635"/>
      <c r="G238" s="21">
        <f t="shared" si="38"/>
        <v>1</v>
      </c>
      <c r="H238" s="635"/>
      <c r="I238" s="21">
        <f t="shared" si="39"/>
        <v>1</v>
      </c>
      <c r="J238" s="635"/>
      <c r="K238" s="21">
        <f t="shared" si="40"/>
        <v>1</v>
      </c>
      <c r="L238" s="635"/>
      <c r="M238" s="21">
        <f t="shared" si="41"/>
        <v>1</v>
      </c>
      <c r="N238" s="635"/>
      <c r="O238" s="21">
        <f t="shared" si="42"/>
        <v>1</v>
      </c>
      <c r="P238" s="635"/>
      <c r="Q238" s="21">
        <f t="shared" si="43"/>
        <v>1</v>
      </c>
      <c r="R238" s="21">
        <f t="shared" ca="1" si="44"/>
        <v>25380</v>
      </c>
      <c r="S238" s="308">
        <f t="shared" ca="1" si="35"/>
        <v>119</v>
      </c>
    </row>
    <row r="239" spans="1:19">
      <c r="A239" s="633" t="str">
        <f>'12.23面积'!M249</f>
        <v>13-116</v>
      </c>
      <c r="B239" s="633">
        <f>'12.23面积'!N249</f>
        <v>62.51</v>
      </c>
      <c r="C239" s="21">
        <f t="shared" si="36"/>
        <v>0.99</v>
      </c>
      <c r="D239" s="635"/>
      <c r="E239" s="21">
        <f t="shared" si="37"/>
        <v>1</v>
      </c>
      <c r="F239" s="635"/>
      <c r="G239" s="21">
        <f t="shared" si="38"/>
        <v>1</v>
      </c>
      <c r="H239" s="635"/>
      <c r="I239" s="21">
        <f t="shared" si="39"/>
        <v>1</v>
      </c>
      <c r="J239" s="635"/>
      <c r="K239" s="21">
        <f t="shared" si="40"/>
        <v>1</v>
      </c>
      <c r="L239" s="635"/>
      <c r="M239" s="21">
        <f t="shared" si="41"/>
        <v>1</v>
      </c>
      <c r="N239" s="635"/>
      <c r="O239" s="21">
        <f t="shared" si="42"/>
        <v>1</v>
      </c>
      <c r="P239" s="635"/>
      <c r="Q239" s="21">
        <f t="shared" si="43"/>
        <v>1</v>
      </c>
      <c r="R239" s="21">
        <f t="shared" ca="1" si="44"/>
        <v>25126</v>
      </c>
      <c r="S239" s="308">
        <f t="shared" ca="1" si="35"/>
        <v>157</v>
      </c>
    </row>
    <row r="240" spans="1:19">
      <c r="A240" s="633" t="str">
        <f>'12.23面积'!M250</f>
        <v>13-117</v>
      </c>
      <c r="B240" s="633">
        <f>'12.23面积'!N250</f>
        <v>34.11</v>
      </c>
      <c r="C240" s="21">
        <f t="shared" si="36"/>
        <v>1</v>
      </c>
      <c r="D240" s="635"/>
      <c r="E240" s="21">
        <f t="shared" si="37"/>
        <v>1</v>
      </c>
      <c r="F240" s="635"/>
      <c r="G240" s="21">
        <f t="shared" si="38"/>
        <v>1</v>
      </c>
      <c r="H240" s="635"/>
      <c r="I240" s="21">
        <f t="shared" si="39"/>
        <v>1</v>
      </c>
      <c r="J240" s="635"/>
      <c r="K240" s="21">
        <f t="shared" si="40"/>
        <v>1</v>
      </c>
      <c r="L240" s="635"/>
      <c r="M240" s="21">
        <f t="shared" si="41"/>
        <v>1</v>
      </c>
      <c r="N240" s="635"/>
      <c r="O240" s="21">
        <f t="shared" si="42"/>
        <v>1</v>
      </c>
      <c r="P240" s="635"/>
      <c r="Q240" s="21">
        <f t="shared" si="43"/>
        <v>1</v>
      </c>
      <c r="R240" s="21">
        <f t="shared" ca="1" si="44"/>
        <v>25380</v>
      </c>
      <c r="S240" s="308">
        <f t="shared" ca="1" si="35"/>
        <v>87</v>
      </c>
    </row>
    <row r="241" spans="1:19">
      <c r="A241" s="633" t="str">
        <f>'12.23面积'!M251</f>
        <v>13-118</v>
      </c>
      <c r="B241" s="633">
        <f>'12.23面积'!N251</f>
        <v>34.11</v>
      </c>
      <c r="C241" s="21">
        <f t="shared" si="36"/>
        <v>1</v>
      </c>
      <c r="D241" s="635"/>
      <c r="E241" s="21">
        <f t="shared" si="37"/>
        <v>1</v>
      </c>
      <c r="F241" s="635"/>
      <c r="G241" s="21">
        <f t="shared" si="38"/>
        <v>1</v>
      </c>
      <c r="H241" s="635"/>
      <c r="I241" s="21">
        <f t="shared" si="39"/>
        <v>1</v>
      </c>
      <c r="J241" s="635"/>
      <c r="K241" s="21">
        <f t="shared" si="40"/>
        <v>1</v>
      </c>
      <c r="L241" s="635"/>
      <c r="M241" s="21">
        <f t="shared" si="41"/>
        <v>1</v>
      </c>
      <c r="N241" s="635"/>
      <c r="O241" s="21">
        <f t="shared" si="42"/>
        <v>1</v>
      </c>
      <c r="P241" s="635"/>
      <c r="Q241" s="21">
        <f t="shared" si="43"/>
        <v>1</v>
      </c>
      <c r="R241" s="21">
        <f t="shared" ca="1" si="44"/>
        <v>25380</v>
      </c>
      <c r="S241" s="308">
        <f t="shared" ca="1" si="35"/>
        <v>87</v>
      </c>
    </row>
    <row r="242" spans="1:19">
      <c r="A242" s="633" t="str">
        <f>'12.23面积'!M252</f>
        <v>13-119</v>
      </c>
      <c r="B242" s="633">
        <f>'12.23面积'!N252</f>
        <v>62.51</v>
      </c>
      <c r="C242" s="21">
        <f t="shared" si="36"/>
        <v>0.99</v>
      </c>
      <c r="D242" s="635"/>
      <c r="E242" s="21">
        <f t="shared" si="37"/>
        <v>1</v>
      </c>
      <c r="F242" s="635"/>
      <c r="G242" s="21">
        <f t="shared" si="38"/>
        <v>1</v>
      </c>
      <c r="H242" s="635"/>
      <c r="I242" s="21">
        <f t="shared" si="39"/>
        <v>1</v>
      </c>
      <c r="J242" s="635"/>
      <c r="K242" s="21">
        <f t="shared" si="40"/>
        <v>1</v>
      </c>
      <c r="L242" s="635"/>
      <c r="M242" s="21">
        <f t="shared" si="41"/>
        <v>1</v>
      </c>
      <c r="N242" s="635"/>
      <c r="O242" s="21">
        <f t="shared" si="42"/>
        <v>1</v>
      </c>
      <c r="P242" s="635"/>
      <c r="Q242" s="21">
        <f t="shared" si="43"/>
        <v>1</v>
      </c>
      <c r="R242" s="21">
        <f t="shared" ca="1" si="44"/>
        <v>25126</v>
      </c>
      <c r="S242" s="308">
        <f t="shared" ca="1" si="35"/>
        <v>157</v>
      </c>
    </row>
    <row r="243" spans="1:19">
      <c r="A243" s="633" t="str">
        <f>'12.23面积'!M253</f>
        <v>13-120</v>
      </c>
      <c r="B243" s="633">
        <f>'12.23面积'!N253</f>
        <v>55.87</v>
      </c>
      <c r="C243" s="21">
        <f t="shared" si="36"/>
        <v>1</v>
      </c>
      <c r="D243" s="635"/>
      <c r="E243" s="21">
        <f t="shared" si="37"/>
        <v>1</v>
      </c>
      <c r="F243" s="635"/>
      <c r="G243" s="21">
        <f t="shared" si="38"/>
        <v>1</v>
      </c>
      <c r="H243" s="635"/>
      <c r="I243" s="21">
        <f t="shared" si="39"/>
        <v>1</v>
      </c>
      <c r="J243" s="635"/>
      <c r="K243" s="21">
        <f t="shared" si="40"/>
        <v>1</v>
      </c>
      <c r="L243" s="635"/>
      <c r="M243" s="21">
        <f t="shared" si="41"/>
        <v>1</v>
      </c>
      <c r="N243" s="635"/>
      <c r="O243" s="21">
        <f t="shared" si="42"/>
        <v>1</v>
      </c>
      <c r="P243" s="635"/>
      <c r="Q243" s="21">
        <f t="shared" si="43"/>
        <v>1</v>
      </c>
      <c r="R243" s="21">
        <f t="shared" ca="1" si="44"/>
        <v>25380</v>
      </c>
      <c r="S243" s="308">
        <f t="shared" ca="1" si="35"/>
        <v>142</v>
      </c>
    </row>
    <row r="244" spans="1:19">
      <c r="A244" s="633" t="str">
        <f>'12.23面积'!M254</f>
        <v>13-121</v>
      </c>
      <c r="B244" s="633">
        <f>'12.23面积'!N254</f>
        <v>28.64</v>
      </c>
      <c r="C244" s="21">
        <f t="shared" si="36"/>
        <v>1.01</v>
      </c>
      <c r="D244" s="635"/>
      <c r="E244" s="21">
        <f t="shared" si="37"/>
        <v>1</v>
      </c>
      <c r="F244" s="635"/>
      <c r="G244" s="21">
        <f t="shared" si="38"/>
        <v>1</v>
      </c>
      <c r="H244" s="635"/>
      <c r="I244" s="21">
        <f t="shared" si="39"/>
        <v>1</v>
      </c>
      <c r="J244" s="635"/>
      <c r="K244" s="21">
        <f t="shared" si="40"/>
        <v>1</v>
      </c>
      <c r="L244" s="635"/>
      <c r="M244" s="21">
        <f t="shared" si="41"/>
        <v>1</v>
      </c>
      <c r="N244" s="635"/>
      <c r="O244" s="21">
        <f t="shared" si="42"/>
        <v>1</v>
      </c>
      <c r="P244" s="635"/>
      <c r="Q244" s="21">
        <f t="shared" si="43"/>
        <v>1</v>
      </c>
      <c r="R244" s="21">
        <f t="shared" ca="1" si="44"/>
        <v>25634</v>
      </c>
      <c r="S244" s="308">
        <f t="shared" ca="1" si="35"/>
        <v>73</v>
      </c>
    </row>
    <row r="245" spans="1:19">
      <c r="A245" s="633" t="str">
        <f>'12.23面积'!M255</f>
        <v>13-122</v>
      </c>
      <c r="B245" s="633">
        <f>'12.23面积'!N255</f>
        <v>22.66</v>
      </c>
      <c r="C245" s="21">
        <f t="shared" si="36"/>
        <v>1.01</v>
      </c>
      <c r="D245" s="635"/>
      <c r="E245" s="21">
        <f t="shared" si="37"/>
        <v>1</v>
      </c>
      <c r="F245" s="635"/>
      <c r="G245" s="21">
        <f t="shared" si="38"/>
        <v>1</v>
      </c>
      <c r="H245" s="635"/>
      <c r="I245" s="21">
        <f t="shared" si="39"/>
        <v>1</v>
      </c>
      <c r="J245" s="635"/>
      <c r="K245" s="21">
        <f t="shared" si="40"/>
        <v>1</v>
      </c>
      <c r="L245" s="635"/>
      <c r="M245" s="21">
        <f t="shared" si="41"/>
        <v>1</v>
      </c>
      <c r="N245" s="635"/>
      <c r="O245" s="21">
        <f t="shared" si="42"/>
        <v>1</v>
      </c>
      <c r="P245" s="635"/>
      <c r="Q245" s="21">
        <f t="shared" si="43"/>
        <v>1</v>
      </c>
      <c r="R245" s="21">
        <f t="shared" ca="1" si="44"/>
        <v>25634</v>
      </c>
      <c r="S245" s="308">
        <f t="shared" ca="1" si="35"/>
        <v>58</v>
      </c>
    </row>
    <row r="246" spans="1:19">
      <c r="A246" s="633" t="str">
        <f>'12.23面积'!M256</f>
        <v>13-123</v>
      </c>
      <c r="B246" s="633">
        <f>'12.23面积'!N256</f>
        <v>28.54</v>
      </c>
      <c r="C246" s="21">
        <f t="shared" si="36"/>
        <v>1.01</v>
      </c>
      <c r="D246" s="635"/>
      <c r="E246" s="21">
        <f t="shared" si="37"/>
        <v>1</v>
      </c>
      <c r="F246" s="635"/>
      <c r="G246" s="21">
        <f t="shared" si="38"/>
        <v>1</v>
      </c>
      <c r="H246" s="635"/>
      <c r="I246" s="21">
        <f t="shared" si="39"/>
        <v>1</v>
      </c>
      <c r="J246" s="635"/>
      <c r="K246" s="21">
        <f t="shared" si="40"/>
        <v>1</v>
      </c>
      <c r="L246" s="635"/>
      <c r="M246" s="21">
        <f t="shared" si="41"/>
        <v>1</v>
      </c>
      <c r="N246" s="635"/>
      <c r="O246" s="21">
        <f t="shared" si="42"/>
        <v>1</v>
      </c>
      <c r="P246" s="635"/>
      <c r="Q246" s="21">
        <f t="shared" si="43"/>
        <v>1</v>
      </c>
      <c r="R246" s="21">
        <f t="shared" ca="1" si="44"/>
        <v>25634</v>
      </c>
      <c r="S246" s="308">
        <f t="shared" ca="1" si="35"/>
        <v>73</v>
      </c>
    </row>
    <row r="247" spans="1:19">
      <c r="A247" s="633" t="str">
        <f>'12.23面积'!M257</f>
        <v>13-124</v>
      </c>
      <c r="B247" s="633">
        <f>'12.23面积'!N257</f>
        <v>28.54</v>
      </c>
      <c r="C247" s="21">
        <f t="shared" si="36"/>
        <v>1.01</v>
      </c>
      <c r="D247" s="635"/>
      <c r="E247" s="21">
        <f t="shared" si="37"/>
        <v>1</v>
      </c>
      <c r="F247" s="635"/>
      <c r="G247" s="21">
        <f t="shared" si="38"/>
        <v>1</v>
      </c>
      <c r="H247" s="635"/>
      <c r="I247" s="21">
        <f t="shared" si="39"/>
        <v>1</v>
      </c>
      <c r="J247" s="635"/>
      <c r="K247" s="21">
        <f t="shared" si="40"/>
        <v>1</v>
      </c>
      <c r="L247" s="635"/>
      <c r="M247" s="21">
        <f t="shared" si="41"/>
        <v>1</v>
      </c>
      <c r="N247" s="635"/>
      <c r="O247" s="21">
        <f t="shared" si="42"/>
        <v>1</v>
      </c>
      <c r="P247" s="635"/>
      <c r="Q247" s="21">
        <f t="shared" si="43"/>
        <v>1</v>
      </c>
      <c r="R247" s="21">
        <f t="shared" ca="1" si="44"/>
        <v>25634</v>
      </c>
      <c r="S247" s="308">
        <f t="shared" ca="1" si="35"/>
        <v>73</v>
      </c>
    </row>
    <row r="248" spans="1:19">
      <c r="A248" s="633" t="str">
        <f>'12.23面积'!M258</f>
        <v>13-126</v>
      </c>
      <c r="B248" s="633">
        <f>'12.23面积'!N258</f>
        <v>43.21</v>
      </c>
      <c r="C248" s="21">
        <f t="shared" si="36"/>
        <v>1</v>
      </c>
      <c r="D248" s="635"/>
      <c r="E248" s="21">
        <f t="shared" si="37"/>
        <v>1</v>
      </c>
      <c r="F248" s="635"/>
      <c r="G248" s="21">
        <f t="shared" si="38"/>
        <v>1</v>
      </c>
      <c r="H248" s="635"/>
      <c r="I248" s="21">
        <f t="shared" si="39"/>
        <v>1</v>
      </c>
      <c r="J248" s="635"/>
      <c r="K248" s="21">
        <f t="shared" si="40"/>
        <v>1</v>
      </c>
      <c r="L248" s="635"/>
      <c r="M248" s="21">
        <f t="shared" si="41"/>
        <v>1</v>
      </c>
      <c r="N248" s="635"/>
      <c r="O248" s="21">
        <f t="shared" si="42"/>
        <v>1</v>
      </c>
      <c r="P248" s="635"/>
      <c r="Q248" s="21">
        <f t="shared" si="43"/>
        <v>1</v>
      </c>
      <c r="R248" s="21">
        <f t="shared" ca="1" si="44"/>
        <v>25380</v>
      </c>
      <c r="S248" s="308">
        <f t="shared" ca="1" si="35"/>
        <v>110</v>
      </c>
    </row>
    <row r="249" spans="1:19">
      <c r="A249" s="633" t="str">
        <f>'12.23面积'!M259</f>
        <v>13-127</v>
      </c>
      <c r="B249" s="633">
        <f>'12.23面积'!N259</f>
        <v>43.12</v>
      </c>
      <c r="C249" s="21">
        <f t="shared" si="36"/>
        <v>1</v>
      </c>
      <c r="D249" s="635"/>
      <c r="E249" s="21">
        <f t="shared" si="37"/>
        <v>1</v>
      </c>
      <c r="F249" s="635"/>
      <c r="G249" s="21">
        <f t="shared" si="38"/>
        <v>1</v>
      </c>
      <c r="H249" s="635"/>
      <c r="I249" s="21">
        <f t="shared" si="39"/>
        <v>1</v>
      </c>
      <c r="J249" s="635"/>
      <c r="K249" s="21">
        <f t="shared" si="40"/>
        <v>1</v>
      </c>
      <c r="L249" s="635"/>
      <c r="M249" s="21">
        <f t="shared" si="41"/>
        <v>1</v>
      </c>
      <c r="N249" s="635"/>
      <c r="O249" s="21">
        <f t="shared" si="42"/>
        <v>1</v>
      </c>
      <c r="P249" s="635"/>
      <c r="Q249" s="21">
        <f t="shared" si="43"/>
        <v>1</v>
      </c>
      <c r="R249" s="21">
        <f t="shared" ca="1" si="44"/>
        <v>25380</v>
      </c>
      <c r="S249" s="308">
        <f t="shared" ca="1" si="35"/>
        <v>109</v>
      </c>
    </row>
    <row r="250" spans="1:19">
      <c r="A250" s="633" t="str">
        <f>'12.23面积'!M260</f>
        <v>13-202</v>
      </c>
      <c r="B250" s="633">
        <f>'12.23面积'!N260</f>
        <v>19.97</v>
      </c>
      <c r="C250" s="21">
        <f t="shared" si="36"/>
        <v>1.01</v>
      </c>
      <c r="D250" s="635"/>
      <c r="E250" s="21">
        <f t="shared" si="37"/>
        <v>1</v>
      </c>
      <c r="F250" s="635"/>
      <c r="G250" s="21">
        <f t="shared" si="38"/>
        <v>1</v>
      </c>
      <c r="H250" s="635"/>
      <c r="I250" s="21">
        <f t="shared" si="39"/>
        <v>1</v>
      </c>
      <c r="J250" s="635"/>
      <c r="K250" s="21">
        <f t="shared" si="40"/>
        <v>1</v>
      </c>
      <c r="L250" s="635"/>
      <c r="M250" s="21">
        <f t="shared" si="41"/>
        <v>1</v>
      </c>
      <c r="N250" s="635"/>
      <c r="O250" s="21">
        <f t="shared" si="42"/>
        <v>1</v>
      </c>
      <c r="P250" s="635"/>
      <c r="Q250" s="21">
        <f t="shared" si="43"/>
        <v>1</v>
      </c>
      <c r="R250" s="21">
        <f t="shared" ca="1" si="44"/>
        <v>25634</v>
      </c>
      <c r="S250" s="308">
        <f t="shared" ca="1" si="35"/>
        <v>51</v>
      </c>
    </row>
    <row r="251" spans="1:19">
      <c r="A251" s="633" t="str">
        <f>'12.23面积'!M261</f>
        <v>13-203</v>
      </c>
      <c r="B251" s="633">
        <f>'12.23面积'!N261</f>
        <v>19.97</v>
      </c>
      <c r="C251" s="21">
        <f t="shared" si="36"/>
        <v>1.01</v>
      </c>
      <c r="D251" s="635"/>
      <c r="E251" s="21">
        <f t="shared" si="37"/>
        <v>1</v>
      </c>
      <c r="F251" s="635"/>
      <c r="G251" s="21">
        <f t="shared" si="38"/>
        <v>1</v>
      </c>
      <c r="H251" s="635"/>
      <c r="I251" s="21">
        <f t="shared" si="39"/>
        <v>1</v>
      </c>
      <c r="J251" s="635"/>
      <c r="K251" s="21">
        <f t="shared" si="40"/>
        <v>1</v>
      </c>
      <c r="L251" s="635"/>
      <c r="M251" s="21">
        <f t="shared" si="41"/>
        <v>1</v>
      </c>
      <c r="N251" s="635"/>
      <c r="O251" s="21">
        <f t="shared" si="42"/>
        <v>1</v>
      </c>
      <c r="P251" s="635"/>
      <c r="Q251" s="21">
        <f t="shared" si="43"/>
        <v>1</v>
      </c>
      <c r="R251" s="21">
        <f t="shared" ca="1" si="44"/>
        <v>25634</v>
      </c>
      <c r="S251" s="308">
        <f t="shared" ca="1" si="35"/>
        <v>51</v>
      </c>
    </row>
    <row r="252" spans="1:19">
      <c r="A252" s="633" t="str">
        <f>'12.23面积'!M262</f>
        <v>13-204</v>
      </c>
      <c r="B252" s="633">
        <f>'12.23面积'!N262</f>
        <v>19.97</v>
      </c>
      <c r="C252" s="21">
        <f t="shared" si="36"/>
        <v>1.01</v>
      </c>
      <c r="D252" s="635"/>
      <c r="E252" s="21">
        <f t="shared" si="37"/>
        <v>1</v>
      </c>
      <c r="F252" s="635"/>
      <c r="G252" s="21">
        <f t="shared" si="38"/>
        <v>1</v>
      </c>
      <c r="H252" s="635"/>
      <c r="I252" s="21">
        <f t="shared" si="39"/>
        <v>1</v>
      </c>
      <c r="J252" s="635"/>
      <c r="K252" s="21">
        <f t="shared" si="40"/>
        <v>1</v>
      </c>
      <c r="L252" s="635"/>
      <c r="M252" s="21">
        <f t="shared" si="41"/>
        <v>1</v>
      </c>
      <c r="N252" s="635"/>
      <c r="O252" s="21">
        <f t="shared" si="42"/>
        <v>1</v>
      </c>
      <c r="P252" s="635"/>
      <c r="Q252" s="21">
        <f t="shared" si="43"/>
        <v>1</v>
      </c>
      <c r="R252" s="21">
        <f t="shared" ca="1" si="44"/>
        <v>25634</v>
      </c>
      <c r="S252" s="308">
        <f t="shared" ca="1" si="35"/>
        <v>51</v>
      </c>
    </row>
    <row r="253" spans="1:19">
      <c r="A253" s="633" t="str">
        <f>'12.23面积'!M263</f>
        <v>13-205</v>
      </c>
      <c r="B253" s="633">
        <f>'12.23面积'!N263</f>
        <v>19.97</v>
      </c>
      <c r="C253" s="21">
        <f t="shared" si="36"/>
        <v>1.01</v>
      </c>
      <c r="D253" s="635"/>
      <c r="E253" s="21">
        <f t="shared" si="37"/>
        <v>1</v>
      </c>
      <c r="F253" s="635"/>
      <c r="G253" s="21">
        <f t="shared" si="38"/>
        <v>1</v>
      </c>
      <c r="H253" s="635"/>
      <c r="I253" s="21">
        <f t="shared" si="39"/>
        <v>1</v>
      </c>
      <c r="J253" s="635"/>
      <c r="K253" s="21">
        <f t="shared" si="40"/>
        <v>1</v>
      </c>
      <c r="L253" s="635"/>
      <c r="M253" s="21">
        <f t="shared" si="41"/>
        <v>1</v>
      </c>
      <c r="N253" s="635"/>
      <c r="O253" s="21">
        <f t="shared" si="42"/>
        <v>1</v>
      </c>
      <c r="P253" s="635"/>
      <c r="Q253" s="21">
        <f t="shared" si="43"/>
        <v>1</v>
      </c>
      <c r="R253" s="21">
        <f t="shared" ca="1" si="44"/>
        <v>25634</v>
      </c>
      <c r="S253" s="308">
        <f t="shared" ca="1" si="35"/>
        <v>51</v>
      </c>
    </row>
    <row r="254" spans="1:19">
      <c r="A254" s="633" t="str">
        <f>'12.23面积'!M264</f>
        <v>13-206</v>
      </c>
      <c r="B254" s="633">
        <f>'12.23面积'!N264</f>
        <v>19.97</v>
      </c>
      <c r="C254" s="21">
        <f t="shared" si="36"/>
        <v>1.01</v>
      </c>
      <c r="D254" s="635"/>
      <c r="E254" s="21">
        <f t="shared" si="37"/>
        <v>1</v>
      </c>
      <c r="F254" s="635"/>
      <c r="G254" s="21">
        <f t="shared" si="38"/>
        <v>1</v>
      </c>
      <c r="H254" s="635"/>
      <c r="I254" s="21">
        <f t="shared" si="39"/>
        <v>1</v>
      </c>
      <c r="J254" s="635"/>
      <c r="K254" s="21">
        <f t="shared" si="40"/>
        <v>1</v>
      </c>
      <c r="L254" s="635"/>
      <c r="M254" s="21">
        <f t="shared" si="41"/>
        <v>1</v>
      </c>
      <c r="N254" s="635"/>
      <c r="O254" s="21">
        <f t="shared" si="42"/>
        <v>1</v>
      </c>
      <c r="P254" s="635"/>
      <c r="Q254" s="21">
        <f t="shared" si="43"/>
        <v>1</v>
      </c>
      <c r="R254" s="21">
        <f t="shared" ca="1" si="44"/>
        <v>25634</v>
      </c>
      <c r="S254" s="308">
        <f t="shared" ca="1" si="35"/>
        <v>51</v>
      </c>
    </row>
    <row r="255" spans="1:19">
      <c r="A255" s="633" t="str">
        <f>'12.23面积'!M265</f>
        <v>15-101</v>
      </c>
      <c r="B255" s="633">
        <f>'12.23面积'!N265</f>
        <v>12.98</v>
      </c>
      <c r="C255" s="21">
        <f t="shared" si="36"/>
        <v>1.01</v>
      </c>
      <c r="D255" s="635"/>
      <c r="E255" s="21">
        <f t="shared" si="37"/>
        <v>1</v>
      </c>
      <c r="F255" s="635"/>
      <c r="G255" s="21">
        <f t="shared" si="38"/>
        <v>1</v>
      </c>
      <c r="H255" s="635"/>
      <c r="I255" s="21">
        <f t="shared" si="39"/>
        <v>1</v>
      </c>
      <c r="J255" s="635"/>
      <c r="K255" s="21">
        <f t="shared" si="40"/>
        <v>1</v>
      </c>
      <c r="L255" s="635"/>
      <c r="M255" s="21">
        <f t="shared" si="41"/>
        <v>1</v>
      </c>
      <c r="N255" s="635"/>
      <c r="O255" s="21">
        <f t="shared" si="42"/>
        <v>1</v>
      </c>
      <c r="P255" s="635"/>
      <c r="Q255" s="21">
        <f t="shared" si="43"/>
        <v>1</v>
      </c>
      <c r="R255" s="21">
        <f t="shared" ca="1" si="44"/>
        <v>25634</v>
      </c>
      <c r="S255" s="308">
        <f t="shared" ca="1" si="35"/>
        <v>33</v>
      </c>
    </row>
    <row r="256" spans="1:19">
      <c r="A256" s="633" t="str">
        <f>'12.23面积'!M266</f>
        <v>15-102</v>
      </c>
      <c r="B256" s="633">
        <f>'12.23面积'!N266</f>
        <v>38.93</v>
      </c>
      <c r="C256" s="21">
        <f t="shared" si="36"/>
        <v>1</v>
      </c>
      <c r="D256" s="635"/>
      <c r="E256" s="21">
        <f t="shared" si="37"/>
        <v>1</v>
      </c>
      <c r="F256" s="635"/>
      <c r="G256" s="21">
        <f t="shared" si="38"/>
        <v>1</v>
      </c>
      <c r="H256" s="635"/>
      <c r="I256" s="21">
        <f t="shared" si="39"/>
        <v>1</v>
      </c>
      <c r="J256" s="635"/>
      <c r="K256" s="21">
        <f t="shared" si="40"/>
        <v>1</v>
      </c>
      <c r="L256" s="635"/>
      <c r="M256" s="21">
        <f t="shared" si="41"/>
        <v>1</v>
      </c>
      <c r="N256" s="635"/>
      <c r="O256" s="21">
        <f t="shared" si="42"/>
        <v>1</v>
      </c>
      <c r="P256" s="635"/>
      <c r="Q256" s="21">
        <f t="shared" si="43"/>
        <v>1</v>
      </c>
      <c r="R256" s="21">
        <f t="shared" ca="1" si="44"/>
        <v>25380</v>
      </c>
      <c r="S256" s="308">
        <f t="shared" ca="1" si="35"/>
        <v>99</v>
      </c>
    </row>
    <row r="257" spans="1:19">
      <c r="A257" s="633" t="str">
        <f>'12.23面积'!M267</f>
        <v>15-103</v>
      </c>
      <c r="B257" s="633">
        <f>'12.23面积'!N267</f>
        <v>47.04</v>
      </c>
      <c r="C257" s="21">
        <f t="shared" si="36"/>
        <v>1</v>
      </c>
      <c r="D257" s="635"/>
      <c r="E257" s="21">
        <f t="shared" si="37"/>
        <v>1</v>
      </c>
      <c r="F257" s="635"/>
      <c r="G257" s="21">
        <f t="shared" si="38"/>
        <v>1</v>
      </c>
      <c r="H257" s="635"/>
      <c r="I257" s="21">
        <f t="shared" si="39"/>
        <v>1</v>
      </c>
      <c r="J257" s="635"/>
      <c r="K257" s="21">
        <f t="shared" si="40"/>
        <v>1</v>
      </c>
      <c r="L257" s="635"/>
      <c r="M257" s="21">
        <f t="shared" si="41"/>
        <v>1</v>
      </c>
      <c r="N257" s="635"/>
      <c r="O257" s="21">
        <f t="shared" si="42"/>
        <v>1</v>
      </c>
      <c r="P257" s="635"/>
      <c r="Q257" s="21">
        <f t="shared" si="43"/>
        <v>1</v>
      </c>
      <c r="R257" s="21">
        <f t="shared" ca="1" si="44"/>
        <v>25380</v>
      </c>
      <c r="S257" s="308">
        <f t="shared" ca="1" si="35"/>
        <v>119</v>
      </c>
    </row>
    <row r="258" spans="1:19">
      <c r="A258" s="633" t="str">
        <f>'12.23面积'!M268</f>
        <v>15-104</v>
      </c>
      <c r="B258" s="633">
        <f>'12.23面积'!N268</f>
        <v>62.16</v>
      </c>
      <c r="C258" s="21">
        <f t="shared" si="36"/>
        <v>0.99</v>
      </c>
      <c r="D258" s="635"/>
      <c r="E258" s="21">
        <f t="shared" si="37"/>
        <v>1</v>
      </c>
      <c r="F258" s="635"/>
      <c r="G258" s="21">
        <f t="shared" si="38"/>
        <v>1</v>
      </c>
      <c r="H258" s="635"/>
      <c r="I258" s="21">
        <f t="shared" si="39"/>
        <v>1</v>
      </c>
      <c r="J258" s="635"/>
      <c r="K258" s="21">
        <f t="shared" si="40"/>
        <v>1</v>
      </c>
      <c r="L258" s="635"/>
      <c r="M258" s="21">
        <f t="shared" si="41"/>
        <v>1</v>
      </c>
      <c r="N258" s="635"/>
      <c r="O258" s="21">
        <f t="shared" si="42"/>
        <v>1</v>
      </c>
      <c r="P258" s="635"/>
      <c r="Q258" s="21">
        <f t="shared" si="43"/>
        <v>1</v>
      </c>
      <c r="R258" s="21">
        <f t="shared" ca="1" si="44"/>
        <v>25126</v>
      </c>
      <c r="S258" s="308">
        <f t="shared" ca="1" si="35"/>
        <v>156</v>
      </c>
    </row>
    <row r="259" spans="1:19">
      <c r="A259" s="633" t="str">
        <f>'12.23面积'!M269</f>
        <v>15-105</v>
      </c>
      <c r="B259" s="633">
        <f>'12.23面积'!N269</f>
        <v>61.2</v>
      </c>
      <c r="C259" s="21">
        <f t="shared" si="36"/>
        <v>0.99</v>
      </c>
      <c r="D259" s="635"/>
      <c r="E259" s="21">
        <f t="shared" si="37"/>
        <v>1</v>
      </c>
      <c r="F259" s="635"/>
      <c r="G259" s="21">
        <f t="shared" si="38"/>
        <v>1</v>
      </c>
      <c r="H259" s="635"/>
      <c r="I259" s="21">
        <f t="shared" si="39"/>
        <v>1</v>
      </c>
      <c r="J259" s="635"/>
      <c r="K259" s="21">
        <f t="shared" si="40"/>
        <v>1</v>
      </c>
      <c r="L259" s="635"/>
      <c r="M259" s="21">
        <f t="shared" si="41"/>
        <v>1</v>
      </c>
      <c r="N259" s="635"/>
      <c r="O259" s="21">
        <f t="shared" si="42"/>
        <v>1</v>
      </c>
      <c r="P259" s="635"/>
      <c r="Q259" s="21">
        <f t="shared" si="43"/>
        <v>1</v>
      </c>
      <c r="R259" s="21">
        <f t="shared" ca="1" si="44"/>
        <v>25126</v>
      </c>
      <c r="S259" s="308">
        <f t="shared" ca="1" si="35"/>
        <v>154</v>
      </c>
    </row>
    <row r="260" spans="1:19">
      <c r="A260" s="633" t="str">
        <f>'12.23面积'!M270</f>
        <v>15-106</v>
      </c>
      <c r="B260" s="633">
        <f>'12.23面积'!N270</f>
        <v>61.2</v>
      </c>
      <c r="C260" s="21">
        <f t="shared" si="36"/>
        <v>0.99</v>
      </c>
      <c r="D260" s="635"/>
      <c r="E260" s="21">
        <f t="shared" si="37"/>
        <v>1</v>
      </c>
      <c r="F260" s="635"/>
      <c r="G260" s="21">
        <f t="shared" si="38"/>
        <v>1</v>
      </c>
      <c r="H260" s="635"/>
      <c r="I260" s="21">
        <f t="shared" si="39"/>
        <v>1</v>
      </c>
      <c r="J260" s="635"/>
      <c r="K260" s="21">
        <f t="shared" si="40"/>
        <v>1</v>
      </c>
      <c r="L260" s="635"/>
      <c r="M260" s="21">
        <f t="shared" si="41"/>
        <v>1</v>
      </c>
      <c r="N260" s="635"/>
      <c r="O260" s="21">
        <f t="shared" si="42"/>
        <v>1</v>
      </c>
      <c r="P260" s="635"/>
      <c r="Q260" s="21">
        <f t="shared" si="43"/>
        <v>1</v>
      </c>
      <c r="R260" s="21">
        <f t="shared" ca="1" si="44"/>
        <v>25126</v>
      </c>
      <c r="S260" s="308">
        <f t="shared" ca="1" si="35"/>
        <v>154</v>
      </c>
    </row>
    <row r="261" spans="1:19">
      <c r="A261" s="633" t="str">
        <f>'12.23面积'!M271</f>
        <v>15-107</v>
      </c>
      <c r="B261" s="633">
        <f>'12.23面积'!N271</f>
        <v>62.16</v>
      </c>
      <c r="C261" s="21">
        <f t="shared" si="36"/>
        <v>0.99</v>
      </c>
      <c r="D261" s="635"/>
      <c r="E261" s="21">
        <f t="shared" si="37"/>
        <v>1</v>
      </c>
      <c r="F261" s="635"/>
      <c r="G261" s="21">
        <f t="shared" si="38"/>
        <v>1</v>
      </c>
      <c r="H261" s="635"/>
      <c r="I261" s="21">
        <f t="shared" si="39"/>
        <v>1</v>
      </c>
      <c r="J261" s="635"/>
      <c r="K261" s="21">
        <f t="shared" si="40"/>
        <v>1</v>
      </c>
      <c r="L261" s="635"/>
      <c r="M261" s="21">
        <f t="shared" si="41"/>
        <v>1</v>
      </c>
      <c r="N261" s="635"/>
      <c r="O261" s="21">
        <f t="shared" si="42"/>
        <v>1</v>
      </c>
      <c r="P261" s="635"/>
      <c r="Q261" s="21">
        <f t="shared" si="43"/>
        <v>1</v>
      </c>
      <c r="R261" s="21">
        <f t="shared" ca="1" si="44"/>
        <v>25126</v>
      </c>
      <c r="S261" s="308">
        <f t="shared" ca="1" si="35"/>
        <v>156</v>
      </c>
    </row>
    <row r="262" spans="1:19">
      <c r="A262" s="633" t="str">
        <f>'12.23面积'!M272</f>
        <v>15-108</v>
      </c>
      <c r="B262" s="633">
        <f>'12.23面积'!N272</f>
        <v>47.04</v>
      </c>
      <c r="C262" s="21">
        <f t="shared" si="36"/>
        <v>1</v>
      </c>
      <c r="D262" s="635"/>
      <c r="E262" s="21">
        <f t="shared" si="37"/>
        <v>1</v>
      </c>
      <c r="F262" s="635"/>
      <c r="G262" s="21">
        <f t="shared" si="38"/>
        <v>1</v>
      </c>
      <c r="H262" s="635"/>
      <c r="I262" s="21">
        <f t="shared" si="39"/>
        <v>1</v>
      </c>
      <c r="J262" s="635"/>
      <c r="K262" s="21">
        <f t="shared" si="40"/>
        <v>1</v>
      </c>
      <c r="L262" s="635"/>
      <c r="M262" s="21">
        <f t="shared" si="41"/>
        <v>1</v>
      </c>
      <c r="N262" s="635"/>
      <c r="O262" s="21">
        <f t="shared" si="42"/>
        <v>1</v>
      </c>
      <c r="P262" s="635"/>
      <c r="Q262" s="21">
        <f t="shared" si="43"/>
        <v>1</v>
      </c>
      <c r="R262" s="21">
        <f t="shared" ca="1" si="44"/>
        <v>25380</v>
      </c>
      <c r="S262" s="308">
        <f t="shared" ca="1" si="35"/>
        <v>119</v>
      </c>
    </row>
    <row r="263" spans="1:19">
      <c r="A263" s="633" t="str">
        <f>'12.23面积'!M273</f>
        <v>15-109</v>
      </c>
      <c r="B263" s="633">
        <f>'12.23面积'!N273</f>
        <v>42.64</v>
      </c>
      <c r="C263" s="21">
        <f t="shared" si="36"/>
        <v>1</v>
      </c>
      <c r="D263" s="635"/>
      <c r="E263" s="21">
        <f t="shared" si="37"/>
        <v>1</v>
      </c>
      <c r="F263" s="635"/>
      <c r="G263" s="21">
        <f t="shared" si="38"/>
        <v>1</v>
      </c>
      <c r="H263" s="635"/>
      <c r="I263" s="21">
        <f t="shared" si="39"/>
        <v>1</v>
      </c>
      <c r="J263" s="635"/>
      <c r="K263" s="21">
        <f t="shared" si="40"/>
        <v>1</v>
      </c>
      <c r="L263" s="635"/>
      <c r="M263" s="21">
        <f t="shared" si="41"/>
        <v>1</v>
      </c>
      <c r="N263" s="635"/>
      <c r="O263" s="21">
        <f t="shared" si="42"/>
        <v>1</v>
      </c>
      <c r="P263" s="635"/>
      <c r="Q263" s="21">
        <f t="shared" si="43"/>
        <v>1</v>
      </c>
      <c r="R263" s="21">
        <f t="shared" ca="1" si="44"/>
        <v>25380</v>
      </c>
      <c r="S263" s="308">
        <f t="shared" ca="1" si="35"/>
        <v>108</v>
      </c>
    </row>
    <row r="264" spans="1:19">
      <c r="A264" s="633" t="str">
        <f>'12.23面积'!M274</f>
        <v>15-110</v>
      </c>
      <c r="B264" s="633">
        <f>'12.23面积'!N274</f>
        <v>42.64</v>
      </c>
      <c r="C264" s="21">
        <f t="shared" si="36"/>
        <v>1</v>
      </c>
      <c r="D264" s="635"/>
      <c r="E264" s="21">
        <f t="shared" si="37"/>
        <v>1</v>
      </c>
      <c r="F264" s="635"/>
      <c r="G264" s="21">
        <f t="shared" si="38"/>
        <v>1</v>
      </c>
      <c r="H264" s="635"/>
      <c r="I264" s="21">
        <f t="shared" si="39"/>
        <v>1</v>
      </c>
      <c r="J264" s="635"/>
      <c r="K264" s="21">
        <f t="shared" si="40"/>
        <v>1</v>
      </c>
      <c r="L264" s="635"/>
      <c r="M264" s="21">
        <f t="shared" si="41"/>
        <v>1</v>
      </c>
      <c r="N264" s="635"/>
      <c r="O264" s="21">
        <f t="shared" si="42"/>
        <v>1</v>
      </c>
      <c r="P264" s="635"/>
      <c r="Q264" s="21">
        <f t="shared" si="43"/>
        <v>1</v>
      </c>
      <c r="R264" s="21">
        <f t="shared" ca="1" si="44"/>
        <v>25380</v>
      </c>
      <c r="S264" s="308">
        <f t="shared" ca="1" si="35"/>
        <v>108</v>
      </c>
    </row>
    <row r="265" spans="1:19">
      <c r="A265" s="633" t="str">
        <f>'12.23面积'!M275</f>
        <v>15-111</v>
      </c>
      <c r="B265" s="633">
        <f>'12.23面积'!N275</f>
        <v>47.04</v>
      </c>
      <c r="C265" s="21">
        <f t="shared" si="36"/>
        <v>1</v>
      </c>
      <c r="D265" s="635"/>
      <c r="E265" s="21">
        <f t="shared" si="37"/>
        <v>1</v>
      </c>
      <c r="F265" s="635"/>
      <c r="G265" s="21">
        <f t="shared" si="38"/>
        <v>1</v>
      </c>
      <c r="H265" s="635"/>
      <c r="I265" s="21">
        <f t="shared" si="39"/>
        <v>1</v>
      </c>
      <c r="J265" s="635"/>
      <c r="K265" s="21">
        <f t="shared" si="40"/>
        <v>1</v>
      </c>
      <c r="L265" s="635"/>
      <c r="M265" s="21">
        <f t="shared" si="41"/>
        <v>1</v>
      </c>
      <c r="N265" s="635"/>
      <c r="O265" s="21">
        <f t="shared" si="42"/>
        <v>1</v>
      </c>
      <c r="P265" s="635"/>
      <c r="Q265" s="21">
        <f t="shared" si="43"/>
        <v>1</v>
      </c>
      <c r="R265" s="21">
        <f t="shared" ca="1" si="44"/>
        <v>25380</v>
      </c>
      <c r="S265" s="308">
        <f t="shared" ca="1" si="35"/>
        <v>119</v>
      </c>
    </row>
    <row r="266" spans="1:19">
      <c r="A266" s="633" t="str">
        <f>'12.23面积'!M276</f>
        <v>15-112</v>
      </c>
      <c r="B266" s="633">
        <f>'12.23面积'!N276</f>
        <v>62.16</v>
      </c>
      <c r="C266" s="21">
        <f t="shared" si="36"/>
        <v>0.99</v>
      </c>
      <c r="D266" s="635"/>
      <c r="E266" s="21">
        <f t="shared" si="37"/>
        <v>1</v>
      </c>
      <c r="F266" s="635"/>
      <c r="G266" s="21">
        <f t="shared" si="38"/>
        <v>1</v>
      </c>
      <c r="H266" s="635"/>
      <c r="I266" s="21">
        <f t="shared" si="39"/>
        <v>1</v>
      </c>
      <c r="J266" s="635"/>
      <c r="K266" s="21">
        <f t="shared" si="40"/>
        <v>1</v>
      </c>
      <c r="L266" s="635"/>
      <c r="M266" s="21">
        <f t="shared" si="41"/>
        <v>1</v>
      </c>
      <c r="N266" s="635"/>
      <c r="O266" s="21">
        <f t="shared" si="42"/>
        <v>1</v>
      </c>
      <c r="P266" s="635"/>
      <c r="Q266" s="21">
        <f t="shared" si="43"/>
        <v>1</v>
      </c>
      <c r="R266" s="21">
        <f t="shared" ca="1" si="44"/>
        <v>25126</v>
      </c>
      <c r="S266" s="308">
        <f t="shared" ca="1" si="35"/>
        <v>156</v>
      </c>
    </row>
    <row r="267" spans="1:19">
      <c r="A267" s="633" t="str">
        <f>'12.23面积'!M277</f>
        <v>15-113</v>
      </c>
      <c r="B267" s="633">
        <f>'12.23面积'!N277</f>
        <v>61.2</v>
      </c>
      <c r="C267" s="21">
        <f t="shared" si="36"/>
        <v>0.99</v>
      </c>
      <c r="D267" s="635"/>
      <c r="E267" s="21">
        <f t="shared" si="37"/>
        <v>1</v>
      </c>
      <c r="F267" s="635"/>
      <c r="G267" s="21">
        <f t="shared" si="38"/>
        <v>1</v>
      </c>
      <c r="H267" s="635"/>
      <c r="I267" s="21">
        <f t="shared" si="39"/>
        <v>1</v>
      </c>
      <c r="J267" s="635"/>
      <c r="K267" s="21">
        <f t="shared" si="40"/>
        <v>1</v>
      </c>
      <c r="L267" s="635"/>
      <c r="M267" s="21">
        <f t="shared" si="41"/>
        <v>1</v>
      </c>
      <c r="N267" s="635"/>
      <c r="O267" s="21">
        <f t="shared" si="42"/>
        <v>1</v>
      </c>
      <c r="P267" s="635"/>
      <c r="Q267" s="21">
        <f t="shared" si="43"/>
        <v>1</v>
      </c>
      <c r="R267" s="21">
        <f t="shared" ca="1" si="44"/>
        <v>25126</v>
      </c>
      <c r="S267" s="308">
        <f t="shared" ca="1" si="35"/>
        <v>154</v>
      </c>
    </row>
    <row r="268" spans="1:19">
      <c r="A268" s="633" t="str">
        <f>'12.23面积'!M278</f>
        <v>15-114</v>
      </c>
      <c r="B268" s="633">
        <f>'12.23面积'!N278</f>
        <v>61.2</v>
      </c>
      <c r="C268" s="21">
        <f t="shared" si="36"/>
        <v>0.99</v>
      </c>
      <c r="D268" s="635"/>
      <c r="E268" s="21">
        <f t="shared" si="37"/>
        <v>1</v>
      </c>
      <c r="F268" s="635"/>
      <c r="G268" s="21">
        <f t="shared" si="38"/>
        <v>1</v>
      </c>
      <c r="H268" s="635"/>
      <c r="I268" s="21">
        <f t="shared" si="39"/>
        <v>1</v>
      </c>
      <c r="J268" s="635"/>
      <c r="K268" s="21">
        <f t="shared" si="40"/>
        <v>1</v>
      </c>
      <c r="L268" s="635"/>
      <c r="M268" s="21">
        <f t="shared" si="41"/>
        <v>1</v>
      </c>
      <c r="N268" s="635"/>
      <c r="O268" s="21">
        <f t="shared" si="42"/>
        <v>1</v>
      </c>
      <c r="P268" s="635"/>
      <c r="Q268" s="21">
        <f t="shared" si="43"/>
        <v>1</v>
      </c>
      <c r="R268" s="21">
        <f t="shared" ca="1" si="44"/>
        <v>25126</v>
      </c>
      <c r="S268" s="308">
        <f t="shared" ca="1" si="35"/>
        <v>154</v>
      </c>
    </row>
    <row r="269" spans="1:19">
      <c r="A269" s="633" t="str">
        <f>'12.23面积'!M279</f>
        <v>15-115</v>
      </c>
      <c r="B269" s="633">
        <f>'12.23面积'!N279</f>
        <v>62.16</v>
      </c>
      <c r="C269" s="21">
        <f t="shared" si="36"/>
        <v>0.99</v>
      </c>
      <c r="D269" s="635"/>
      <c r="E269" s="21">
        <f t="shared" si="37"/>
        <v>1</v>
      </c>
      <c r="F269" s="635"/>
      <c r="G269" s="21">
        <f t="shared" si="38"/>
        <v>1</v>
      </c>
      <c r="H269" s="635"/>
      <c r="I269" s="21">
        <f t="shared" si="39"/>
        <v>1</v>
      </c>
      <c r="J269" s="635"/>
      <c r="K269" s="21">
        <f t="shared" si="40"/>
        <v>1</v>
      </c>
      <c r="L269" s="635"/>
      <c r="M269" s="21">
        <f t="shared" si="41"/>
        <v>1</v>
      </c>
      <c r="N269" s="635"/>
      <c r="O269" s="21">
        <f t="shared" si="42"/>
        <v>1</v>
      </c>
      <c r="P269" s="635"/>
      <c r="Q269" s="21">
        <f t="shared" si="43"/>
        <v>1</v>
      </c>
      <c r="R269" s="21">
        <f t="shared" ca="1" si="44"/>
        <v>25126</v>
      </c>
      <c r="S269" s="308">
        <f t="shared" ca="1" si="35"/>
        <v>156</v>
      </c>
    </row>
    <row r="270" spans="1:19">
      <c r="A270" s="633" t="str">
        <f>'12.23面积'!M280</f>
        <v>15-116</v>
      </c>
      <c r="B270" s="633">
        <f>'12.23面积'!N280</f>
        <v>47.04</v>
      </c>
      <c r="C270" s="21">
        <f t="shared" si="36"/>
        <v>1</v>
      </c>
      <c r="D270" s="635"/>
      <c r="E270" s="21">
        <f t="shared" si="37"/>
        <v>1</v>
      </c>
      <c r="F270" s="635"/>
      <c r="G270" s="21">
        <f t="shared" si="38"/>
        <v>1</v>
      </c>
      <c r="H270" s="635"/>
      <c r="I270" s="21">
        <f t="shared" si="39"/>
        <v>1</v>
      </c>
      <c r="J270" s="635"/>
      <c r="K270" s="21">
        <f t="shared" si="40"/>
        <v>1</v>
      </c>
      <c r="L270" s="635"/>
      <c r="M270" s="21">
        <f t="shared" si="41"/>
        <v>1</v>
      </c>
      <c r="N270" s="635"/>
      <c r="O270" s="21">
        <f t="shared" si="42"/>
        <v>1</v>
      </c>
      <c r="P270" s="635"/>
      <c r="Q270" s="21">
        <f t="shared" si="43"/>
        <v>1</v>
      </c>
      <c r="R270" s="21">
        <f t="shared" ca="1" si="44"/>
        <v>25380</v>
      </c>
      <c r="S270" s="308">
        <f t="shared" ca="1" si="35"/>
        <v>119</v>
      </c>
    </row>
    <row r="271" spans="1:19">
      <c r="A271" s="633" t="str">
        <f>'12.23面积'!M281</f>
        <v>15-117</v>
      </c>
      <c r="B271" s="633">
        <f>'12.23面积'!N281</f>
        <v>54.27</v>
      </c>
      <c r="C271" s="21">
        <f t="shared" si="36"/>
        <v>1</v>
      </c>
      <c r="D271" s="635"/>
      <c r="E271" s="21">
        <f t="shared" si="37"/>
        <v>1</v>
      </c>
      <c r="F271" s="635"/>
      <c r="G271" s="21">
        <f t="shared" si="38"/>
        <v>1</v>
      </c>
      <c r="H271" s="635"/>
      <c r="I271" s="21">
        <f t="shared" si="39"/>
        <v>1</v>
      </c>
      <c r="J271" s="635"/>
      <c r="K271" s="21">
        <f t="shared" si="40"/>
        <v>1</v>
      </c>
      <c r="L271" s="635"/>
      <c r="M271" s="21">
        <f t="shared" si="41"/>
        <v>1</v>
      </c>
      <c r="N271" s="635"/>
      <c r="O271" s="21">
        <f t="shared" si="42"/>
        <v>1</v>
      </c>
      <c r="P271" s="635"/>
      <c r="Q271" s="21">
        <f t="shared" si="43"/>
        <v>1</v>
      </c>
      <c r="R271" s="21">
        <f t="shared" ca="1" si="44"/>
        <v>25380</v>
      </c>
      <c r="S271" s="308">
        <f t="shared" ca="1" si="35"/>
        <v>138</v>
      </c>
    </row>
    <row r="272" spans="1:19">
      <c r="A272" s="633" t="str">
        <f>'12.23面积'!M282</f>
        <v>15-118</v>
      </c>
      <c r="B272" s="633">
        <f>'12.23面积'!N282</f>
        <v>15.1</v>
      </c>
      <c r="C272" s="21">
        <f t="shared" si="36"/>
        <v>1.01</v>
      </c>
      <c r="D272" s="635"/>
      <c r="E272" s="21">
        <f t="shared" si="37"/>
        <v>1</v>
      </c>
      <c r="F272" s="635"/>
      <c r="G272" s="21">
        <f t="shared" si="38"/>
        <v>1</v>
      </c>
      <c r="H272" s="635"/>
      <c r="I272" s="21">
        <f t="shared" si="39"/>
        <v>1</v>
      </c>
      <c r="J272" s="635"/>
      <c r="K272" s="21">
        <f t="shared" si="40"/>
        <v>1</v>
      </c>
      <c r="L272" s="635"/>
      <c r="M272" s="21">
        <f t="shared" si="41"/>
        <v>1</v>
      </c>
      <c r="N272" s="635"/>
      <c r="O272" s="21">
        <f t="shared" si="42"/>
        <v>1</v>
      </c>
      <c r="P272" s="635"/>
      <c r="Q272" s="21">
        <f t="shared" si="43"/>
        <v>1</v>
      </c>
      <c r="R272" s="21">
        <f t="shared" ca="1" si="44"/>
        <v>25634</v>
      </c>
      <c r="S272" s="308">
        <f t="shared" ca="1" si="35"/>
        <v>39</v>
      </c>
    </row>
    <row r="273" spans="1:19">
      <c r="A273" s="633" t="str">
        <f>'12.23面积'!M283</f>
        <v>15-201</v>
      </c>
      <c r="B273" s="633">
        <f>'12.23面积'!N283</f>
        <v>22.83</v>
      </c>
      <c r="C273" s="21">
        <f t="shared" si="36"/>
        <v>1.01</v>
      </c>
      <c r="D273" s="635"/>
      <c r="E273" s="21">
        <f t="shared" si="37"/>
        <v>1</v>
      </c>
      <c r="F273" s="635"/>
      <c r="G273" s="21">
        <f t="shared" si="38"/>
        <v>1</v>
      </c>
      <c r="H273" s="635"/>
      <c r="I273" s="21">
        <f t="shared" si="39"/>
        <v>1</v>
      </c>
      <c r="J273" s="635"/>
      <c r="K273" s="21">
        <f t="shared" si="40"/>
        <v>1</v>
      </c>
      <c r="L273" s="635"/>
      <c r="M273" s="21">
        <f t="shared" si="41"/>
        <v>1</v>
      </c>
      <c r="N273" s="635"/>
      <c r="O273" s="21">
        <f t="shared" si="42"/>
        <v>1</v>
      </c>
      <c r="P273" s="635"/>
      <c r="Q273" s="21">
        <f t="shared" si="43"/>
        <v>1</v>
      </c>
      <c r="R273" s="21">
        <f t="shared" ca="1" si="44"/>
        <v>25634</v>
      </c>
      <c r="S273" s="308">
        <f t="shared" ca="1" si="35"/>
        <v>59</v>
      </c>
    </row>
    <row r="274" spans="1:19">
      <c r="A274" s="633" t="str">
        <f>'12.23面积'!M284</f>
        <v>15-202</v>
      </c>
      <c r="B274" s="633">
        <f>'12.23面积'!N284</f>
        <v>22.83</v>
      </c>
      <c r="C274" s="21">
        <f t="shared" si="36"/>
        <v>1.01</v>
      </c>
      <c r="D274" s="635"/>
      <c r="E274" s="21">
        <f t="shared" si="37"/>
        <v>1</v>
      </c>
      <c r="F274" s="635"/>
      <c r="G274" s="21">
        <f t="shared" si="38"/>
        <v>1</v>
      </c>
      <c r="H274" s="635"/>
      <c r="I274" s="21">
        <f t="shared" si="39"/>
        <v>1</v>
      </c>
      <c r="J274" s="635"/>
      <c r="K274" s="21">
        <f t="shared" si="40"/>
        <v>1</v>
      </c>
      <c r="L274" s="635"/>
      <c r="M274" s="21">
        <f t="shared" si="41"/>
        <v>1</v>
      </c>
      <c r="N274" s="635"/>
      <c r="O274" s="21">
        <f t="shared" si="42"/>
        <v>1</v>
      </c>
      <c r="P274" s="635"/>
      <c r="Q274" s="21">
        <f t="shared" si="43"/>
        <v>1</v>
      </c>
      <c r="R274" s="21">
        <f t="shared" ca="1" si="44"/>
        <v>25634</v>
      </c>
      <c r="S274" s="308">
        <f t="shared" ca="1" si="35"/>
        <v>59</v>
      </c>
    </row>
    <row r="275" spans="1:19">
      <c r="A275" s="633" t="str">
        <f>'12.23面积'!M285</f>
        <v>15-203</v>
      </c>
      <c r="B275" s="633">
        <f>'12.23面积'!N285</f>
        <v>23.28</v>
      </c>
      <c r="C275" s="21">
        <f t="shared" si="36"/>
        <v>1.01</v>
      </c>
      <c r="D275" s="635"/>
      <c r="E275" s="21">
        <f t="shared" si="37"/>
        <v>1</v>
      </c>
      <c r="F275" s="635"/>
      <c r="G275" s="21">
        <f t="shared" si="38"/>
        <v>1</v>
      </c>
      <c r="H275" s="635"/>
      <c r="I275" s="21">
        <f t="shared" si="39"/>
        <v>1</v>
      </c>
      <c r="J275" s="635"/>
      <c r="K275" s="21">
        <f t="shared" si="40"/>
        <v>1</v>
      </c>
      <c r="L275" s="635"/>
      <c r="M275" s="21">
        <f t="shared" si="41"/>
        <v>1</v>
      </c>
      <c r="N275" s="635"/>
      <c r="O275" s="21">
        <f t="shared" si="42"/>
        <v>1</v>
      </c>
      <c r="P275" s="635"/>
      <c r="Q275" s="21">
        <f t="shared" si="43"/>
        <v>1</v>
      </c>
      <c r="R275" s="21">
        <f t="shared" ca="1" si="44"/>
        <v>25634</v>
      </c>
      <c r="S275" s="308">
        <f t="shared" ca="1" si="35"/>
        <v>60</v>
      </c>
    </row>
    <row r="276" spans="1:19">
      <c r="A276" s="633" t="str">
        <f>'12.23面积'!M286</f>
        <v>15-204</v>
      </c>
      <c r="B276" s="633">
        <f>'12.23面积'!N286</f>
        <v>23.49</v>
      </c>
      <c r="C276" s="21">
        <f t="shared" si="36"/>
        <v>1.01</v>
      </c>
      <c r="D276" s="635"/>
      <c r="E276" s="21">
        <f t="shared" si="37"/>
        <v>1</v>
      </c>
      <c r="F276" s="635"/>
      <c r="G276" s="21">
        <f t="shared" si="38"/>
        <v>1</v>
      </c>
      <c r="H276" s="635"/>
      <c r="I276" s="21">
        <f t="shared" si="39"/>
        <v>1</v>
      </c>
      <c r="J276" s="635"/>
      <c r="K276" s="21">
        <f t="shared" si="40"/>
        <v>1</v>
      </c>
      <c r="L276" s="635"/>
      <c r="M276" s="21">
        <f t="shared" si="41"/>
        <v>1</v>
      </c>
      <c r="N276" s="635"/>
      <c r="O276" s="21">
        <f t="shared" si="42"/>
        <v>1</v>
      </c>
      <c r="P276" s="635"/>
      <c r="Q276" s="21">
        <f t="shared" si="43"/>
        <v>1</v>
      </c>
      <c r="R276" s="21">
        <f t="shared" ca="1" si="44"/>
        <v>25634</v>
      </c>
      <c r="S276" s="308">
        <f t="shared" ca="1" si="35"/>
        <v>60</v>
      </c>
    </row>
    <row r="277" spans="1:19">
      <c r="A277" s="633" t="str">
        <f>'12.23面积'!M287</f>
        <v>16-109</v>
      </c>
      <c r="B277" s="633">
        <f>'12.23面积'!N287</f>
        <v>40.770000000000003</v>
      </c>
      <c r="C277" s="21">
        <f t="shared" si="36"/>
        <v>1</v>
      </c>
      <c r="D277" s="635"/>
      <c r="E277" s="21">
        <f t="shared" si="37"/>
        <v>1</v>
      </c>
      <c r="F277" s="635"/>
      <c r="G277" s="21">
        <f t="shared" si="38"/>
        <v>1</v>
      </c>
      <c r="H277" s="635"/>
      <c r="I277" s="21">
        <f t="shared" si="39"/>
        <v>1</v>
      </c>
      <c r="J277" s="635"/>
      <c r="K277" s="21">
        <f t="shared" si="40"/>
        <v>1</v>
      </c>
      <c r="L277" s="635"/>
      <c r="M277" s="21">
        <f t="shared" si="41"/>
        <v>1</v>
      </c>
      <c r="N277" s="635"/>
      <c r="O277" s="21">
        <f t="shared" si="42"/>
        <v>1</v>
      </c>
      <c r="P277" s="635"/>
      <c r="Q277" s="21">
        <f t="shared" si="43"/>
        <v>1</v>
      </c>
      <c r="R277" s="21">
        <f t="shared" ca="1" si="44"/>
        <v>25380</v>
      </c>
      <c r="S277" s="308">
        <f t="shared" ca="1" si="35"/>
        <v>103</v>
      </c>
    </row>
    <row r="278" spans="1:19">
      <c r="A278" s="633" t="str">
        <f>'12.23面积'!M288</f>
        <v>16-110</v>
      </c>
      <c r="B278" s="633">
        <f>'12.23面积'!N288</f>
        <v>55.75</v>
      </c>
      <c r="C278" s="21">
        <f t="shared" si="36"/>
        <v>1</v>
      </c>
      <c r="D278" s="635"/>
      <c r="E278" s="21">
        <f t="shared" si="37"/>
        <v>1</v>
      </c>
      <c r="F278" s="635"/>
      <c r="G278" s="21">
        <f t="shared" si="38"/>
        <v>1</v>
      </c>
      <c r="H278" s="635"/>
      <c r="I278" s="21">
        <f t="shared" si="39"/>
        <v>1</v>
      </c>
      <c r="J278" s="635"/>
      <c r="K278" s="21">
        <f t="shared" si="40"/>
        <v>1</v>
      </c>
      <c r="L278" s="635"/>
      <c r="M278" s="21">
        <f t="shared" si="41"/>
        <v>1</v>
      </c>
      <c r="N278" s="635"/>
      <c r="O278" s="21">
        <f t="shared" si="42"/>
        <v>1</v>
      </c>
      <c r="P278" s="635"/>
      <c r="Q278" s="21">
        <f t="shared" si="43"/>
        <v>1</v>
      </c>
      <c r="R278" s="21">
        <f t="shared" ca="1" si="44"/>
        <v>25380</v>
      </c>
      <c r="S278" s="308">
        <f t="shared" ca="1" si="35"/>
        <v>141</v>
      </c>
    </row>
    <row r="279" spans="1:19">
      <c r="A279" s="633" t="str">
        <f>'12.23面积'!M289</f>
        <v>16-111</v>
      </c>
      <c r="B279" s="633">
        <f>'12.23面积'!N289</f>
        <v>23.27</v>
      </c>
      <c r="C279" s="21">
        <f t="shared" si="36"/>
        <v>1.01</v>
      </c>
      <c r="D279" s="635"/>
      <c r="E279" s="21">
        <f t="shared" si="37"/>
        <v>1</v>
      </c>
      <c r="F279" s="635"/>
      <c r="G279" s="21">
        <f t="shared" si="38"/>
        <v>1</v>
      </c>
      <c r="H279" s="635"/>
      <c r="I279" s="21">
        <f t="shared" si="39"/>
        <v>1</v>
      </c>
      <c r="J279" s="635"/>
      <c r="K279" s="21">
        <f t="shared" si="40"/>
        <v>1</v>
      </c>
      <c r="L279" s="635"/>
      <c r="M279" s="21">
        <f t="shared" si="41"/>
        <v>1</v>
      </c>
      <c r="N279" s="635"/>
      <c r="O279" s="21">
        <f t="shared" si="42"/>
        <v>1</v>
      </c>
      <c r="P279" s="635"/>
      <c r="Q279" s="21">
        <f t="shared" si="43"/>
        <v>1</v>
      </c>
      <c r="R279" s="21">
        <f t="shared" ca="1" si="44"/>
        <v>25634</v>
      </c>
      <c r="S279" s="308">
        <f t="shared" ca="1" si="35"/>
        <v>60</v>
      </c>
    </row>
    <row r="280" spans="1:19">
      <c r="A280" s="633" t="str">
        <f>'12.23面积'!M290</f>
        <v>16-115</v>
      </c>
      <c r="B280" s="633">
        <f>'12.23面积'!N290</f>
        <v>40.47</v>
      </c>
      <c r="C280" s="21">
        <f t="shared" si="36"/>
        <v>1</v>
      </c>
      <c r="D280" s="635"/>
      <c r="E280" s="21">
        <f t="shared" si="37"/>
        <v>1</v>
      </c>
      <c r="F280" s="635"/>
      <c r="G280" s="21">
        <f t="shared" si="38"/>
        <v>1</v>
      </c>
      <c r="H280" s="635"/>
      <c r="I280" s="21">
        <f t="shared" si="39"/>
        <v>1</v>
      </c>
      <c r="J280" s="635"/>
      <c r="K280" s="21">
        <f t="shared" si="40"/>
        <v>1</v>
      </c>
      <c r="L280" s="635"/>
      <c r="M280" s="21">
        <f t="shared" si="41"/>
        <v>1</v>
      </c>
      <c r="N280" s="635"/>
      <c r="O280" s="21">
        <f t="shared" si="42"/>
        <v>1</v>
      </c>
      <c r="P280" s="635"/>
      <c r="Q280" s="21">
        <f t="shared" si="43"/>
        <v>1</v>
      </c>
      <c r="R280" s="21">
        <f t="shared" ca="1" si="44"/>
        <v>25380</v>
      </c>
      <c r="S280" s="308">
        <f t="shared" ref="S280:S343" ca="1" si="45">ROUND(R280*B280/10000,0)</f>
        <v>103</v>
      </c>
    </row>
    <row r="281" spans="1:19">
      <c r="A281" s="633" t="str">
        <f>'12.23面积'!M291</f>
        <v>16-116</v>
      </c>
      <c r="B281" s="633">
        <f>'12.23面积'!N291</f>
        <v>55.75</v>
      </c>
      <c r="C281" s="21">
        <f t="shared" si="36"/>
        <v>1</v>
      </c>
      <c r="D281" s="635"/>
      <c r="E281" s="21">
        <f t="shared" si="37"/>
        <v>1</v>
      </c>
      <c r="F281" s="635"/>
      <c r="G281" s="21">
        <f t="shared" si="38"/>
        <v>1</v>
      </c>
      <c r="H281" s="635"/>
      <c r="I281" s="21">
        <f t="shared" si="39"/>
        <v>1</v>
      </c>
      <c r="J281" s="635"/>
      <c r="K281" s="21">
        <f t="shared" si="40"/>
        <v>1</v>
      </c>
      <c r="L281" s="635"/>
      <c r="M281" s="21">
        <f t="shared" si="41"/>
        <v>1</v>
      </c>
      <c r="N281" s="635"/>
      <c r="O281" s="21">
        <f t="shared" si="42"/>
        <v>1</v>
      </c>
      <c r="P281" s="635"/>
      <c r="Q281" s="21">
        <f t="shared" si="43"/>
        <v>1</v>
      </c>
      <c r="R281" s="21">
        <f t="shared" ca="1" si="44"/>
        <v>25380</v>
      </c>
      <c r="S281" s="308">
        <f t="shared" ca="1" si="45"/>
        <v>141</v>
      </c>
    </row>
    <row r="282" spans="1:19">
      <c r="A282" s="633" t="str">
        <f>'12.23面积'!M292</f>
        <v>16-117</v>
      </c>
      <c r="B282" s="633">
        <f>'12.23面积'!N292</f>
        <v>23.27</v>
      </c>
      <c r="C282" s="21">
        <f t="shared" ref="C282:C345" si="46">IF(B282="",1,(LOOKUP(B282,$3:$3,$4:$4)-LOOKUP($B$24,$3:$3,$4:$4)+100)/100)</f>
        <v>1.01</v>
      </c>
      <c r="D282" s="635"/>
      <c r="E282" s="21">
        <f t="shared" ref="E282:E345" si="47">(SUMIF($5:$5,D282,$6:$6)-SUMIF($5:$5,$D$24,$6:$6)+100)/100</f>
        <v>1</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1</v>
      </c>
      <c r="R282" s="21">
        <f t="shared" ref="R282:R345" ca="1" si="54">IF(B282="",0,ROUND($R$24*C282*E282*G282*I282*K282*M282*O282*Q282,0))</f>
        <v>25634</v>
      </c>
      <c r="S282" s="308">
        <f t="shared" ca="1" si="45"/>
        <v>60</v>
      </c>
    </row>
    <row r="283" spans="1:19">
      <c r="A283" s="633" t="str">
        <f>'12.23面积'!M293</f>
        <v>16-118</v>
      </c>
      <c r="B283" s="633">
        <f>'12.23面积'!N293</f>
        <v>23.27</v>
      </c>
      <c r="C283" s="21">
        <f t="shared" si="46"/>
        <v>1.01</v>
      </c>
      <c r="D283" s="635"/>
      <c r="E283" s="21">
        <f t="shared" si="47"/>
        <v>1</v>
      </c>
      <c r="F283" s="635"/>
      <c r="G283" s="21">
        <f t="shared" si="48"/>
        <v>1</v>
      </c>
      <c r="H283" s="635"/>
      <c r="I283" s="21">
        <f t="shared" si="49"/>
        <v>1</v>
      </c>
      <c r="J283" s="635"/>
      <c r="K283" s="21">
        <f t="shared" si="50"/>
        <v>1</v>
      </c>
      <c r="L283" s="635"/>
      <c r="M283" s="21">
        <f t="shared" si="51"/>
        <v>1</v>
      </c>
      <c r="N283" s="635"/>
      <c r="O283" s="21">
        <f t="shared" si="52"/>
        <v>1</v>
      </c>
      <c r="P283" s="635"/>
      <c r="Q283" s="21">
        <f t="shared" si="53"/>
        <v>1</v>
      </c>
      <c r="R283" s="21">
        <f t="shared" ca="1" si="54"/>
        <v>25634</v>
      </c>
      <c r="S283" s="308">
        <f t="shared" ca="1" si="45"/>
        <v>60</v>
      </c>
    </row>
    <row r="284" spans="1:19">
      <c r="A284" s="633" t="str">
        <f>'12.23面积'!M294</f>
        <v>16-119</v>
      </c>
      <c r="B284" s="633">
        <f>'12.23面积'!N294</f>
        <v>52.87</v>
      </c>
      <c r="C284" s="21">
        <f t="shared" si="46"/>
        <v>1</v>
      </c>
      <c r="D284" s="635"/>
      <c r="E284" s="21">
        <f t="shared" si="47"/>
        <v>1</v>
      </c>
      <c r="F284" s="635"/>
      <c r="G284" s="21">
        <f t="shared" si="48"/>
        <v>1</v>
      </c>
      <c r="H284" s="635"/>
      <c r="I284" s="21">
        <f t="shared" si="49"/>
        <v>1</v>
      </c>
      <c r="J284" s="635"/>
      <c r="K284" s="21">
        <f t="shared" si="50"/>
        <v>1</v>
      </c>
      <c r="L284" s="635"/>
      <c r="M284" s="21">
        <f t="shared" si="51"/>
        <v>1</v>
      </c>
      <c r="N284" s="635"/>
      <c r="O284" s="21">
        <f t="shared" si="52"/>
        <v>1</v>
      </c>
      <c r="P284" s="635"/>
      <c r="Q284" s="21">
        <f t="shared" si="53"/>
        <v>1</v>
      </c>
      <c r="R284" s="21">
        <f t="shared" ca="1" si="54"/>
        <v>25380</v>
      </c>
      <c r="S284" s="308">
        <f t="shared" ca="1" si="45"/>
        <v>134</v>
      </c>
    </row>
    <row r="285" spans="1:19">
      <c r="A285" s="633" t="str">
        <f>'12.23面积'!M295</f>
        <v>16-120</v>
      </c>
      <c r="B285" s="633">
        <f>'12.23面积'!N295</f>
        <v>45.77</v>
      </c>
      <c r="C285" s="21">
        <f t="shared" si="46"/>
        <v>1</v>
      </c>
      <c r="D285" s="635"/>
      <c r="E285" s="21">
        <f t="shared" si="47"/>
        <v>1</v>
      </c>
      <c r="F285" s="635"/>
      <c r="G285" s="21">
        <f t="shared" si="48"/>
        <v>1</v>
      </c>
      <c r="H285" s="635"/>
      <c r="I285" s="21">
        <f t="shared" si="49"/>
        <v>1</v>
      </c>
      <c r="J285" s="635"/>
      <c r="K285" s="21">
        <f t="shared" si="50"/>
        <v>1</v>
      </c>
      <c r="L285" s="635"/>
      <c r="M285" s="21">
        <f t="shared" si="51"/>
        <v>1</v>
      </c>
      <c r="N285" s="635"/>
      <c r="O285" s="21">
        <f t="shared" si="52"/>
        <v>1</v>
      </c>
      <c r="P285" s="635"/>
      <c r="Q285" s="21">
        <f t="shared" si="53"/>
        <v>1</v>
      </c>
      <c r="R285" s="21">
        <f t="shared" ca="1" si="54"/>
        <v>25380</v>
      </c>
      <c r="S285" s="308">
        <f t="shared" ca="1" si="45"/>
        <v>116</v>
      </c>
    </row>
    <row r="286" spans="1:19">
      <c r="A286" s="633" t="str">
        <f>'12.23面积'!M296</f>
        <v>16-121</v>
      </c>
      <c r="B286" s="633">
        <f>'12.23面积'!N296</f>
        <v>16.02</v>
      </c>
      <c r="C286" s="21">
        <f t="shared" si="46"/>
        <v>1.01</v>
      </c>
      <c r="D286" s="635"/>
      <c r="E286" s="21">
        <f t="shared" si="47"/>
        <v>1</v>
      </c>
      <c r="F286" s="635"/>
      <c r="G286" s="21">
        <f t="shared" si="48"/>
        <v>1</v>
      </c>
      <c r="H286" s="635"/>
      <c r="I286" s="21">
        <f t="shared" si="49"/>
        <v>1</v>
      </c>
      <c r="J286" s="635"/>
      <c r="K286" s="21">
        <f t="shared" si="50"/>
        <v>1</v>
      </c>
      <c r="L286" s="635"/>
      <c r="M286" s="21">
        <f t="shared" si="51"/>
        <v>1</v>
      </c>
      <c r="N286" s="635"/>
      <c r="O286" s="21">
        <f t="shared" si="52"/>
        <v>1</v>
      </c>
      <c r="P286" s="635"/>
      <c r="Q286" s="21">
        <f t="shared" si="53"/>
        <v>1</v>
      </c>
      <c r="R286" s="21">
        <f t="shared" ca="1" si="54"/>
        <v>25634</v>
      </c>
      <c r="S286" s="308">
        <f t="shared" ca="1" si="45"/>
        <v>41</v>
      </c>
    </row>
    <row r="287" spans="1:19">
      <c r="A287" s="633" t="str">
        <f>'12.23面积'!M297</f>
        <v>16-122</v>
      </c>
      <c r="B287" s="633">
        <f>'12.23面积'!N297</f>
        <v>30.51</v>
      </c>
      <c r="C287" s="21">
        <f t="shared" si="46"/>
        <v>1</v>
      </c>
      <c r="D287" s="635"/>
      <c r="E287" s="21">
        <f t="shared" si="47"/>
        <v>1</v>
      </c>
      <c r="F287" s="635"/>
      <c r="G287" s="21">
        <f t="shared" si="48"/>
        <v>1</v>
      </c>
      <c r="H287" s="635"/>
      <c r="I287" s="21">
        <f t="shared" si="49"/>
        <v>1</v>
      </c>
      <c r="J287" s="635"/>
      <c r="K287" s="21">
        <f t="shared" si="50"/>
        <v>1</v>
      </c>
      <c r="L287" s="635"/>
      <c r="M287" s="21">
        <f t="shared" si="51"/>
        <v>1</v>
      </c>
      <c r="N287" s="635"/>
      <c r="O287" s="21">
        <f t="shared" si="52"/>
        <v>1</v>
      </c>
      <c r="P287" s="635"/>
      <c r="Q287" s="21">
        <f t="shared" si="53"/>
        <v>1</v>
      </c>
      <c r="R287" s="21">
        <f t="shared" ca="1" si="54"/>
        <v>25380</v>
      </c>
      <c r="S287" s="308">
        <f t="shared" ca="1" si="45"/>
        <v>77</v>
      </c>
    </row>
    <row r="288" spans="1:19">
      <c r="A288" s="633" t="str">
        <f>'12.23面积'!M298</f>
        <v>16-123</v>
      </c>
      <c r="B288" s="633">
        <f>'12.23面积'!N298</f>
        <v>15.06</v>
      </c>
      <c r="C288" s="21">
        <f t="shared" si="46"/>
        <v>1.01</v>
      </c>
      <c r="D288" s="635"/>
      <c r="E288" s="21">
        <f t="shared" si="47"/>
        <v>1</v>
      </c>
      <c r="F288" s="635"/>
      <c r="G288" s="21">
        <f t="shared" si="48"/>
        <v>1</v>
      </c>
      <c r="H288" s="635"/>
      <c r="I288" s="21">
        <f t="shared" si="49"/>
        <v>1</v>
      </c>
      <c r="J288" s="635"/>
      <c r="K288" s="21">
        <f t="shared" si="50"/>
        <v>1</v>
      </c>
      <c r="L288" s="635"/>
      <c r="M288" s="21">
        <f t="shared" si="51"/>
        <v>1</v>
      </c>
      <c r="N288" s="635"/>
      <c r="O288" s="21">
        <f t="shared" si="52"/>
        <v>1</v>
      </c>
      <c r="P288" s="635"/>
      <c r="Q288" s="21">
        <f t="shared" si="53"/>
        <v>1</v>
      </c>
      <c r="R288" s="21">
        <f t="shared" ca="1" si="54"/>
        <v>25634</v>
      </c>
      <c r="S288" s="308">
        <f t="shared" ca="1" si="45"/>
        <v>39</v>
      </c>
    </row>
    <row r="289" spans="1:19">
      <c r="A289" s="633" t="str">
        <f>'12.23面积'!M299</f>
        <v>16-125</v>
      </c>
      <c r="B289" s="633">
        <f>'12.23面积'!N299</f>
        <v>18.829999999999998</v>
      </c>
      <c r="C289" s="21">
        <f t="shared" si="46"/>
        <v>1.01</v>
      </c>
      <c r="D289" s="635"/>
      <c r="E289" s="21">
        <f t="shared" si="47"/>
        <v>1</v>
      </c>
      <c r="F289" s="635"/>
      <c r="G289" s="21">
        <f t="shared" si="48"/>
        <v>1</v>
      </c>
      <c r="H289" s="635"/>
      <c r="I289" s="21">
        <f t="shared" si="49"/>
        <v>1</v>
      </c>
      <c r="J289" s="635"/>
      <c r="K289" s="21">
        <f t="shared" si="50"/>
        <v>1</v>
      </c>
      <c r="L289" s="635"/>
      <c r="M289" s="21">
        <f t="shared" si="51"/>
        <v>1</v>
      </c>
      <c r="N289" s="635"/>
      <c r="O289" s="21">
        <f t="shared" si="52"/>
        <v>1</v>
      </c>
      <c r="P289" s="635"/>
      <c r="Q289" s="21">
        <f t="shared" si="53"/>
        <v>1</v>
      </c>
      <c r="R289" s="21">
        <f t="shared" ca="1" si="54"/>
        <v>25634</v>
      </c>
      <c r="S289" s="308">
        <f t="shared" ca="1" si="45"/>
        <v>48</v>
      </c>
    </row>
    <row r="290" spans="1:19">
      <c r="A290" s="633" t="str">
        <f>'12.23面积'!M300</f>
        <v>16-126</v>
      </c>
      <c r="B290" s="633">
        <f>'12.23面积'!N300</f>
        <v>15.06</v>
      </c>
      <c r="C290" s="21">
        <f t="shared" si="46"/>
        <v>1.01</v>
      </c>
      <c r="D290" s="635"/>
      <c r="E290" s="21">
        <f t="shared" si="47"/>
        <v>1</v>
      </c>
      <c r="F290" s="635"/>
      <c r="G290" s="21">
        <f t="shared" si="48"/>
        <v>1</v>
      </c>
      <c r="H290" s="635"/>
      <c r="I290" s="21">
        <f t="shared" si="49"/>
        <v>1</v>
      </c>
      <c r="J290" s="635"/>
      <c r="K290" s="21">
        <f t="shared" si="50"/>
        <v>1</v>
      </c>
      <c r="L290" s="635"/>
      <c r="M290" s="21">
        <f t="shared" si="51"/>
        <v>1</v>
      </c>
      <c r="N290" s="635"/>
      <c r="O290" s="21">
        <f t="shared" si="52"/>
        <v>1</v>
      </c>
      <c r="P290" s="635"/>
      <c r="Q290" s="21">
        <f t="shared" si="53"/>
        <v>1</v>
      </c>
      <c r="R290" s="21">
        <f t="shared" ca="1" si="54"/>
        <v>25634</v>
      </c>
      <c r="S290" s="308">
        <f t="shared" ca="1" si="45"/>
        <v>39</v>
      </c>
    </row>
    <row r="291" spans="1:19">
      <c r="A291" s="633" t="str">
        <f>'12.23面积'!M301</f>
        <v>16-127</v>
      </c>
      <c r="B291" s="633">
        <f>'12.23面积'!N301</f>
        <v>27.15</v>
      </c>
      <c r="C291" s="21">
        <f t="shared" si="46"/>
        <v>1.01</v>
      </c>
      <c r="D291" s="635"/>
      <c r="E291" s="21">
        <f t="shared" si="47"/>
        <v>1</v>
      </c>
      <c r="F291" s="635"/>
      <c r="G291" s="21">
        <f t="shared" si="48"/>
        <v>1</v>
      </c>
      <c r="H291" s="635"/>
      <c r="I291" s="21">
        <f t="shared" si="49"/>
        <v>1</v>
      </c>
      <c r="J291" s="635"/>
      <c r="K291" s="21">
        <f t="shared" si="50"/>
        <v>1</v>
      </c>
      <c r="L291" s="635"/>
      <c r="M291" s="21">
        <f t="shared" si="51"/>
        <v>1</v>
      </c>
      <c r="N291" s="635"/>
      <c r="O291" s="21">
        <f t="shared" si="52"/>
        <v>1</v>
      </c>
      <c r="P291" s="635"/>
      <c r="Q291" s="21">
        <f t="shared" si="53"/>
        <v>1</v>
      </c>
      <c r="R291" s="21">
        <f t="shared" ca="1" si="54"/>
        <v>25634</v>
      </c>
      <c r="S291" s="308">
        <f t="shared" ca="1" si="45"/>
        <v>70</v>
      </c>
    </row>
    <row r="292" spans="1:19">
      <c r="A292" s="633" t="str">
        <f>'12.23面积'!M302</f>
        <v>16-128</v>
      </c>
      <c r="B292" s="633">
        <f>'12.23面积'!N302</f>
        <v>19.46</v>
      </c>
      <c r="C292" s="21">
        <f t="shared" si="46"/>
        <v>1.01</v>
      </c>
      <c r="D292" s="635"/>
      <c r="E292" s="21">
        <f t="shared" si="47"/>
        <v>1</v>
      </c>
      <c r="F292" s="635"/>
      <c r="G292" s="21">
        <f t="shared" si="48"/>
        <v>1</v>
      </c>
      <c r="H292" s="635"/>
      <c r="I292" s="21">
        <f t="shared" si="49"/>
        <v>1</v>
      </c>
      <c r="J292" s="635"/>
      <c r="K292" s="21">
        <f t="shared" si="50"/>
        <v>1</v>
      </c>
      <c r="L292" s="635"/>
      <c r="M292" s="21">
        <f t="shared" si="51"/>
        <v>1</v>
      </c>
      <c r="N292" s="635"/>
      <c r="O292" s="21">
        <f t="shared" si="52"/>
        <v>1</v>
      </c>
      <c r="P292" s="635"/>
      <c r="Q292" s="21">
        <f t="shared" si="53"/>
        <v>1</v>
      </c>
      <c r="R292" s="21">
        <f t="shared" ca="1" si="54"/>
        <v>25634</v>
      </c>
      <c r="S292" s="308">
        <f t="shared" ca="1" si="45"/>
        <v>50</v>
      </c>
    </row>
    <row r="293" spans="1:19">
      <c r="A293" s="633" t="str">
        <f>'12.23面积'!M303</f>
        <v>16-130</v>
      </c>
      <c r="B293" s="633">
        <f>'12.23面积'!N303</f>
        <v>15.06</v>
      </c>
      <c r="C293" s="21">
        <f t="shared" si="46"/>
        <v>1.01</v>
      </c>
      <c r="D293" s="635"/>
      <c r="E293" s="21">
        <f t="shared" si="47"/>
        <v>1</v>
      </c>
      <c r="F293" s="635"/>
      <c r="G293" s="21">
        <f t="shared" si="48"/>
        <v>1</v>
      </c>
      <c r="H293" s="635"/>
      <c r="I293" s="21">
        <f t="shared" si="49"/>
        <v>1</v>
      </c>
      <c r="J293" s="635"/>
      <c r="K293" s="21">
        <f t="shared" si="50"/>
        <v>1</v>
      </c>
      <c r="L293" s="635"/>
      <c r="M293" s="21">
        <f t="shared" si="51"/>
        <v>1</v>
      </c>
      <c r="N293" s="635"/>
      <c r="O293" s="21">
        <f t="shared" si="52"/>
        <v>1</v>
      </c>
      <c r="P293" s="635"/>
      <c r="Q293" s="21">
        <f t="shared" si="53"/>
        <v>1</v>
      </c>
      <c r="R293" s="21">
        <f t="shared" ca="1" si="54"/>
        <v>25634</v>
      </c>
      <c r="S293" s="308">
        <f t="shared" ca="1" si="45"/>
        <v>39</v>
      </c>
    </row>
    <row r="294" spans="1:19">
      <c r="A294" s="633" t="str">
        <f>'12.23面积'!M304</f>
        <v>16-203</v>
      </c>
      <c r="B294" s="633">
        <f>'12.23面积'!N304</f>
        <v>16.489999999999998</v>
      </c>
      <c r="C294" s="21">
        <f t="shared" si="46"/>
        <v>1.01</v>
      </c>
      <c r="D294" s="635"/>
      <c r="E294" s="21">
        <f t="shared" si="47"/>
        <v>1</v>
      </c>
      <c r="F294" s="635"/>
      <c r="G294" s="21">
        <f t="shared" si="48"/>
        <v>1</v>
      </c>
      <c r="H294" s="635"/>
      <c r="I294" s="21">
        <f t="shared" si="49"/>
        <v>1</v>
      </c>
      <c r="J294" s="635"/>
      <c r="K294" s="21">
        <f t="shared" si="50"/>
        <v>1</v>
      </c>
      <c r="L294" s="635"/>
      <c r="M294" s="21">
        <f t="shared" si="51"/>
        <v>1</v>
      </c>
      <c r="N294" s="635"/>
      <c r="O294" s="21">
        <f t="shared" si="52"/>
        <v>1</v>
      </c>
      <c r="P294" s="635"/>
      <c r="Q294" s="21">
        <f t="shared" si="53"/>
        <v>1</v>
      </c>
      <c r="R294" s="21">
        <f t="shared" ca="1" si="54"/>
        <v>25634</v>
      </c>
      <c r="S294" s="308">
        <f t="shared" ca="1" si="45"/>
        <v>42</v>
      </c>
    </row>
    <row r="295" spans="1:19">
      <c r="A295" s="633" t="str">
        <f>'12.23面积'!M305</f>
        <v>16-211</v>
      </c>
      <c r="B295" s="633">
        <f>'12.23面积'!N305</f>
        <v>17.079999999999998</v>
      </c>
      <c r="C295" s="21">
        <f t="shared" si="46"/>
        <v>1.01</v>
      </c>
      <c r="D295" s="635"/>
      <c r="E295" s="21">
        <f t="shared" si="47"/>
        <v>1</v>
      </c>
      <c r="F295" s="635"/>
      <c r="G295" s="21">
        <f t="shared" si="48"/>
        <v>1</v>
      </c>
      <c r="H295" s="635"/>
      <c r="I295" s="21">
        <f t="shared" si="49"/>
        <v>1</v>
      </c>
      <c r="J295" s="635"/>
      <c r="K295" s="21">
        <f t="shared" si="50"/>
        <v>1</v>
      </c>
      <c r="L295" s="635"/>
      <c r="M295" s="21">
        <f t="shared" si="51"/>
        <v>1</v>
      </c>
      <c r="N295" s="635"/>
      <c r="O295" s="21">
        <f t="shared" si="52"/>
        <v>1</v>
      </c>
      <c r="P295" s="635"/>
      <c r="Q295" s="21">
        <f t="shared" si="53"/>
        <v>1</v>
      </c>
      <c r="R295" s="21">
        <f t="shared" ca="1" si="54"/>
        <v>25634</v>
      </c>
      <c r="S295" s="308">
        <f t="shared" ca="1" si="45"/>
        <v>44</v>
      </c>
    </row>
    <row r="296" spans="1:19">
      <c r="A296" s="633" t="str">
        <f>'12.23面积'!M306</f>
        <v>16-212</v>
      </c>
      <c r="B296" s="633">
        <f>'12.23面积'!N306</f>
        <v>19.05</v>
      </c>
      <c r="C296" s="21">
        <f t="shared" si="46"/>
        <v>1.01</v>
      </c>
      <c r="D296" s="635"/>
      <c r="E296" s="21">
        <f t="shared" si="47"/>
        <v>1</v>
      </c>
      <c r="F296" s="635"/>
      <c r="G296" s="21">
        <f t="shared" si="48"/>
        <v>1</v>
      </c>
      <c r="H296" s="635"/>
      <c r="I296" s="21">
        <f t="shared" si="49"/>
        <v>1</v>
      </c>
      <c r="J296" s="635"/>
      <c r="K296" s="21">
        <f t="shared" si="50"/>
        <v>1</v>
      </c>
      <c r="L296" s="635"/>
      <c r="M296" s="21">
        <f t="shared" si="51"/>
        <v>1</v>
      </c>
      <c r="N296" s="635"/>
      <c r="O296" s="21">
        <f t="shared" si="52"/>
        <v>1</v>
      </c>
      <c r="P296" s="635"/>
      <c r="Q296" s="21">
        <f t="shared" si="53"/>
        <v>1</v>
      </c>
      <c r="R296" s="21">
        <f t="shared" ca="1" si="54"/>
        <v>25634</v>
      </c>
      <c r="S296" s="308">
        <f t="shared" ca="1" si="45"/>
        <v>49</v>
      </c>
    </row>
    <row r="297" spans="1:19">
      <c r="A297" s="633" t="str">
        <f>'12.23面积'!M307</f>
        <v>16-213</v>
      </c>
      <c r="B297" s="633">
        <f>'12.23面积'!N307</f>
        <v>16.489999999999998</v>
      </c>
      <c r="C297" s="21">
        <f t="shared" si="46"/>
        <v>1.01</v>
      </c>
      <c r="D297" s="635"/>
      <c r="E297" s="21">
        <f t="shared" si="47"/>
        <v>1</v>
      </c>
      <c r="F297" s="635"/>
      <c r="G297" s="21">
        <f t="shared" si="48"/>
        <v>1</v>
      </c>
      <c r="H297" s="635"/>
      <c r="I297" s="21">
        <f t="shared" si="49"/>
        <v>1</v>
      </c>
      <c r="J297" s="635"/>
      <c r="K297" s="21">
        <f t="shared" si="50"/>
        <v>1</v>
      </c>
      <c r="L297" s="635"/>
      <c r="M297" s="21">
        <f t="shared" si="51"/>
        <v>1</v>
      </c>
      <c r="N297" s="635"/>
      <c r="O297" s="21">
        <f t="shared" si="52"/>
        <v>1</v>
      </c>
      <c r="P297" s="635"/>
      <c r="Q297" s="21">
        <f t="shared" si="53"/>
        <v>1</v>
      </c>
      <c r="R297" s="21">
        <f t="shared" ca="1" si="54"/>
        <v>25634</v>
      </c>
      <c r="S297" s="308">
        <f t="shared" ca="1" si="45"/>
        <v>42</v>
      </c>
    </row>
    <row r="298" spans="1:19">
      <c r="A298" s="633" t="str">
        <f>'12.23面积'!M308</f>
        <v>17-106</v>
      </c>
      <c r="B298" s="633">
        <f>'12.23面积'!N308</f>
        <v>61.41</v>
      </c>
      <c r="C298" s="21">
        <f t="shared" si="46"/>
        <v>0.99</v>
      </c>
      <c r="D298" s="635"/>
      <c r="E298" s="21">
        <f t="shared" si="47"/>
        <v>1</v>
      </c>
      <c r="F298" s="635"/>
      <c r="G298" s="21">
        <f t="shared" si="48"/>
        <v>1</v>
      </c>
      <c r="H298" s="635"/>
      <c r="I298" s="21">
        <f t="shared" si="49"/>
        <v>1</v>
      </c>
      <c r="J298" s="635"/>
      <c r="K298" s="21">
        <f t="shared" si="50"/>
        <v>1</v>
      </c>
      <c r="L298" s="635"/>
      <c r="M298" s="21">
        <f t="shared" si="51"/>
        <v>1</v>
      </c>
      <c r="N298" s="635"/>
      <c r="O298" s="21">
        <f t="shared" si="52"/>
        <v>1</v>
      </c>
      <c r="P298" s="635"/>
      <c r="Q298" s="21">
        <f t="shared" si="53"/>
        <v>1</v>
      </c>
      <c r="R298" s="21">
        <f t="shared" ca="1" si="54"/>
        <v>25126</v>
      </c>
      <c r="S298" s="308">
        <f t="shared" ca="1" si="45"/>
        <v>154</v>
      </c>
    </row>
    <row r="299" spans="1:19">
      <c r="A299" s="633" t="str">
        <f>'12.23面积'!M309</f>
        <v>17-107</v>
      </c>
      <c r="B299" s="633">
        <f>'12.23面积'!N309</f>
        <v>62.37</v>
      </c>
      <c r="C299" s="21">
        <f t="shared" si="46"/>
        <v>0.99</v>
      </c>
      <c r="D299" s="635"/>
      <c r="E299" s="21">
        <f t="shared" si="47"/>
        <v>1</v>
      </c>
      <c r="F299" s="635"/>
      <c r="G299" s="21">
        <f t="shared" si="48"/>
        <v>1</v>
      </c>
      <c r="H299" s="635"/>
      <c r="I299" s="21">
        <f t="shared" si="49"/>
        <v>1</v>
      </c>
      <c r="J299" s="635"/>
      <c r="K299" s="21">
        <f t="shared" si="50"/>
        <v>1</v>
      </c>
      <c r="L299" s="635"/>
      <c r="M299" s="21">
        <f t="shared" si="51"/>
        <v>1</v>
      </c>
      <c r="N299" s="635"/>
      <c r="O299" s="21">
        <f t="shared" si="52"/>
        <v>1</v>
      </c>
      <c r="P299" s="635"/>
      <c r="Q299" s="21">
        <f t="shared" si="53"/>
        <v>1</v>
      </c>
      <c r="R299" s="21">
        <f t="shared" ca="1" si="54"/>
        <v>25126</v>
      </c>
      <c r="S299" s="308">
        <f t="shared" ca="1" si="45"/>
        <v>157</v>
      </c>
    </row>
    <row r="300" spans="1:19">
      <c r="A300" s="633" t="str">
        <f>'12.23面积'!M310</f>
        <v>17-108</v>
      </c>
      <c r="B300" s="633">
        <f>'12.23面积'!N310</f>
        <v>47.2</v>
      </c>
      <c r="C300" s="21">
        <f t="shared" si="46"/>
        <v>1</v>
      </c>
      <c r="D300" s="635"/>
      <c r="E300" s="21">
        <f t="shared" si="47"/>
        <v>1</v>
      </c>
      <c r="F300" s="635"/>
      <c r="G300" s="21">
        <f t="shared" si="48"/>
        <v>1</v>
      </c>
      <c r="H300" s="635"/>
      <c r="I300" s="21">
        <f t="shared" si="49"/>
        <v>1</v>
      </c>
      <c r="J300" s="635"/>
      <c r="K300" s="21">
        <f t="shared" si="50"/>
        <v>1</v>
      </c>
      <c r="L300" s="635"/>
      <c r="M300" s="21">
        <f t="shared" si="51"/>
        <v>1</v>
      </c>
      <c r="N300" s="635"/>
      <c r="O300" s="21">
        <f t="shared" si="52"/>
        <v>1</v>
      </c>
      <c r="P300" s="635"/>
      <c r="Q300" s="21">
        <f t="shared" si="53"/>
        <v>1</v>
      </c>
      <c r="R300" s="21">
        <f t="shared" ca="1" si="54"/>
        <v>25380</v>
      </c>
      <c r="S300" s="308">
        <f t="shared" ca="1" si="45"/>
        <v>120</v>
      </c>
    </row>
    <row r="301" spans="1:19">
      <c r="A301" s="633" t="str">
        <f>'12.23面积'!M311</f>
        <v>17-109</v>
      </c>
      <c r="B301" s="633">
        <f>'12.23面积'!N311</f>
        <v>42.79</v>
      </c>
      <c r="C301" s="21">
        <f t="shared" si="46"/>
        <v>1</v>
      </c>
      <c r="D301" s="635"/>
      <c r="E301" s="21">
        <f t="shared" si="47"/>
        <v>1</v>
      </c>
      <c r="F301" s="635"/>
      <c r="G301" s="21">
        <f t="shared" si="48"/>
        <v>1</v>
      </c>
      <c r="H301" s="635"/>
      <c r="I301" s="21">
        <f t="shared" si="49"/>
        <v>1</v>
      </c>
      <c r="J301" s="635"/>
      <c r="K301" s="21">
        <f t="shared" si="50"/>
        <v>1</v>
      </c>
      <c r="L301" s="635"/>
      <c r="M301" s="21">
        <f t="shared" si="51"/>
        <v>1</v>
      </c>
      <c r="N301" s="635"/>
      <c r="O301" s="21">
        <f t="shared" si="52"/>
        <v>1</v>
      </c>
      <c r="P301" s="635"/>
      <c r="Q301" s="21">
        <f t="shared" si="53"/>
        <v>1</v>
      </c>
      <c r="R301" s="21">
        <f t="shared" ca="1" si="54"/>
        <v>25380</v>
      </c>
      <c r="S301" s="308">
        <f t="shared" ca="1" si="45"/>
        <v>109</v>
      </c>
    </row>
    <row r="302" spans="1:19">
      <c r="A302" s="633" t="str">
        <f>'12.23面积'!M312</f>
        <v>17-110</v>
      </c>
      <c r="B302" s="633">
        <f>'12.23面积'!N312</f>
        <v>42.79</v>
      </c>
      <c r="C302" s="21">
        <f t="shared" si="46"/>
        <v>1</v>
      </c>
      <c r="D302" s="635"/>
      <c r="E302" s="21">
        <f t="shared" si="47"/>
        <v>1</v>
      </c>
      <c r="F302" s="635"/>
      <c r="G302" s="21">
        <f t="shared" si="48"/>
        <v>1</v>
      </c>
      <c r="H302" s="635"/>
      <c r="I302" s="21">
        <f t="shared" si="49"/>
        <v>1</v>
      </c>
      <c r="J302" s="635"/>
      <c r="K302" s="21">
        <f t="shared" si="50"/>
        <v>1</v>
      </c>
      <c r="L302" s="635"/>
      <c r="M302" s="21">
        <f t="shared" si="51"/>
        <v>1</v>
      </c>
      <c r="N302" s="635"/>
      <c r="O302" s="21">
        <f t="shared" si="52"/>
        <v>1</v>
      </c>
      <c r="P302" s="635"/>
      <c r="Q302" s="21">
        <f t="shared" si="53"/>
        <v>1</v>
      </c>
      <c r="R302" s="21">
        <f t="shared" ca="1" si="54"/>
        <v>25380</v>
      </c>
      <c r="S302" s="308">
        <f t="shared" ca="1" si="45"/>
        <v>109</v>
      </c>
    </row>
    <row r="303" spans="1:19">
      <c r="A303" s="633" t="str">
        <f>'12.23面积'!M313</f>
        <v>17-111</v>
      </c>
      <c r="B303" s="633">
        <f>'12.23面积'!N313</f>
        <v>47.2</v>
      </c>
      <c r="C303" s="21">
        <f t="shared" si="46"/>
        <v>1</v>
      </c>
      <c r="D303" s="635"/>
      <c r="E303" s="21">
        <f t="shared" si="47"/>
        <v>1</v>
      </c>
      <c r="F303" s="635"/>
      <c r="G303" s="21">
        <f t="shared" si="48"/>
        <v>1</v>
      </c>
      <c r="H303" s="635"/>
      <c r="I303" s="21">
        <f t="shared" si="49"/>
        <v>1</v>
      </c>
      <c r="J303" s="635"/>
      <c r="K303" s="21">
        <f t="shared" si="50"/>
        <v>1</v>
      </c>
      <c r="L303" s="635"/>
      <c r="M303" s="21">
        <f t="shared" si="51"/>
        <v>1</v>
      </c>
      <c r="N303" s="635"/>
      <c r="O303" s="21">
        <f t="shared" si="52"/>
        <v>1</v>
      </c>
      <c r="P303" s="635"/>
      <c r="Q303" s="21">
        <f t="shared" si="53"/>
        <v>1</v>
      </c>
      <c r="R303" s="21">
        <f t="shared" ca="1" si="54"/>
        <v>25380</v>
      </c>
      <c r="S303" s="308">
        <f t="shared" ca="1" si="45"/>
        <v>120</v>
      </c>
    </row>
    <row r="304" spans="1:19">
      <c r="A304" s="633" t="str">
        <f>'12.23面积'!M314</f>
        <v>17-112</v>
      </c>
      <c r="B304" s="633">
        <f>'12.23面积'!N314</f>
        <v>62.37</v>
      </c>
      <c r="C304" s="21">
        <f t="shared" si="46"/>
        <v>0.99</v>
      </c>
      <c r="D304" s="635"/>
      <c r="E304" s="21">
        <f t="shared" si="47"/>
        <v>1</v>
      </c>
      <c r="F304" s="635"/>
      <c r="G304" s="21">
        <f t="shared" si="48"/>
        <v>1</v>
      </c>
      <c r="H304" s="635"/>
      <c r="I304" s="21">
        <f t="shared" si="49"/>
        <v>1</v>
      </c>
      <c r="J304" s="635"/>
      <c r="K304" s="21">
        <f t="shared" si="50"/>
        <v>1</v>
      </c>
      <c r="L304" s="635"/>
      <c r="M304" s="21">
        <f t="shared" si="51"/>
        <v>1</v>
      </c>
      <c r="N304" s="635"/>
      <c r="O304" s="21">
        <f t="shared" si="52"/>
        <v>1</v>
      </c>
      <c r="P304" s="635"/>
      <c r="Q304" s="21">
        <f t="shared" si="53"/>
        <v>1</v>
      </c>
      <c r="R304" s="21">
        <f t="shared" ca="1" si="54"/>
        <v>25126</v>
      </c>
      <c r="S304" s="308">
        <f t="shared" ca="1" si="45"/>
        <v>157</v>
      </c>
    </row>
    <row r="305" spans="1:19">
      <c r="A305" s="633" t="str">
        <f>'12.23面积'!M315</f>
        <v>17-113</v>
      </c>
      <c r="B305" s="633">
        <f>'12.23面积'!N315</f>
        <v>61.41</v>
      </c>
      <c r="C305" s="21">
        <f t="shared" si="46"/>
        <v>0.99</v>
      </c>
      <c r="D305" s="635"/>
      <c r="E305" s="21">
        <f t="shared" si="47"/>
        <v>1</v>
      </c>
      <c r="F305" s="635"/>
      <c r="G305" s="21">
        <f t="shared" si="48"/>
        <v>1</v>
      </c>
      <c r="H305" s="635"/>
      <c r="I305" s="21">
        <f t="shared" si="49"/>
        <v>1</v>
      </c>
      <c r="J305" s="635"/>
      <c r="K305" s="21">
        <f t="shared" si="50"/>
        <v>1</v>
      </c>
      <c r="L305" s="635"/>
      <c r="M305" s="21">
        <f t="shared" si="51"/>
        <v>1</v>
      </c>
      <c r="N305" s="635"/>
      <c r="O305" s="21">
        <f t="shared" si="52"/>
        <v>1</v>
      </c>
      <c r="P305" s="635"/>
      <c r="Q305" s="21">
        <f t="shared" si="53"/>
        <v>1</v>
      </c>
      <c r="R305" s="21">
        <f t="shared" ca="1" si="54"/>
        <v>25126</v>
      </c>
      <c r="S305" s="308">
        <f t="shared" ca="1" si="45"/>
        <v>154</v>
      </c>
    </row>
    <row r="306" spans="1:19">
      <c r="A306" s="633" t="str">
        <f>'12.23面积'!M316</f>
        <v>17-120</v>
      </c>
      <c r="B306" s="633">
        <f>'12.23面积'!N316</f>
        <v>14.88</v>
      </c>
      <c r="C306" s="21">
        <f t="shared" si="46"/>
        <v>1.01</v>
      </c>
      <c r="D306" s="635"/>
      <c r="E306" s="21">
        <f t="shared" si="47"/>
        <v>1</v>
      </c>
      <c r="F306" s="635"/>
      <c r="G306" s="21">
        <f t="shared" si="48"/>
        <v>1</v>
      </c>
      <c r="H306" s="635"/>
      <c r="I306" s="21">
        <f t="shared" si="49"/>
        <v>1</v>
      </c>
      <c r="J306" s="635"/>
      <c r="K306" s="21">
        <f t="shared" si="50"/>
        <v>1</v>
      </c>
      <c r="L306" s="635"/>
      <c r="M306" s="21">
        <f t="shared" si="51"/>
        <v>1</v>
      </c>
      <c r="N306" s="635"/>
      <c r="O306" s="21">
        <f t="shared" si="52"/>
        <v>1</v>
      </c>
      <c r="P306" s="635"/>
      <c r="Q306" s="21">
        <f t="shared" si="53"/>
        <v>1</v>
      </c>
      <c r="R306" s="21">
        <f t="shared" ca="1" si="54"/>
        <v>25634</v>
      </c>
      <c r="S306" s="308">
        <f t="shared" ca="1" si="45"/>
        <v>38</v>
      </c>
    </row>
    <row r="307" spans="1:19">
      <c r="A307" s="633" t="str">
        <f>'12.23面积'!M317</f>
        <v>17-202</v>
      </c>
      <c r="B307" s="633">
        <f>'12.23面积'!N317</f>
        <v>22.9</v>
      </c>
      <c r="C307" s="21">
        <f t="shared" si="46"/>
        <v>1.01</v>
      </c>
      <c r="D307" s="635"/>
      <c r="E307" s="21">
        <f t="shared" si="47"/>
        <v>1</v>
      </c>
      <c r="F307" s="635"/>
      <c r="G307" s="21">
        <f t="shared" si="48"/>
        <v>1</v>
      </c>
      <c r="H307" s="635"/>
      <c r="I307" s="21">
        <f t="shared" si="49"/>
        <v>1</v>
      </c>
      <c r="J307" s="635"/>
      <c r="K307" s="21">
        <f t="shared" si="50"/>
        <v>1</v>
      </c>
      <c r="L307" s="635"/>
      <c r="M307" s="21">
        <f t="shared" si="51"/>
        <v>1</v>
      </c>
      <c r="N307" s="635"/>
      <c r="O307" s="21">
        <f t="shared" si="52"/>
        <v>1</v>
      </c>
      <c r="P307" s="635"/>
      <c r="Q307" s="21">
        <f t="shared" si="53"/>
        <v>1</v>
      </c>
      <c r="R307" s="21">
        <f t="shared" ca="1" si="54"/>
        <v>25634</v>
      </c>
      <c r="S307" s="308">
        <f t="shared" ca="1" si="45"/>
        <v>59</v>
      </c>
    </row>
    <row r="308" spans="1:19">
      <c r="A308" s="633" t="str">
        <f>'12.23面积'!M318</f>
        <v>17-203</v>
      </c>
      <c r="B308" s="633">
        <f>'12.23面积'!N318</f>
        <v>22.9</v>
      </c>
      <c r="C308" s="21">
        <f t="shared" si="46"/>
        <v>1.01</v>
      </c>
      <c r="D308" s="635"/>
      <c r="E308" s="21">
        <f t="shared" si="47"/>
        <v>1</v>
      </c>
      <c r="F308" s="635"/>
      <c r="G308" s="21">
        <f t="shared" si="48"/>
        <v>1</v>
      </c>
      <c r="H308" s="635"/>
      <c r="I308" s="21">
        <f t="shared" si="49"/>
        <v>1</v>
      </c>
      <c r="J308" s="635"/>
      <c r="K308" s="21">
        <f t="shared" si="50"/>
        <v>1</v>
      </c>
      <c r="L308" s="635"/>
      <c r="M308" s="21">
        <f t="shared" si="51"/>
        <v>1</v>
      </c>
      <c r="N308" s="635"/>
      <c r="O308" s="21">
        <f t="shared" si="52"/>
        <v>1</v>
      </c>
      <c r="P308" s="635"/>
      <c r="Q308" s="21">
        <f t="shared" si="53"/>
        <v>1</v>
      </c>
      <c r="R308" s="21">
        <f t="shared" ca="1" si="54"/>
        <v>25634</v>
      </c>
      <c r="S308" s="308">
        <f t="shared" ca="1" si="45"/>
        <v>59</v>
      </c>
    </row>
    <row r="309" spans="1:19">
      <c r="A309" s="633" t="str">
        <f>'12.23面积'!M319</f>
        <v>18-109</v>
      </c>
      <c r="B309" s="633">
        <f>'12.23面积'!N319</f>
        <v>47.66</v>
      </c>
      <c r="C309" s="21">
        <f t="shared" si="46"/>
        <v>1</v>
      </c>
      <c r="D309" s="635"/>
      <c r="E309" s="21">
        <f t="shared" si="47"/>
        <v>1</v>
      </c>
      <c r="F309" s="635"/>
      <c r="G309" s="21">
        <f t="shared" si="48"/>
        <v>1</v>
      </c>
      <c r="H309" s="635"/>
      <c r="I309" s="21">
        <f t="shared" si="49"/>
        <v>1</v>
      </c>
      <c r="J309" s="635"/>
      <c r="K309" s="21">
        <f t="shared" si="50"/>
        <v>1</v>
      </c>
      <c r="L309" s="635"/>
      <c r="M309" s="21">
        <f t="shared" si="51"/>
        <v>1</v>
      </c>
      <c r="N309" s="635"/>
      <c r="O309" s="21">
        <f t="shared" si="52"/>
        <v>1</v>
      </c>
      <c r="P309" s="635"/>
      <c r="Q309" s="21">
        <f t="shared" si="53"/>
        <v>1</v>
      </c>
      <c r="R309" s="21">
        <f t="shared" ca="1" si="54"/>
        <v>25380</v>
      </c>
      <c r="S309" s="308">
        <f t="shared" ca="1" si="45"/>
        <v>121</v>
      </c>
    </row>
    <row r="310" spans="1:19">
      <c r="A310" s="633" t="str">
        <f>'12.23面积'!M320</f>
        <v>18-110</v>
      </c>
      <c r="B310" s="633">
        <f>'12.23面积'!N320</f>
        <v>63.3</v>
      </c>
      <c r="C310" s="21">
        <f t="shared" si="46"/>
        <v>0.99</v>
      </c>
      <c r="D310" s="635"/>
      <c r="E310" s="21">
        <f t="shared" si="47"/>
        <v>1</v>
      </c>
      <c r="F310" s="635"/>
      <c r="G310" s="21">
        <f t="shared" si="48"/>
        <v>1</v>
      </c>
      <c r="H310" s="635"/>
      <c r="I310" s="21">
        <f t="shared" si="49"/>
        <v>1</v>
      </c>
      <c r="J310" s="635"/>
      <c r="K310" s="21">
        <f t="shared" si="50"/>
        <v>1</v>
      </c>
      <c r="L310" s="635"/>
      <c r="M310" s="21">
        <f t="shared" si="51"/>
        <v>1</v>
      </c>
      <c r="N310" s="635"/>
      <c r="O310" s="21">
        <f t="shared" si="52"/>
        <v>1</v>
      </c>
      <c r="P310" s="635"/>
      <c r="Q310" s="21">
        <f t="shared" si="53"/>
        <v>1</v>
      </c>
      <c r="R310" s="21">
        <f t="shared" ca="1" si="54"/>
        <v>25126</v>
      </c>
      <c r="S310" s="308">
        <f t="shared" ca="1" si="45"/>
        <v>159</v>
      </c>
    </row>
    <row r="311" spans="1:19">
      <c r="A311" s="633" t="str">
        <f>'12.23面积'!M321</f>
        <v>18-111</v>
      </c>
      <c r="B311" s="633">
        <f>'12.23面积'!N321</f>
        <v>34.54</v>
      </c>
      <c r="C311" s="21">
        <f t="shared" si="46"/>
        <v>1</v>
      </c>
      <c r="D311" s="635"/>
      <c r="E311" s="21">
        <f t="shared" si="47"/>
        <v>1</v>
      </c>
      <c r="F311" s="635"/>
      <c r="G311" s="21">
        <f t="shared" si="48"/>
        <v>1</v>
      </c>
      <c r="H311" s="635"/>
      <c r="I311" s="21">
        <f t="shared" si="49"/>
        <v>1</v>
      </c>
      <c r="J311" s="635"/>
      <c r="K311" s="21">
        <f t="shared" si="50"/>
        <v>1</v>
      </c>
      <c r="L311" s="635"/>
      <c r="M311" s="21">
        <f t="shared" si="51"/>
        <v>1</v>
      </c>
      <c r="N311" s="635"/>
      <c r="O311" s="21">
        <f t="shared" si="52"/>
        <v>1</v>
      </c>
      <c r="P311" s="635"/>
      <c r="Q311" s="21">
        <f t="shared" si="53"/>
        <v>1</v>
      </c>
      <c r="R311" s="21">
        <f t="shared" ca="1" si="54"/>
        <v>25380</v>
      </c>
      <c r="S311" s="308">
        <f t="shared" ca="1" si="45"/>
        <v>88</v>
      </c>
    </row>
    <row r="312" spans="1:19">
      <c r="A312" s="633" t="str">
        <f>'12.23面积'!M322</f>
        <v>18-203</v>
      </c>
      <c r="B312" s="633">
        <f>'12.23面积'!N322</f>
        <v>17.670000000000002</v>
      </c>
      <c r="C312" s="21">
        <f t="shared" si="46"/>
        <v>1.01</v>
      </c>
      <c r="D312" s="635"/>
      <c r="E312" s="21">
        <f t="shared" si="47"/>
        <v>1</v>
      </c>
      <c r="F312" s="635"/>
      <c r="G312" s="21">
        <f t="shared" si="48"/>
        <v>1</v>
      </c>
      <c r="H312" s="635"/>
      <c r="I312" s="21">
        <f t="shared" si="49"/>
        <v>1</v>
      </c>
      <c r="J312" s="635"/>
      <c r="K312" s="21">
        <f t="shared" si="50"/>
        <v>1</v>
      </c>
      <c r="L312" s="635"/>
      <c r="M312" s="21">
        <f t="shared" si="51"/>
        <v>1</v>
      </c>
      <c r="N312" s="635"/>
      <c r="O312" s="21">
        <f t="shared" si="52"/>
        <v>1</v>
      </c>
      <c r="P312" s="635"/>
      <c r="Q312" s="21">
        <f t="shared" si="53"/>
        <v>1</v>
      </c>
      <c r="R312" s="21">
        <f t="shared" ca="1" si="54"/>
        <v>25634</v>
      </c>
      <c r="S312" s="308">
        <f t="shared" ca="1" si="45"/>
        <v>45</v>
      </c>
    </row>
    <row r="313" spans="1:19">
      <c r="A313" s="633" t="str">
        <f>'12.23面积'!M323</f>
        <v>19-101</v>
      </c>
      <c r="B313" s="633">
        <f>'12.23面积'!N323</f>
        <v>15.2</v>
      </c>
      <c r="C313" s="21">
        <f t="shared" si="46"/>
        <v>1.01</v>
      </c>
      <c r="D313" s="635"/>
      <c r="E313" s="21">
        <f t="shared" si="47"/>
        <v>1</v>
      </c>
      <c r="F313" s="635"/>
      <c r="G313" s="21">
        <f t="shared" si="48"/>
        <v>1</v>
      </c>
      <c r="H313" s="635"/>
      <c r="I313" s="21">
        <f t="shared" si="49"/>
        <v>1</v>
      </c>
      <c r="J313" s="635"/>
      <c r="K313" s="21">
        <f t="shared" si="50"/>
        <v>1</v>
      </c>
      <c r="L313" s="635"/>
      <c r="M313" s="21">
        <f t="shared" si="51"/>
        <v>1</v>
      </c>
      <c r="N313" s="635"/>
      <c r="O313" s="21">
        <f t="shared" si="52"/>
        <v>1</v>
      </c>
      <c r="P313" s="635"/>
      <c r="Q313" s="21">
        <f t="shared" si="53"/>
        <v>1</v>
      </c>
      <c r="R313" s="21">
        <f t="shared" ca="1" si="54"/>
        <v>25634</v>
      </c>
      <c r="S313" s="308">
        <f t="shared" ca="1" si="45"/>
        <v>39</v>
      </c>
    </row>
    <row r="314" spans="1:19">
      <c r="A314" s="633" t="str">
        <f>'12.23面积'!M324</f>
        <v>19-102</v>
      </c>
      <c r="B314" s="633">
        <f>'12.23面积'!N324</f>
        <v>54.63</v>
      </c>
      <c r="C314" s="21">
        <f t="shared" si="46"/>
        <v>1</v>
      </c>
      <c r="D314" s="635"/>
      <c r="E314" s="21">
        <f t="shared" si="47"/>
        <v>1</v>
      </c>
      <c r="F314" s="635"/>
      <c r="G314" s="21">
        <f t="shared" si="48"/>
        <v>1</v>
      </c>
      <c r="H314" s="635"/>
      <c r="I314" s="21">
        <f t="shared" si="49"/>
        <v>1</v>
      </c>
      <c r="J314" s="635"/>
      <c r="K314" s="21">
        <f t="shared" si="50"/>
        <v>1</v>
      </c>
      <c r="L314" s="635"/>
      <c r="M314" s="21">
        <f t="shared" si="51"/>
        <v>1</v>
      </c>
      <c r="N314" s="635"/>
      <c r="O314" s="21">
        <f t="shared" si="52"/>
        <v>1</v>
      </c>
      <c r="P314" s="635"/>
      <c r="Q314" s="21">
        <f t="shared" si="53"/>
        <v>1</v>
      </c>
      <c r="R314" s="21">
        <f t="shared" ca="1" si="54"/>
        <v>25380</v>
      </c>
      <c r="S314" s="308">
        <f t="shared" ca="1" si="45"/>
        <v>139</v>
      </c>
    </row>
    <row r="315" spans="1:19">
      <c r="A315" s="633" t="str">
        <f>'12.23面积'!M325</f>
        <v>19-103</v>
      </c>
      <c r="B315" s="633">
        <f>'12.23面积'!N325</f>
        <v>47.35</v>
      </c>
      <c r="C315" s="21">
        <f t="shared" si="46"/>
        <v>1</v>
      </c>
      <c r="D315" s="635"/>
      <c r="E315" s="21">
        <f t="shared" si="47"/>
        <v>1</v>
      </c>
      <c r="F315" s="635"/>
      <c r="G315" s="21">
        <f t="shared" si="48"/>
        <v>1</v>
      </c>
      <c r="H315" s="635"/>
      <c r="I315" s="21">
        <f t="shared" si="49"/>
        <v>1</v>
      </c>
      <c r="J315" s="635"/>
      <c r="K315" s="21">
        <f t="shared" si="50"/>
        <v>1</v>
      </c>
      <c r="L315" s="635"/>
      <c r="M315" s="21">
        <f t="shared" si="51"/>
        <v>1</v>
      </c>
      <c r="N315" s="635"/>
      <c r="O315" s="21">
        <f t="shared" si="52"/>
        <v>1</v>
      </c>
      <c r="P315" s="635"/>
      <c r="Q315" s="21">
        <f t="shared" si="53"/>
        <v>1</v>
      </c>
      <c r="R315" s="21">
        <f t="shared" ca="1" si="54"/>
        <v>25380</v>
      </c>
      <c r="S315" s="308">
        <f t="shared" ca="1" si="45"/>
        <v>120</v>
      </c>
    </row>
    <row r="316" spans="1:19">
      <c r="A316" s="633" t="str">
        <f>'12.23面积'!M326</f>
        <v>19-104</v>
      </c>
      <c r="B316" s="633">
        <f>'12.23面积'!N326</f>
        <v>62.58</v>
      </c>
      <c r="C316" s="21">
        <f t="shared" si="46"/>
        <v>0.99</v>
      </c>
      <c r="D316" s="635"/>
      <c r="E316" s="21">
        <f t="shared" si="47"/>
        <v>1</v>
      </c>
      <c r="F316" s="635"/>
      <c r="G316" s="21">
        <f t="shared" si="48"/>
        <v>1</v>
      </c>
      <c r="H316" s="635"/>
      <c r="I316" s="21">
        <f t="shared" si="49"/>
        <v>1</v>
      </c>
      <c r="J316" s="635"/>
      <c r="K316" s="21">
        <f t="shared" si="50"/>
        <v>1</v>
      </c>
      <c r="L316" s="635"/>
      <c r="M316" s="21">
        <f t="shared" si="51"/>
        <v>1</v>
      </c>
      <c r="N316" s="635"/>
      <c r="O316" s="21">
        <f t="shared" si="52"/>
        <v>1</v>
      </c>
      <c r="P316" s="635"/>
      <c r="Q316" s="21">
        <f t="shared" si="53"/>
        <v>1</v>
      </c>
      <c r="R316" s="21">
        <f t="shared" ca="1" si="54"/>
        <v>25126</v>
      </c>
      <c r="S316" s="308">
        <f t="shared" ca="1" si="45"/>
        <v>157</v>
      </c>
    </row>
    <row r="317" spans="1:19">
      <c r="A317" s="633" t="str">
        <f>'12.23面积'!M327</f>
        <v>19-105</v>
      </c>
      <c r="B317" s="633">
        <f>'12.23面积'!N327</f>
        <v>61.62</v>
      </c>
      <c r="C317" s="21">
        <f t="shared" si="46"/>
        <v>0.99</v>
      </c>
      <c r="D317" s="635"/>
      <c r="E317" s="21">
        <f t="shared" si="47"/>
        <v>1</v>
      </c>
      <c r="F317" s="635"/>
      <c r="G317" s="21">
        <f t="shared" si="48"/>
        <v>1</v>
      </c>
      <c r="H317" s="635"/>
      <c r="I317" s="21">
        <f t="shared" si="49"/>
        <v>1</v>
      </c>
      <c r="J317" s="635"/>
      <c r="K317" s="21">
        <f t="shared" si="50"/>
        <v>1</v>
      </c>
      <c r="L317" s="635"/>
      <c r="M317" s="21">
        <f t="shared" si="51"/>
        <v>1</v>
      </c>
      <c r="N317" s="635"/>
      <c r="O317" s="21">
        <f t="shared" si="52"/>
        <v>1</v>
      </c>
      <c r="P317" s="635"/>
      <c r="Q317" s="21">
        <f t="shared" si="53"/>
        <v>1</v>
      </c>
      <c r="R317" s="21">
        <f t="shared" ca="1" si="54"/>
        <v>25126</v>
      </c>
      <c r="S317" s="308">
        <f t="shared" ca="1" si="45"/>
        <v>155</v>
      </c>
    </row>
    <row r="318" spans="1:19">
      <c r="A318" s="633" t="str">
        <f>'12.23面积'!M328</f>
        <v>19-106</v>
      </c>
      <c r="B318" s="633">
        <f>'12.23面积'!N328</f>
        <v>61.62</v>
      </c>
      <c r="C318" s="21">
        <f t="shared" si="46"/>
        <v>0.99</v>
      </c>
      <c r="D318" s="635"/>
      <c r="E318" s="21">
        <f t="shared" si="47"/>
        <v>1</v>
      </c>
      <c r="F318" s="635"/>
      <c r="G318" s="21">
        <f t="shared" si="48"/>
        <v>1</v>
      </c>
      <c r="H318" s="635"/>
      <c r="I318" s="21">
        <f t="shared" si="49"/>
        <v>1</v>
      </c>
      <c r="J318" s="635"/>
      <c r="K318" s="21">
        <f t="shared" si="50"/>
        <v>1</v>
      </c>
      <c r="L318" s="635"/>
      <c r="M318" s="21">
        <f t="shared" si="51"/>
        <v>1</v>
      </c>
      <c r="N318" s="635"/>
      <c r="O318" s="21">
        <f t="shared" si="52"/>
        <v>1</v>
      </c>
      <c r="P318" s="635"/>
      <c r="Q318" s="21">
        <f t="shared" si="53"/>
        <v>1</v>
      </c>
      <c r="R318" s="21">
        <f t="shared" ca="1" si="54"/>
        <v>25126</v>
      </c>
      <c r="S318" s="308">
        <f t="shared" ca="1" si="45"/>
        <v>155</v>
      </c>
    </row>
    <row r="319" spans="1:19">
      <c r="A319" s="633" t="str">
        <f>'12.23面积'!M329</f>
        <v>19-107</v>
      </c>
      <c r="B319" s="633">
        <f>'12.23面积'!N329</f>
        <v>62.58</v>
      </c>
      <c r="C319" s="21">
        <f t="shared" si="46"/>
        <v>0.99</v>
      </c>
      <c r="D319" s="635"/>
      <c r="E319" s="21">
        <f t="shared" si="47"/>
        <v>1</v>
      </c>
      <c r="F319" s="635"/>
      <c r="G319" s="21">
        <f t="shared" si="48"/>
        <v>1</v>
      </c>
      <c r="H319" s="635"/>
      <c r="I319" s="21">
        <f t="shared" si="49"/>
        <v>1</v>
      </c>
      <c r="J319" s="635"/>
      <c r="K319" s="21">
        <f t="shared" si="50"/>
        <v>1</v>
      </c>
      <c r="L319" s="635"/>
      <c r="M319" s="21">
        <f t="shared" si="51"/>
        <v>1</v>
      </c>
      <c r="N319" s="635"/>
      <c r="O319" s="21">
        <f t="shared" si="52"/>
        <v>1</v>
      </c>
      <c r="P319" s="635"/>
      <c r="Q319" s="21">
        <f t="shared" si="53"/>
        <v>1</v>
      </c>
      <c r="R319" s="21">
        <f t="shared" ca="1" si="54"/>
        <v>25126</v>
      </c>
      <c r="S319" s="308">
        <f t="shared" ca="1" si="45"/>
        <v>157</v>
      </c>
    </row>
    <row r="320" spans="1:19">
      <c r="A320" s="633" t="str">
        <f>'12.23面积'!M330</f>
        <v>19-108</v>
      </c>
      <c r="B320" s="633">
        <f>'12.23面积'!N330</f>
        <v>47.35</v>
      </c>
      <c r="C320" s="21">
        <f t="shared" si="46"/>
        <v>1</v>
      </c>
      <c r="D320" s="635"/>
      <c r="E320" s="21">
        <f t="shared" si="47"/>
        <v>1</v>
      </c>
      <c r="F320" s="635"/>
      <c r="G320" s="21">
        <f t="shared" si="48"/>
        <v>1</v>
      </c>
      <c r="H320" s="635"/>
      <c r="I320" s="21">
        <f t="shared" si="49"/>
        <v>1</v>
      </c>
      <c r="J320" s="635"/>
      <c r="K320" s="21">
        <f t="shared" si="50"/>
        <v>1</v>
      </c>
      <c r="L320" s="635"/>
      <c r="M320" s="21">
        <f t="shared" si="51"/>
        <v>1</v>
      </c>
      <c r="N320" s="635"/>
      <c r="O320" s="21">
        <f t="shared" si="52"/>
        <v>1</v>
      </c>
      <c r="P320" s="635"/>
      <c r="Q320" s="21">
        <f t="shared" si="53"/>
        <v>1</v>
      </c>
      <c r="R320" s="21">
        <f t="shared" ca="1" si="54"/>
        <v>25380</v>
      </c>
      <c r="S320" s="308">
        <f t="shared" ca="1" si="45"/>
        <v>120</v>
      </c>
    </row>
    <row r="321" spans="1:19">
      <c r="A321" s="633" t="str">
        <f>'12.23面积'!M331</f>
        <v>19-109</v>
      </c>
      <c r="B321" s="633">
        <f>'12.23面积'!N331</f>
        <v>42.93</v>
      </c>
      <c r="C321" s="21">
        <f t="shared" si="46"/>
        <v>1</v>
      </c>
      <c r="D321" s="635"/>
      <c r="E321" s="21">
        <f t="shared" si="47"/>
        <v>1</v>
      </c>
      <c r="F321" s="635"/>
      <c r="G321" s="21">
        <f t="shared" si="48"/>
        <v>1</v>
      </c>
      <c r="H321" s="635"/>
      <c r="I321" s="21">
        <f t="shared" si="49"/>
        <v>1</v>
      </c>
      <c r="J321" s="635"/>
      <c r="K321" s="21">
        <f t="shared" si="50"/>
        <v>1</v>
      </c>
      <c r="L321" s="635"/>
      <c r="M321" s="21">
        <f t="shared" si="51"/>
        <v>1</v>
      </c>
      <c r="N321" s="635"/>
      <c r="O321" s="21">
        <f t="shared" si="52"/>
        <v>1</v>
      </c>
      <c r="P321" s="635"/>
      <c r="Q321" s="21">
        <f t="shared" si="53"/>
        <v>1</v>
      </c>
      <c r="R321" s="21">
        <f t="shared" ca="1" si="54"/>
        <v>25380</v>
      </c>
      <c r="S321" s="308">
        <f t="shared" ca="1" si="45"/>
        <v>109</v>
      </c>
    </row>
    <row r="322" spans="1:19">
      <c r="A322" s="633" t="str">
        <f>'12.23面积'!M332</f>
        <v>19-120</v>
      </c>
      <c r="B322" s="633">
        <f>'12.23面积'!N332</f>
        <v>14.93</v>
      </c>
      <c r="C322" s="21">
        <f t="shared" si="46"/>
        <v>1.01</v>
      </c>
      <c r="D322" s="635"/>
      <c r="E322" s="21">
        <f t="shared" si="47"/>
        <v>1</v>
      </c>
      <c r="F322" s="635"/>
      <c r="G322" s="21">
        <f t="shared" si="48"/>
        <v>1</v>
      </c>
      <c r="H322" s="635"/>
      <c r="I322" s="21">
        <f t="shared" si="49"/>
        <v>1</v>
      </c>
      <c r="J322" s="635"/>
      <c r="K322" s="21">
        <f t="shared" si="50"/>
        <v>1</v>
      </c>
      <c r="L322" s="635"/>
      <c r="M322" s="21">
        <f t="shared" si="51"/>
        <v>1</v>
      </c>
      <c r="N322" s="635"/>
      <c r="O322" s="21">
        <f t="shared" si="52"/>
        <v>1</v>
      </c>
      <c r="P322" s="635"/>
      <c r="Q322" s="21">
        <f t="shared" si="53"/>
        <v>1</v>
      </c>
      <c r="R322" s="21">
        <f t="shared" ca="1" si="54"/>
        <v>25634</v>
      </c>
      <c r="S322" s="308">
        <f t="shared" ca="1" si="45"/>
        <v>38</v>
      </c>
    </row>
    <row r="323" spans="1:19">
      <c r="A323" s="633" t="str">
        <f>'12.23面积'!M333</f>
        <v>19-201</v>
      </c>
      <c r="B323" s="633">
        <f>'12.23面积'!N333</f>
        <v>22.98</v>
      </c>
      <c r="C323" s="21">
        <f t="shared" si="46"/>
        <v>1.01</v>
      </c>
      <c r="D323" s="635"/>
      <c r="E323" s="21">
        <f t="shared" si="47"/>
        <v>1</v>
      </c>
      <c r="F323" s="635"/>
      <c r="G323" s="21">
        <f t="shared" si="48"/>
        <v>1</v>
      </c>
      <c r="H323" s="635"/>
      <c r="I323" s="21">
        <f t="shared" si="49"/>
        <v>1</v>
      </c>
      <c r="J323" s="635"/>
      <c r="K323" s="21">
        <f t="shared" si="50"/>
        <v>1</v>
      </c>
      <c r="L323" s="635"/>
      <c r="M323" s="21">
        <f t="shared" si="51"/>
        <v>1</v>
      </c>
      <c r="N323" s="635"/>
      <c r="O323" s="21">
        <f t="shared" si="52"/>
        <v>1</v>
      </c>
      <c r="P323" s="635"/>
      <c r="Q323" s="21">
        <f t="shared" si="53"/>
        <v>1</v>
      </c>
      <c r="R323" s="21">
        <f t="shared" ca="1" si="54"/>
        <v>25634</v>
      </c>
      <c r="S323" s="308">
        <f t="shared" ca="1" si="45"/>
        <v>59</v>
      </c>
    </row>
    <row r="324" spans="1:19">
      <c r="A324" s="633" t="str">
        <f>'12.23面积'!M334</f>
        <v>19-202</v>
      </c>
      <c r="B324" s="633">
        <f>'12.23面积'!N334</f>
        <v>22.98</v>
      </c>
      <c r="C324" s="21">
        <f t="shared" si="46"/>
        <v>1.01</v>
      </c>
      <c r="D324" s="635"/>
      <c r="E324" s="21">
        <f t="shared" si="47"/>
        <v>1</v>
      </c>
      <c r="F324" s="635"/>
      <c r="G324" s="21">
        <f t="shared" si="48"/>
        <v>1</v>
      </c>
      <c r="H324" s="635"/>
      <c r="I324" s="21">
        <f t="shared" si="49"/>
        <v>1</v>
      </c>
      <c r="J324" s="635"/>
      <c r="K324" s="21">
        <f t="shared" si="50"/>
        <v>1</v>
      </c>
      <c r="L324" s="635"/>
      <c r="M324" s="21">
        <f t="shared" si="51"/>
        <v>1</v>
      </c>
      <c r="N324" s="635"/>
      <c r="O324" s="21">
        <f t="shared" si="52"/>
        <v>1</v>
      </c>
      <c r="P324" s="635"/>
      <c r="Q324" s="21">
        <f t="shared" si="53"/>
        <v>1</v>
      </c>
      <c r="R324" s="21">
        <f t="shared" ca="1" si="54"/>
        <v>25634</v>
      </c>
      <c r="S324" s="308">
        <f t="shared" ca="1" si="45"/>
        <v>59</v>
      </c>
    </row>
    <row r="325" spans="1:19">
      <c r="A325" s="633" t="str">
        <f>'12.23面积'!M335</f>
        <v>21-106</v>
      </c>
      <c r="B325" s="633">
        <f>'12.23面积'!N335</f>
        <v>33.51</v>
      </c>
      <c r="C325" s="21">
        <f t="shared" si="46"/>
        <v>1</v>
      </c>
      <c r="D325" s="635"/>
      <c r="E325" s="21">
        <f t="shared" si="47"/>
        <v>1</v>
      </c>
      <c r="F325" s="635"/>
      <c r="G325" s="21">
        <f t="shared" si="48"/>
        <v>1</v>
      </c>
      <c r="H325" s="635"/>
      <c r="I325" s="21">
        <f t="shared" si="49"/>
        <v>1</v>
      </c>
      <c r="J325" s="635"/>
      <c r="K325" s="21">
        <f t="shared" si="50"/>
        <v>1</v>
      </c>
      <c r="L325" s="635"/>
      <c r="M325" s="21">
        <f t="shared" si="51"/>
        <v>1</v>
      </c>
      <c r="N325" s="635"/>
      <c r="O325" s="21">
        <f t="shared" si="52"/>
        <v>1</v>
      </c>
      <c r="P325" s="635"/>
      <c r="Q325" s="21">
        <f t="shared" si="53"/>
        <v>1</v>
      </c>
      <c r="R325" s="21">
        <f t="shared" ca="1" si="54"/>
        <v>25380</v>
      </c>
      <c r="S325" s="308">
        <f t="shared" ca="1" si="45"/>
        <v>85</v>
      </c>
    </row>
    <row r="326" spans="1:19">
      <c r="A326" s="633" t="str">
        <f>'12.23面积'!M336</f>
        <v>21-107</v>
      </c>
      <c r="B326" s="633">
        <f>'12.23面积'!N336</f>
        <v>61.41</v>
      </c>
      <c r="C326" s="21">
        <f t="shared" si="46"/>
        <v>0.99</v>
      </c>
      <c r="D326" s="635"/>
      <c r="E326" s="21">
        <f t="shared" si="47"/>
        <v>1</v>
      </c>
      <c r="F326" s="635"/>
      <c r="G326" s="21">
        <f t="shared" si="48"/>
        <v>1</v>
      </c>
      <c r="H326" s="635"/>
      <c r="I326" s="21">
        <f t="shared" si="49"/>
        <v>1</v>
      </c>
      <c r="J326" s="635"/>
      <c r="K326" s="21">
        <f t="shared" si="50"/>
        <v>1</v>
      </c>
      <c r="L326" s="635"/>
      <c r="M326" s="21">
        <f t="shared" si="51"/>
        <v>1</v>
      </c>
      <c r="N326" s="635"/>
      <c r="O326" s="21">
        <f t="shared" si="52"/>
        <v>1</v>
      </c>
      <c r="P326" s="635"/>
      <c r="Q326" s="21">
        <f t="shared" si="53"/>
        <v>1</v>
      </c>
      <c r="R326" s="21">
        <f t="shared" ca="1" si="54"/>
        <v>25126</v>
      </c>
      <c r="S326" s="308">
        <f t="shared" ca="1" si="45"/>
        <v>154</v>
      </c>
    </row>
    <row r="327" spans="1:19">
      <c r="A327" s="633" t="str">
        <f>'12.23面积'!M337</f>
        <v>21-108</v>
      </c>
      <c r="B327" s="633">
        <f>'12.23面积'!N337</f>
        <v>46.57</v>
      </c>
      <c r="C327" s="21">
        <f t="shared" si="46"/>
        <v>1</v>
      </c>
      <c r="D327" s="635"/>
      <c r="E327" s="21">
        <f t="shared" si="47"/>
        <v>1</v>
      </c>
      <c r="F327" s="635"/>
      <c r="G327" s="21">
        <f t="shared" si="48"/>
        <v>1</v>
      </c>
      <c r="H327" s="635"/>
      <c r="I327" s="21">
        <f t="shared" si="49"/>
        <v>1</v>
      </c>
      <c r="J327" s="635"/>
      <c r="K327" s="21">
        <f t="shared" si="50"/>
        <v>1</v>
      </c>
      <c r="L327" s="635"/>
      <c r="M327" s="21">
        <f t="shared" si="51"/>
        <v>1</v>
      </c>
      <c r="N327" s="635"/>
      <c r="O327" s="21">
        <f t="shared" si="52"/>
        <v>1</v>
      </c>
      <c r="P327" s="635"/>
      <c r="Q327" s="21">
        <f t="shared" si="53"/>
        <v>1</v>
      </c>
      <c r="R327" s="21">
        <f t="shared" ca="1" si="54"/>
        <v>25380</v>
      </c>
      <c r="S327" s="308">
        <f t="shared" ca="1" si="45"/>
        <v>118</v>
      </c>
    </row>
    <row r="328" spans="1:19">
      <c r="A328" s="633" t="str">
        <f>'12.23面积'!M338</f>
        <v>21-109</v>
      </c>
      <c r="B328" s="633">
        <f>'12.23面积'!N338</f>
        <v>46.57</v>
      </c>
      <c r="C328" s="21">
        <f t="shared" si="46"/>
        <v>1</v>
      </c>
      <c r="D328" s="635"/>
      <c r="E328" s="21">
        <f t="shared" si="47"/>
        <v>1</v>
      </c>
      <c r="F328" s="635"/>
      <c r="G328" s="21">
        <f t="shared" si="48"/>
        <v>1</v>
      </c>
      <c r="H328" s="635"/>
      <c r="I328" s="21">
        <f t="shared" si="49"/>
        <v>1</v>
      </c>
      <c r="J328" s="635"/>
      <c r="K328" s="21">
        <f t="shared" si="50"/>
        <v>1</v>
      </c>
      <c r="L328" s="635"/>
      <c r="M328" s="21">
        <f t="shared" si="51"/>
        <v>1</v>
      </c>
      <c r="N328" s="635"/>
      <c r="O328" s="21">
        <f t="shared" si="52"/>
        <v>1</v>
      </c>
      <c r="P328" s="635"/>
      <c r="Q328" s="21">
        <f t="shared" si="53"/>
        <v>1</v>
      </c>
      <c r="R328" s="21">
        <f t="shared" ca="1" si="54"/>
        <v>25380</v>
      </c>
      <c r="S328" s="308">
        <f t="shared" ca="1" si="45"/>
        <v>118</v>
      </c>
    </row>
    <row r="329" spans="1:19">
      <c r="A329" s="633" t="str">
        <f>'12.23面积'!M339</f>
        <v>21-110</v>
      </c>
      <c r="B329" s="633">
        <f>'12.23面积'!N339</f>
        <v>61.41</v>
      </c>
      <c r="C329" s="21">
        <f t="shared" si="46"/>
        <v>0.99</v>
      </c>
      <c r="D329" s="635"/>
      <c r="E329" s="21">
        <f t="shared" si="47"/>
        <v>1</v>
      </c>
      <c r="F329" s="635"/>
      <c r="G329" s="21">
        <f t="shared" si="48"/>
        <v>1</v>
      </c>
      <c r="H329" s="635"/>
      <c r="I329" s="21">
        <f t="shared" si="49"/>
        <v>1</v>
      </c>
      <c r="J329" s="635"/>
      <c r="K329" s="21">
        <f t="shared" si="50"/>
        <v>1</v>
      </c>
      <c r="L329" s="635"/>
      <c r="M329" s="21">
        <f t="shared" si="51"/>
        <v>1</v>
      </c>
      <c r="N329" s="635"/>
      <c r="O329" s="21">
        <f t="shared" si="52"/>
        <v>1</v>
      </c>
      <c r="P329" s="635"/>
      <c r="Q329" s="21">
        <f t="shared" si="53"/>
        <v>1</v>
      </c>
      <c r="R329" s="21">
        <f t="shared" ca="1" si="54"/>
        <v>25126</v>
      </c>
      <c r="S329" s="308">
        <f t="shared" ca="1" si="45"/>
        <v>154</v>
      </c>
    </row>
    <row r="330" spans="1:19">
      <c r="A330" s="633" t="str">
        <f>'12.23面积'!M340</f>
        <v>21-111</v>
      </c>
      <c r="B330" s="633">
        <f>'12.23面积'!N340</f>
        <v>33.51</v>
      </c>
      <c r="C330" s="21">
        <f t="shared" si="46"/>
        <v>1</v>
      </c>
      <c r="D330" s="635"/>
      <c r="E330" s="21">
        <f t="shared" si="47"/>
        <v>1</v>
      </c>
      <c r="F330" s="635"/>
      <c r="G330" s="21">
        <f t="shared" si="48"/>
        <v>1</v>
      </c>
      <c r="H330" s="635"/>
      <c r="I330" s="21">
        <f t="shared" si="49"/>
        <v>1</v>
      </c>
      <c r="J330" s="635"/>
      <c r="K330" s="21">
        <f t="shared" si="50"/>
        <v>1</v>
      </c>
      <c r="L330" s="635"/>
      <c r="M330" s="21">
        <f t="shared" si="51"/>
        <v>1</v>
      </c>
      <c r="N330" s="635"/>
      <c r="O330" s="21">
        <f t="shared" si="52"/>
        <v>1</v>
      </c>
      <c r="P330" s="635"/>
      <c r="Q330" s="21">
        <f t="shared" si="53"/>
        <v>1</v>
      </c>
      <c r="R330" s="21">
        <f t="shared" ca="1" si="54"/>
        <v>25380</v>
      </c>
      <c r="S330" s="308">
        <f t="shared" ca="1" si="45"/>
        <v>85</v>
      </c>
    </row>
    <row r="331" spans="1:19">
      <c r="A331" s="633" t="str">
        <f>'12.23面积'!M341</f>
        <v>21-123</v>
      </c>
      <c r="B331" s="633">
        <f>'12.23面积'!N341</f>
        <v>28.04</v>
      </c>
      <c r="C331" s="21">
        <f t="shared" si="46"/>
        <v>1.01</v>
      </c>
      <c r="D331" s="635"/>
      <c r="E331" s="21">
        <f t="shared" si="47"/>
        <v>1</v>
      </c>
      <c r="F331" s="635"/>
      <c r="G331" s="21">
        <f t="shared" si="48"/>
        <v>1</v>
      </c>
      <c r="H331" s="635"/>
      <c r="I331" s="21">
        <f t="shared" si="49"/>
        <v>1</v>
      </c>
      <c r="J331" s="635"/>
      <c r="K331" s="21">
        <f t="shared" si="50"/>
        <v>1</v>
      </c>
      <c r="L331" s="635"/>
      <c r="M331" s="21">
        <f t="shared" si="51"/>
        <v>1</v>
      </c>
      <c r="N331" s="635"/>
      <c r="O331" s="21">
        <f t="shared" si="52"/>
        <v>1</v>
      </c>
      <c r="P331" s="635"/>
      <c r="Q331" s="21">
        <f t="shared" si="53"/>
        <v>1</v>
      </c>
      <c r="R331" s="21">
        <f t="shared" ca="1" si="54"/>
        <v>25634</v>
      </c>
      <c r="S331" s="308">
        <f t="shared" ca="1" si="45"/>
        <v>72</v>
      </c>
    </row>
    <row r="332" spans="1:19">
      <c r="A332" s="633" t="str">
        <f>'12.23面积'!M342</f>
        <v>21-126</v>
      </c>
      <c r="B332" s="633">
        <f>'12.23面积'!N342</f>
        <v>42.46</v>
      </c>
      <c r="C332" s="21">
        <f t="shared" si="46"/>
        <v>1</v>
      </c>
      <c r="D332" s="635"/>
      <c r="E332" s="21">
        <f t="shared" si="47"/>
        <v>1</v>
      </c>
      <c r="F332" s="635"/>
      <c r="G332" s="21">
        <f t="shared" si="48"/>
        <v>1</v>
      </c>
      <c r="H332" s="635"/>
      <c r="I332" s="21">
        <f t="shared" si="49"/>
        <v>1</v>
      </c>
      <c r="J332" s="635"/>
      <c r="K332" s="21">
        <f t="shared" si="50"/>
        <v>1</v>
      </c>
      <c r="L332" s="635"/>
      <c r="M332" s="21">
        <f t="shared" si="51"/>
        <v>1</v>
      </c>
      <c r="N332" s="635"/>
      <c r="O332" s="21">
        <f t="shared" si="52"/>
        <v>1</v>
      </c>
      <c r="P332" s="635"/>
      <c r="Q332" s="21">
        <f t="shared" si="53"/>
        <v>1</v>
      </c>
      <c r="R332" s="21">
        <f t="shared" ca="1" si="54"/>
        <v>25380</v>
      </c>
      <c r="S332" s="308">
        <f t="shared" ca="1" si="45"/>
        <v>108</v>
      </c>
    </row>
    <row r="333" spans="1:19">
      <c r="A333" s="633" t="str">
        <f>'12.23面积'!M343</f>
        <v>21-127</v>
      </c>
      <c r="B333" s="633">
        <f>'12.23面积'!N343</f>
        <v>31.78</v>
      </c>
      <c r="C333" s="21">
        <f t="shared" si="46"/>
        <v>1</v>
      </c>
      <c r="D333" s="635"/>
      <c r="E333" s="21">
        <f t="shared" si="47"/>
        <v>1</v>
      </c>
      <c r="F333" s="635"/>
      <c r="G333" s="21">
        <f t="shared" si="48"/>
        <v>1</v>
      </c>
      <c r="H333" s="635"/>
      <c r="I333" s="21">
        <f t="shared" si="49"/>
        <v>1</v>
      </c>
      <c r="J333" s="635"/>
      <c r="K333" s="21">
        <f t="shared" si="50"/>
        <v>1</v>
      </c>
      <c r="L333" s="635"/>
      <c r="M333" s="21">
        <f t="shared" si="51"/>
        <v>1</v>
      </c>
      <c r="N333" s="635"/>
      <c r="O333" s="21">
        <f t="shared" si="52"/>
        <v>1</v>
      </c>
      <c r="P333" s="635"/>
      <c r="Q333" s="21">
        <f t="shared" si="53"/>
        <v>1</v>
      </c>
      <c r="R333" s="21">
        <f t="shared" ca="1" si="54"/>
        <v>25380</v>
      </c>
      <c r="S333" s="308">
        <f t="shared" ca="1" si="45"/>
        <v>81</v>
      </c>
    </row>
    <row r="334" spans="1:19">
      <c r="A334" s="633" t="str">
        <f>'12.23面积'!M344</f>
        <v>21-202</v>
      </c>
      <c r="B334" s="633">
        <f>'12.23面积'!N344</f>
        <v>30.25</v>
      </c>
      <c r="C334" s="21">
        <f t="shared" si="46"/>
        <v>1</v>
      </c>
      <c r="D334" s="635"/>
      <c r="E334" s="21">
        <f t="shared" si="47"/>
        <v>1</v>
      </c>
      <c r="F334" s="635"/>
      <c r="G334" s="21">
        <f t="shared" si="48"/>
        <v>1</v>
      </c>
      <c r="H334" s="635"/>
      <c r="I334" s="21">
        <f t="shared" si="49"/>
        <v>1</v>
      </c>
      <c r="J334" s="635"/>
      <c r="K334" s="21">
        <f t="shared" si="50"/>
        <v>1</v>
      </c>
      <c r="L334" s="635"/>
      <c r="M334" s="21">
        <f t="shared" si="51"/>
        <v>1</v>
      </c>
      <c r="N334" s="635"/>
      <c r="O334" s="21">
        <f t="shared" si="52"/>
        <v>1</v>
      </c>
      <c r="P334" s="635"/>
      <c r="Q334" s="21">
        <f t="shared" si="53"/>
        <v>1</v>
      </c>
      <c r="R334" s="21">
        <f t="shared" ca="1" si="54"/>
        <v>25380</v>
      </c>
      <c r="S334" s="308">
        <f t="shared" ca="1" si="45"/>
        <v>77</v>
      </c>
    </row>
    <row r="335" spans="1:19">
      <c r="A335" s="633" t="str">
        <f>'12.23面积'!M345</f>
        <v>21-203</v>
      </c>
      <c r="B335" s="633">
        <f>'12.23面积'!N345</f>
        <v>24.05</v>
      </c>
      <c r="C335" s="21">
        <f t="shared" si="46"/>
        <v>1.01</v>
      </c>
      <c r="D335" s="635"/>
      <c r="E335" s="21">
        <f t="shared" si="47"/>
        <v>1</v>
      </c>
      <c r="F335" s="635"/>
      <c r="G335" s="21">
        <f t="shared" si="48"/>
        <v>1</v>
      </c>
      <c r="H335" s="635"/>
      <c r="I335" s="21">
        <f t="shared" si="49"/>
        <v>1</v>
      </c>
      <c r="J335" s="635"/>
      <c r="K335" s="21">
        <f t="shared" si="50"/>
        <v>1</v>
      </c>
      <c r="L335" s="635"/>
      <c r="M335" s="21">
        <f t="shared" si="51"/>
        <v>1</v>
      </c>
      <c r="N335" s="635"/>
      <c r="O335" s="21">
        <f t="shared" si="52"/>
        <v>1</v>
      </c>
      <c r="P335" s="635"/>
      <c r="Q335" s="21">
        <f t="shared" si="53"/>
        <v>1</v>
      </c>
      <c r="R335" s="21">
        <f t="shared" ca="1" si="54"/>
        <v>25634</v>
      </c>
      <c r="S335" s="308">
        <f t="shared" ca="1" si="45"/>
        <v>62</v>
      </c>
    </row>
    <row r="336" spans="1:19">
      <c r="A336" s="633" t="str">
        <f>'12.23面积'!M346</f>
        <v>21-204</v>
      </c>
      <c r="B336" s="633">
        <f>'12.23面积'!N346</f>
        <v>24.05</v>
      </c>
      <c r="C336" s="21">
        <f t="shared" si="46"/>
        <v>1.01</v>
      </c>
      <c r="D336" s="635"/>
      <c r="E336" s="21">
        <f t="shared" si="47"/>
        <v>1</v>
      </c>
      <c r="F336" s="635"/>
      <c r="G336" s="21">
        <f t="shared" si="48"/>
        <v>1</v>
      </c>
      <c r="H336" s="635"/>
      <c r="I336" s="21">
        <f t="shared" si="49"/>
        <v>1</v>
      </c>
      <c r="J336" s="635"/>
      <c r="K336" s="21">
        <f t="shared" si="50"/>
        <v>1</v>
      </c>
      <c r="L336" s="635"/>
      <c r="M336" s="21">
        <f t="shared" si="51"/>
        <v>1</v>
      </c>
      <c r="N336" s="635"/>
      <c r="O336" s="21">
        <f t="shared" si="52"/>
        <v>1</v>
      </c>
      <c r="P336" s="635"/>
      <c r="Q336" s="21">
        <f t="shared" si="53"/>
        <v>1</v>
      </c>
      <c r="R336" s="21">
        <f t="shared" ca="1" si="54"/>
        <v>25634</v>
      </c>
      <c r="S336" s="308">
        <f t="shared" ca="1" si="45"/>
        <v>62</v>
      </c>
    </row>
    <row r="337" spans="1:19">
      <c r="A337" s="633" t="str">
        <f>'12.23面积'!M347</f>
        <v>21-205</v>
      </c>
      <c r="B337" s="633">
        <f>'12.23面积'!N347</f>
        <v>25.51</v>
      </c>
      <c r="C337" s="21">
        <f t="shared" si="46"/>
        <v>1.01</v>
      </c>
      <c r="D337" s="635"/>
      <c r="E337" s="21">
        <f t="shared" si="47"/>
        <v>1</v>
      </c>
      <c r="F337" s="635"/>
      <c r="G337" s="21">
        <f t="shared" si="48"/>
        <v>1</v>
      </c>
      <c r="H337" s="635"/>
      <c r="I337" s="21">
        <f t="shared" si="49"/>
        <v>1</v>
      </c>
      <c r="J337" s="635"/>
      <c r="K337" s="21">
        <f t="shared" si="50"/>
        <v>1</v>
      </c>
      <c r="L337" s="635"/>
      <c r="M337" s="21">
        <f t="shared" si="51"/>
        <v>1</v>
      </c>
      <c r="N337" s="635"/>
      <c r="O337" s="21">
        <f t="shared" si="52"/>
        <v>1</v>
      </c>
      <c r="P337" s="635"/>
      <c r="Q337" s="21">
        <f t="shared" si="53"/>
        <v>1</v>
      </c>
      <c r="R337" s="21">
        <f t="shared" ca="1" si="54"/>
        <v>25634</v>
      </c>
      <c r="S337" s="308">
        <f t="shared" ca="1" si="45"/>
        <v>65</v>
      </c>
    </row>
    <row r="338" spans="1:19">
      <c r="A338" s="633" t="str">
        <f>'12.23面积'!M348</f>
        <v>21-206</v>
      </c>
      <c r="B338" s="633">
        <f>'12.23面积'!N348</f>
        <v>25.51</v>
      </c>
      <c r="C338" s="21">
        <f t="shared" si="46"/>
        <v>1.01</v>
      </c>
      <c r="D338" s="635"/>
      <c r="E338" s="21">
        <f t="shared" si="47"/>
        <v>1</v>
      </c>
      <c r="F338" s="635"/>
      <c r="G338" s="21">
        <f t="shared" si="48"/>
        <v>1</v>
      </c>
      <c r="H338" s="635"/>
      <c r="I338" s="21">
        <f t="shared" si="49"/>
        <v>1</v>
      </c>
      <c r="J338" s="635"/>
      <c r="K338" s="21">
        <f t="shared" si="50"/>
        <v>1</v>
      </c>
      <c r="L338" s="635"/>
      <c r="M338" s="21">
        <f t="shared" si="51"/>
        <v>1</v>
      </c>
      <c r="N338" s="635"/>
      <c r="O338" s="21">
        <f t="shared" si="52"/>
        <v>1</v>
      </c>
      <c r="P338" s="635"/>
      <c r="Q338" s="21">
        <f t="shared" si="53"/>
        <v>1</v>
      </c>
      <c r="R338" s="21">
        <f t="shared" ca="1" si="54"/>
        <v>25634</v>
      </c>
      <c r="S338" s="308">
        <f t="shared" ca="1" si="45"/>
        <v>65</v>
      </c>
    </row>
    <row r="339" spans="1:19">
      <c r="A339" s="633" t="str">
        <f>'12.23面积'!M349</f>
        <v>21-207</v>
      </c>
      <c r="B339" s="633">
        <f>'12.23面积'!N349</f>
        <v>24.05</v>
      </c>
      <c r="C339" s="21">
        <f t="shared" si="46"/>
        <v>1.01</v>
      </c>
      <c r="D339" s="635"/>
      <c r="E339" s="21">
        <f t="shared" si="47"/>
        <v>1</v>
      </c>
      <c r="F339" s="635"/>
      <c r="G339" s="21">
        <f t="shared" si="48"/>
        <v>1</v>
      </c>
      <c r="H339" s="635"/>
      <c r="I339" s="21">
        <f t="shared" si="49"/>
        <v>1</v>
      </c>
      <c r="J339" s="635"/>
      <c r="K339" s="21">
        <f t="shared" si="50"/>
        <v>1</v>
      </c>
      <c r="L339" s="635"/>
      <c r="M339" s="21">
        <f t="shared" si="51"/>
        <v>1</v>
      </c>
      <c r="N339" s="635"/>
      <c r="O339" s="21">
        <f t="shared" si="52"/>
        <v>1</v>
      </c>
      <c r="P339" s="635"/>
      <c r="Q339" s="21">
        <f t="shared" si="53"/>
        <v>1</v>
      </c>
      <c r="R339" s="21">
        <f t="shared" ca="1" si="54"/>
        <v>25634</v>
      </c>
      <c r="S339" s="308">
        <f t="shared" ca="1" si="45"/>
        <v>62</v>
      </c>
    </row>
    <row r="340" spans="1:19">
      <c r="A340" s="633" t="str">
        <f>'12.23面积'!M350</f>
        <v>21-209</v>
      </c>
      <c r="B340" s="633">
        <f>'12.23面积'!N350</f>
        <v>31.71</v>
      </c>
      <c r="C340" s="21">
        <f t="shared" si="46"/>
        <v>1</v>
      </c>
      <c r="D340" s="635"/>
      <c r="E340" s="21">
        <f t="shared" si="47"/>
        <v>1</v>
      </c>
      <c r="F340" s="635"/>
      <c r="G340" s="21">
        <f t="shared" si="48"/>
        <v>1</v>
      </c>
      <c r="H340" s="635"/>
      <c r="I340" s="21">
        <f t="shared" si="49"/>
        <v>1</v>
      </c>
      <c r="J340" s="635"/>
      <c r="K340" s="21">
        <f t="shared" si="50"/>
        <v>1</v>
      </c>
      <c r="L340" s="635"/>
      <c r="M340" s="21">
        <f t="shared" si="51"/>
        <v>1</v>
      </c>
      <c r="N340" s="635"/>
      <c r="O340" s="21">
        <f t="shared" si="52"/>
        <v>1</v>
      </c>
      <c r="P340" s="635"/>
      <c r="Q340" s="21">
        <f t="shared" si="53"/>
        <v>1</v>
      </c>
      <c r="R340" s="21">
        <f t="shared" ca="1" si="54"/>
        <v>25380</v>
      </c>
      <c r="S340" s="308">
        <f t="shared" ca="1" si="45"/>
        <v>80</v>
      </c>
    </row>
    <row r="341" spans="1:19">
      <c r="A341" s="633" t="str">
        <f>'12.23面积'!M351</f>
        <v>21-213</v>
      </c>
      <c r="B341" s="633">
        <f>'12.23面积'!N351</f>
        <v>22.66</v>
      </c>
      <c r="C341" s="21">
        <f t="shared" si="46"/>
        <v>1.01</v>
      </c>
      <c r="D341" s="635"/>
      <c r="E341" s="21">
        <f t="shared" si="47"/>
        <v>1</v>
      </c>
      <c r="F341" s="635"/>
      <c r="G341" s="21">
        <f t="shared" si="48"/>
        <v>1</v>
      </c>
      <c r="H341" s="635"/>
      <c r="I341" s="21">
        <f t="shared" si="49"/>
        <v>1</v>
      </c>
      <c r="J341" s="635"/>
      <c r="K341" s="21">
        <f t="shared" si="50"/>
        <v>1</v>
      </c>
      <c r="L341" s="635"/>
      <c r="M341" s="21">
        <f t="shared" si="51"/>
        <v>1</v>
      </c>
      <c r="N341" s="635"/>
      <c r="O341" s="21">
        <f t="shared" si="52"/>
        <v>1</v>
      </c>
      <c r="P341" s="635"/>
      <c r="Q341" s="21">
        <f t="shared" si="53"/>
        <v>1</v>
      </c>
      <c r="R341" s="21">
        <f t="shared" ca="1" si="54"/>
        <v>25634</v>
      </c>
      <c r="S341" s="308">
        <f t="shared" ca="1" si="45"/>
        <v>58</v>
      </c>
    </row>
    <row r="342" spans="1:19">
      <c r="A342" s="633" t="str">
        <f>'12.23面积'!M352</f>
        <v>21-214</v>
      </c>
      <c r="B342" s="633">
        <f>'12.23面积'!N352</f>
        <v>22.66</v>
      </c>
      <c r="C342" s="21">
        <f t="shared" si="46"/>
        <v>1.01</v>
      </c>
      <c r="D342" s="635"/>
      <c r="E342" s="21">
        <f t="shared" si="47"/>
        <v>1</v>
      </c>
      <c r="F342" s="635"/>
      <c r="G342" s="21">
        <f t="shared" si="48"/>
        <v>1</v>
      </c>
      <c r="H342" s="635"/>
      <c r="I342" s="21">
        <f t="shared" si="49"/>
        <v>1</v>
      </c>
      <c r="J342" s="635"/>
      <c r="K342" s="21">
        <f t="shared" si="50"/>
        <v>1</v>
      </c>
      <c r="L342" s="635"/>
      <c r="M342" s="21">
        <f t="shared" si="51"/>
        <v>1</v>
      </c>
      <c r="N342" s="635"/>
      <c r="O342" s="21">
        <f t="shared" si="52"/>
        <v>1</v>
      </c>
      <c r="P342" s="635"/>
      <c r="Q342" s="21">
        <f t="shared" si="53"/>
        <v>1</v>
      </c>
      <c r="R342" s="21">
        <f t="shared" ca="1" si="54"/>
        <v>25634</v>
      </c>
      <c r="S342" s="308">
        <f t="shared" ca="1" si="45"/>
        <v>58</v>
      </c>
    </row>
    <row r="343" spans="1:19">
      <c r="A343" s="633" t="str">
        <f>'12.23面积'!M353</f>
        <v>22-106</v>
      </c>
      <c r="B343" s="633">
        <f>'12.23面积'!N353</f>
        <v>33.869999999999997</v>
      </c>
      <c r="C343" s="21">
        <f t="shared" si="46"/>
        <v>1</v>
      </c>
      <c r="D343" s="635"/>
      <c r="E343" s="21">
        <f t="shared" si="47"/>
        <v>1</v>
      </c>
      <c r="F343" s="635"/>
      <c r="G343" s="21">
        <f t="shared" si="48"/>
        <v>1</v>
      </c>
      <c r="H343" s="635"/>
      <c r="I343" s="21">
        <f t="shared" si="49"/>
        <v>1</v>
      </c>
      <c r="J343" s="635"/>
      <c r="K343" s="21">
        <f t="shared" si="50"/>
        <v>1</v>
      </c>
      <c r="L343" s="635"/>
      <c r="M343" s="21">
        <f t="shared" si="51"/>
        <v>1</v>
      </c>
      <c r="N343" s="635"/>
      <c r="O343" s="21">
        <f t="shared" si="52"/>
        <v>1</v>
      </c>
      <c r="P343" s="635"/>
      <c r="Q343" s="21">
        <f t="shared" si="53"/>
        <v>1</v>
      </c>
      <c r="R343" s="21">
        <f t="shared" ca="1" si="54"/>
        <v>25380</v>
      </c>
      <c r="S343" s="308">
        <f t="shared" ca="1" si="45"/>
        <v>86</v>
      </c>
    </row>
    <row r="344" spans="1:19">
      <c r="A344" s="633" t="str">
        <f>'12.23面积'!M354</f>
        <v>22-107</v>
      </c>
      <c r="B344" s="633">
        <f>'12.23面积'!N354</f>
        <v>62.07</v>
      </c>
      <c r="C344" s="21">
        <f t="shared" si="46"/>
        <v>0.99</v>
      </c>
      <c r="D344" s="635"/>
      <c r="E344" s="21">
        <f t="shared" si="47"/>
        <v>1</v>
      </c>
      <c r="F344" s="635"/>
      <c r="G344" s="21">
        <f t="shared" si="48"/>
        <v>1</v>
      </c>
      <c r="H344" s="635"/>
      <c r="I344" s="21">
        <f t="shared" si="49"/>
        <v>1</v>
      </c>
      <c r="J344" s="635"/>
      <c r="K344" s="21">
        <f t="shared" si="50"/>
        <v>1</v>
      </c>
      <c r="L344" s="635"/>
      <c r="M344" s="21">
        <f t="shared" si="51"/>
        <v>1</v>
      </c>
      <c r="N344" s="635"/>
      <c r="O344" s="21">
        <f t="shared" si="52"/>
        <v>1</v>
      </c>
      <c r="P344" s="635"/>
      <c r="Q344" s="21">
        <f t="shared" si="53"/>
        <v>1</v>
      </c>
      <c r="R344" s="21">
        <f t="shared" ca="1" si="54"/>
        <v>25126</v>
      </c>
      <c r="S344" s="308">
        <f t="shared" ref="S344:S407" ca="1" si="55">ROUND(R344*B344/10000,0)</f>
        <v>156</v>
      </c>
    </row>
    <row r="345" spans="1:19">
      <c r="A345" s="633" t="str">
        <f>'12.23面积'!M355</f>
        <v>22-108</v>
      </c>
      <c r="B345" s="633">
        <f>'12.23面积'!N355</f>
        <v>47.07</v>
      </c>
      <c r="C345" s="21">
        <f t="shared" si="46"/>
        <v>1</v>
      </c>
      <c r="D345" s="635"/>
      <c r="E345" s="21">
        <f t="shared" si="47"/>
        <v>1</v>
      </c>
      <c r="F345" s="635"/>
      <c r="G345" s="21">
        <f t="shared" si="48"/>
        <v>1</v>
      </c>
      <c r="H345" s="635"/>
      <c r="I345" s="21">
        <f t="shared" si="49"/>
        <v>1</v>
      </c>
      <c r="J345" s="635"/>
      <c r="K345" s="21">
        <f t="shared" si="50"/>
        <v>1</v>
      </c>
      <c r="L345" s="635"/>
      <c r="M345" s="21">
        <f t="shared" si="51"/>
        <v>1</v>
      </c>
      <c r="N345" s="635"/>
      <c r="O345" s="21">
        <f t="shared" si="52"/>
        <v>1</v>
      </c>
      <c r="P345" s="635"/>
      <c r="Q345" s="21">
        <f t="shared" si="53"/>
        <v>1</v>
      </c>
      <c r="R345" s="21">
        <f t="shared" ca="1" si="54"/>
        <v>25380</v>
      </c>
      <c r="S345" s="308">
        <f t="shared" ca="1" si="55"/>
        <v>119</v>
      </c>
    </row>
    <row r="346" spans="1:19">
      <c r="A346" s="633" t="str">
        <f>'12.23面积'!M356</f>
        <v>22-109</v>
      </c>
      <c r="B346" s="633">
        <f>'12.23面积'!N356</f>
        <v>47.07</v>
      </c>
      <c r="C346" s="21">
        <f t="shared" ref="C346:C409" si="56">IF(B346="",1,(LOOKUP(B346,$3:$3,$4:$4)-LOOKUP($B$24,$3:$3,$4:$4)+100)/100)</f>
        <v>1</v>
      </c>
      <c r="D346" s="635"/>
      <c r="E346" s="21">
        <f t="shared" ref="E346:E409" si="57">(SUMIF($5:$5,D346,$6:$6)-SUMIF($5:$5,$D$24,$6:$6)+100)/100</f>
        <v>1</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1</v>
      </c>
      <c r="R346" s="21">
        <f t="shared" ref="R346:R409" ca="1" si="64">IF(B346="",0,ROUND($R$24*C346*E346*G346*I346*K346*M346*O346*Q346,0))</f>
        <v>25380</v>
      </c>
      <c r="S346" s="308">
        <f t="shared" ca="1" si="55"/>
        <v>119</v>
      </c>
    </row>
    <row r="347" spans="1:19">
      <c r="A347" s="633" t="str">
        <f>'12.23面积'!M357</f>
        <v>22-110</v>
      </c>
      <c r="B347" s="633">
        <f>'12.23面积'!N357</f>
        <v>62.07</v>
      </c>
      <c r="C347" s="21">
        <f t="shared" si="56"/>
        <v>0.99</v>
      </c>
      <c r="D347" s="635"/>
      <c r="E347" s="21">
        <f t="shared" si="57"/>
        <v>1</v>
      </c>
      <c r="F347" s="635"/>
      <c r="G347" s="21">
        <f t="shared" si="58"/>
        <v>1</v>
      </c>
      <c r="H347" s="635"/>
      <c r="I347" s="21">
        <f t="shared" si="59"/>
        <v>1</v>
      </c>
      <c r="J347" s="635"/>
      <c r="K347" s="21">
        <f t="shared" si="60"/>
        <v>1</v>
      </c>
      <c r="L347" s="635"/>
      <c r="M347" s="21">
        <f t="shared" si="61"/>
        <v>1</v>
      </c>
      <c r="N347" s="635"/>
      <c r="O347" s="21">
        <f t="shared" si="62"/>
        <v>1</v>
      </c>
      <c r="P347" s="635"/>
      <c r="Q347" s="21">
        <f t="shared" si="63"/>
        <v>1</v>
      </c>
      <c r="R347" s="21">
        <f t="shared" ca="1" si="64"/>
        <v>25126</v>
      </c>
      <c r="S347" s="308">
        <f t="shared" ca="1" si="55"/>
        <v>156</v>
      </c>
    </row>
    <row r="348" spans="1:19">
      <c r="A348" s="633" t="str">
        <f>'12.23面积'!M358</f>
        <v>22-111</v>
      </c>
      <c r="B348" s="633">
        <f>'12.23面积'!N358</f>
        <v>33.869999999999997</v>
      </c>
      <c r="C348" s="21">
        <f t="shared" si="56"/>
        <v>1</v>
      </c>
      <c r="D348" s="635"/>
      <c r="E348" s="21">
        <f t="shared" si="57"/>
        <v>1</v>
      </c>
      <c r="F348" s="635"/>
      <c r="G348" s="21">
        <f t="shared" si="58"/>
        <v>1</v>
      </c>
      <c r="H348" s="635"/>
      <c r="I348" s="21">
        <f t="shared" si="59"/>
        <v>1</v>
      </c>
      <c r="J348" s="635"/>
      <c r="K348" s="21">
        <f t="shared" si="60"/>
        <v>1</v>
      </c>
      <c r="L348" s="635"/>
      <c r="M348" s="21">
        <f t="shared" si="61"/>
        <v>1</v>
      </c>
      <c r="N348" s="635"/>
      <c r="O348" s="21">
        <f t="shared" si="62"/>
        <v>1</v>
      </c>
      <c r="P348" s="635"/>
      <c r="Q348" s="21">
        <f t="shared" si="63"/>
        <v>1</v>
      </c>
      <c r="R348" s="21">
        <f t="shared" ca="1" si="64"/>
        <v>25380</v>
      </c>
      <c r="S348" s="308">
        <f t="shared" ca="1" si="55"/>
        <v>86</v>
      </c>
    </row>
    <row r="349" spans="1:19">
      <c r="A349" s="633" t="str">
        <f>'12.23面积'!M359</f>
        <v>22-115</v>
      </c>
      <c r="B349" s="633">
        <f>'12.23面积'!N359</f>
        <v>46.73</v>
      </c>
      <c r="C349" s="21">
        <f t="shared" si="56"/>
        <v>1</v>
      </c>
      <c r="D349" s="635"/>
      <c r="E349" s="21">
        <f t="shared" si="57"/>
        <v>1</v>
      </c>
      <c r="F349" s="635"/>
      <c r="G349" s="21">
        <f t="shared" si="58"/>
        <v>1</v>
      </c>
      <c r="H349" s="635"/>
      <c r="I349" s="21">
        <f t="shared" si="59"/>
        <v>1</v>
      </c>
      <c r="J349" s="635"/>
      <c r="K349" s="21">
        <f t="shared" si="60"/>
        <v>1</v>
      </c>
      <c r="L349" s="635"/>
      <c r="M349" s="21">
        <f t="shared" si="61"/>
        <v>1</v>
      </c>
      <c r="N349" s="635"/>
      <c r="O349" s="21">
        <f t="shared" si="62"/>
        <v>1</v>
      </c>
      <c r="P349" s="635"/>
      <c r="Q349" s="21">
        <f t="shared" si="63"/>
        <v>1</v>
      </c>
      <c r="R349" s="21">
        <f t="shared" ca="1" si="64"/>
        <v>25380</v>
      </c>
      <c r="S349" s="308">
        <f t="shared" ca="1" si="55"/>
        <v>119</v>
      </c>
    </row>
    <row r="350" spans="1:19">
      <c r="A350" s="633" t="str">
        <f>'12.23面积'!M360</f>
        <v>22-116</v>
      </c>
      <c r="B350" s="633">
        <f>'12.23面积'!N360</f>
        <v>62.07</v>
      </c>
      <c r="C350" s="21">
        <f t="shared" si="56"/>
        <v>0.99</v>
      </c>
      <c r="D350" s="635"/>
      <c r="E350" s="21">
        <f t="shared" si="57"/>
        <v>1</v>
      </c>
      <c r="F350" s="635"/>
      <c r="G350" s="21">
        <f t="shared" si="58"/>
        <v>1</v>
      </c>
      <c r="H350" s="635"/>
      <c r="I350" s="21">
        <f t="shared" si="59"/>
        <v>1</v>
      </c>
      <c r="J350" s="635"/>
      <c r="K350" s="21">
        <f t="shared" si="60"/>
        <v>1</v>
      </c>
      <c r="L350" s="635"/>
      <c r="M350" s="21">
        <f t="shared" si="61"/>
        <v>1</v>
      </c>
      <c r="N350" s="635"/>
      <c r="O350" s="21">
        <f t="shared" si="62"/>
        <v>1</v>
      </c>
      <c r="P350" s="635"/>
      <c r="Q350" s="21">
        <f t="shared" si="63"/>
        <v>1</v>
      </c>
      <c r="R350" s="21">
        <f t="shared" ca="1" si="64"/>
        <v>25126</v>
      </c>
      <c r="S350" s="308">
        <f t="shared" ca="1" si="55"/>
        <v>156</v>
      </c>
    </row>
    <row r="351" spans="1:19">
      <c r="A351" s="633" t="str">
        <f>'12.23面积'!M361</f>
        <v>22-117</v>
      </c>
      <c r="B351" s="633">
        <f>'12.23面积'!N361</f>
        <v>33.869999999999997</v>
      </c>
      <c r="C351" s="21">
        <f t="shared" si="56"/>
        <v>1</v>
      </c>
      <c r="D351" s="635"/>
      <c r="E351" s="21">
        <f t="shared" si="57"/>
        <v>1</v>
      </c>
      <c r="F351" s="635"/>
      <c r="G351" s="21">
        <f t="shared" si="58"/>
        <v>1</v>
      </c>
      <c r="H351" s="635"/>
      <c r="I351" s="21">
        <f t="shared" si="59"/>
        <v>1</v>
      </c>
      <c r="J351" s="635"/>
      <c r="K351" s="21">
        <f t="shared" si="60"/>
        <v>1</v>
      </c>
      <c r="L351" s="635"/>
      <c r="M351" s="21">
        <f t="shared" si="61"/>
        <v>1</v>
      </c>
      <c r="N351" s="635"/>
      <c r="O351" s="21">
        <f t="shared" si="62"/>
        <v>1</v>
      </c>
      <c r="P351" s="635"/>
      <c r="Q351" s="21">
        <f t="shared" si="63"/>
        <v>1</v>
      </c>
      <c r="R351" s="21">
        <f t="shared" ca="1" si="64"/>
        <v>25380</v>
      </c>
      <c r="S351" s="308">
        <f t="shared" ca="1" si="55"/>
        <v>86</v>
      </c>
    </row>
    <row r="352" spans="1:19">
      <c r="A352" s="633" t="str">
        <f>'12.23面积'!M362</f>
        <v>22-118</v>
      </c>
      <c r="B352" s="633">
        <f>'12.23面积'!N362</f>
        <v>33.869999999999997</v>
      </c>
      <c r="C352" s="21">
        <f t="shared" si="56"/>
        <v>1</v>
      </c>
      <c r="D352" s="635"/>
      <c r="E352" s="21">
        <f t="shared" si="57"/>
        <v>1</v>
      </c>
      <c r="F352" s="635"/>
      <c r="G352" s="21">
        <f t="shared" si="58"/>
        <v>1</v>
      </c>
      <c r="H352" s="635"/>
      <c r="I352" s="21">
        <f t="shared" si="59"/>
        <v>1</v>
      </c>
      <c r="J352" s="635"/>
      <c r="K352" s="21">
        <f t="shared" si="60"/>
        <v>1</v>
      </c>
      <c r="L352" s="635"/>
      <c r="M352" s="21">
        <f t="shared" si="61"/>
        <v>1</v>
      </c>
      <c r="N352" s="635"/>
      <c r="O352" s="21">
        <f t="shared" si="62"/>
        <v>1</v>
      </c>
      <c r="P352" s="635"/>
      <c r="Q352" s="21">
        <f t="shared" si="63"/>
        <v>1</v>
      </c>
      <c r="R352" s="21">
        <f t="shared" ca="1" si="64"/>
        <v>25380</v>
      </c>
      <c r="S352" s="308">
        <f t="shared" ca="1" si="55"/>
        <v>86</v>
      </c>
    </row>
    <row r="353" spans="1:19">
      <c r="A353" s="633" t="str">
        <f>'12.23面积'!M363</f>
        <v>22-119</v>
      </c>
      <c r="B353" s="633">
        <f>'12.23面积'!N363</f>
        <v>62.35</v>
      </c>
      <c r="C353" s="21">
        <f t="shared" si="56"/>
        <v>0.99</v>
      </c>
      <c r="D353" s="635"/>
      <c r="E353" s="21">
        <f t="shared" si="57"/>
        <v>1</v>
      </c>
      <c r="F353" s="635"/>
      <c r="G353" s="21">
        <f t="shared" si="58"/>
        <v>1</v>
      </c>
      <c r="H353" s="635"/>
      <c r="I353" s="21">
        <f t="shared" si="59"/>
        <v>1</v>
      </c>
      <c r="J353" s="635"/>
      <c r="K353" s="21">
        <f t="shared" si="60"/>
        <v>1</v>
      </c>
      <c r="L353" s="635"/>
      <c r="M353" s="21">
        <f t="shared" si="61"/>
        <v>1</v>
      </c>
      <c r="N353" s="635"/>
      <c r="O353" s="21">
        <f t="shared" si="62"/>
        <v>1</v>
      </c>
      <c r="P353" s="635"/>
      <c r="Q353" s="21">
        <f t="shared" si="63"/>
        <v>1</v>
      </c>
      <c r="R353" s="21">
        <f t="shared" ca="1" si="64"/>
        <v>25126</v>
      </c>
      <c r="S353" s="308">
        <f t="shared" ca="1" si="55"/>
        <v>157</v>
      </c>
    </row>
    <row r="354" spans="1:19">
      <c r="A354" s="633" t="str">
        <f>'12.23面积'!M364</f>
        <v>22-120</v>
      </c>
      <c r="B354" s="633">
        <f>'12.23面积'!N364</f>
        <v>56.69</v>
      </c>
      <c r="C354" s="21">
        <f t="shared" si="56"/>
        <v>1</v>
      </c>
      <c r="D354" s="635"/>
      <c r="E354" s="21">
        <f t="shared" si="57"/>
        <v>1</v>
      </c>
      <c r="F354" s="635"/>
      <c r="G354" s="21">
        <f t="shared" si="58"/>
        <v>1</v>
      </c>
      <c r="H354" s="635"/>
      <c r="I354" s="21">
        <f t="shared" si="59"/>
        <v>1</v>
      </c>
      <c r="J354" s="635"/>
      <c r="K354" s="21">
        <f t="shared" si="60"/>
        <v>1</v>
      </c>
      <c r="L354" s="635"/>
      <c r="M354" s="21">
        <f t="shared" si="61"/>
        <v>1</v>
      </c>
      <c r="N354" s="635"/>
      <c r="O354" s="21">
        <f t="shared" si="62"/>
        <v>1</v>
      </c>
      <c r="P354" s="635"/>
      <c r="Q354" s="21">
        <f t="shared" si="63"/>
        <v>1</v>
      </c>
      <c r="R354" s="21">
        <f t="shared" ca="1" si="64"/>
        <v>25380</v>
      </c>
      <c r="S354" s="308">
        <f t="shared" ca="1" si="55"/>
        <v>144</v>
      </c>
    </row>
    <row r="355" spans="1:19">
      <c r="A355" s="633" t="str">
        <f>'12.23面积'!M365</f>
        <v>22-121</v>
      </c>
      <c r="B355" s="633">
        <f>'12.23面积'!N365</f>
        <v>30.6</v>
      </c>
      <c r="C355" s="21">
        <f t="shared" si="56"/>
        <v>1</v>
      </c>
      <c r="D355" s="635"/>
      <c r="E355" s="21">
        <f t="shared" si="57"/>
        <v>1</v>
      </c>
      <c r="F355" s="635"/>
      <c r="G355" s="21">
        <f t="shared" si="58"/>
        <v>1</v>
      </c>
      <c r="H355" s="635"/>
      <c r="I355" s="21">
        <f t="shared" si="59"/>
        <v>1</v>
      </c>
      <c r="J355" s="635"/>
      <c r="K355" s="21">
        <f t="shared" si="60"/>
        <v>1</v>
      </c>
      <c r="L355" s="635"/>
      <c r="M355" s="21">
        <f t="shared" si="61"/>
        <v>1</v>
      </c>
      <c r="N355" s="635"/>
      <c r="O355" s="21">
        <f t="shared" si="62"/>
        <v>1</v>
      </c>
      <c r="P355" s="635"/>
      <c r="Q355" s="21">
        <f t="shared" si="63"/>
        <v>1</v>
      </c>
      <c r="R355" s="21">
        <f t="shared" ca="1" si="64"/>
        <v>25380</v>
      </c>
      <c r="S355" s="308">
        <f t="shared" ca="1" si="55"/>
        <v>78</v>
      </c>
    </row>
    <row r="356" spans="1:19">
      <c r="A356" s="633" t="str">
        <f>'12.23面积'!M366</f>
        <v>22-122</v>
      </c>
      <c r="B356" s="633">
        <f>'12.23面积'!N366</f>
        <v>25.04</v>
      </c>
      <c r="C356" s="21">
        <f t="shared" si="56"/>
        <v>1.01</v>
      </c>
      <c r="D356" s="635"/>
      <c r="E356" s="21">
        <f t="shared" si="57"/>
        <v>1</v>
      </c>
      <c r="F356" s="635"/>
      <c r="G356" s="21">
        <f t="shared" si="58"/>
        <v>1</v>
      </c>
      <c r="H356" s="635"/>
      <c r="I356" s="21">
        <f t="shared" si="59"/>
        <v>1</v>
      </c>
      <c r="J356" s="635"/>
      <c r="K356" s="21">
        <f t="shared" si="60"/>
        <v>1</v>
      </c>
      <c r="L356" s="635"/>
      <c r="M356" s="21">
        <f t="shared" si="61"/>
        <v>1</v>
      </c>
      <c r="N356" s="635"/>
      <c r="O356" s="21">
        <f t="shared" si="62"/>
        <v>1</v>
      </c>
      <c r="P356" s="635"/>
      <c r="Q356" s="21">
        <f t="shared" si="63"/>
        <v>1</v>
      </c>
      <c r="R356" s="21">
        <f t="shared" ca="1" si="64"/>
        <v>25634</v>
      </c>
      <c r="S356" s="308">
        <f t="shared" ca="1" si="55"/>
        <v>64</v>
      </c>
    </row>
    <row r="357" spans="1:19">
      <c r="A357" s="633" t="str">
        <f>'12.23面积'!M367</f>
        <v>22-123</v>
      </c>
      <c r="B357" s="633">
        <f>'12.23面积'!N367</f>
        <v>28.34</v>
      </c>
      <c r="C357" s="21">
        <f t="shared" si="56"/>
        <v>1.01</v>
      </c>
      <c r="D357" s="635"/>
      <c r="E357" s="21">
        <f t="shared" si="57"/>
        <v>1</v>
      </c>
      <c r="F357" s="635"/>
      <c r="G357" s="21">
        <f t="shared" si="58"/>
        <v>1</v>
      </c>
      <c r="H357" s="635"/>
      <c r="I357" s="21">
        <f t="shared" si="59"/>
        <v>1</v>
      </c>
      <c r="J357" s="635"/>
      <c r="K357" s="21">
        <f t="shared" si="60"/>
        <v>1</v>
      </c>
      <c r="L357" s="635"/>
      <c r="M357" s="21">
        <f t="shared" si="61"/>
        <v>1</v>
      </c>
      <c r="N357" s="635"/>
      <c r="O357" s="21">
        <f t="shared" si="62"/>
        <v>1</v>
      </c>
      <c r="P357" s="635"/>
      <c r="Q357" s="21">
        <f t="shared" si="63"/>
        <v>1</v>
      </c>
      <c r="R357" s="21">
        <f t="shared" ca="1" si="64"/>
        <v>25634</v>
      </c>
      <c r="S357" s="308">
        <f t="shared" ca="1" si="55"/>
        <v>73</v>
      </c>
    </row>
    <row r="358" spans="1:19">
      <c r="A358" s="633" t="str">
        <f>'12.23面积'!M368</f>
        <v>22-124</v>
      </c>
      <c r="B358" s="633">
        <f>'12.23面积'!N368</f>
        <v>28.34</v>
      </c>
      <c r="C358" s="21">
        <f t="shared" si="56"/>
        <v>1.01</v>
      </c>
      <c r="D358" s="635"/>
      <c r="E358" s="21">
        <f t="shared" si="57"/>
        <v>1</v>
      </c>
      <c r="F358" s="635"/>
      <c r="G358" s="21">
        <f t="shared" si="58"/>
        <v>1</v>
      </c>
      <c r="H358" s="635"/>
      <c r="I358" s="21">
        <f t="shared" si="59"/>
        <v>1</v>
      </c>
      <c r="J358" s="635"/>
      <c r="K358" s="21">
        <f t="shared" si="60"/>
        <v>1</v>
      </c>
      <c r="L358" s="635"/>
      <c r="M358" s="21">
        <f t="shared" si="61"/>
        <v>1</v>
      </c>
      <c r="N358" s="635"/>
      <c r="O358" s="21">
        <f t="shared" si="62"/>
        <v>1</v>
      </c>
      <c r="P358" s="635"/>
      <c r="Q358" s="21">
        <f t="shared" si="63"/>
        <v>1</v>
      </c>
      <c r="R358" s="21">
        <f t="shared" ca="1" si="64"/>
        <v>25634</v>
      </c>
      <c r="S358" s="308">
        <f t="shared" ca="1" si="55"/>
        <v>73</v>
      </c>
    </row>
    <row r="359" spans="1:19">
      <c r="A359" s="633" t="str">
        <f>'12.23面积'!M369</f>
        <v>22-125</v>
      </c>
      <c r="B359" s="633">
        <f>'12.23面积'!N369</f>
        <v>22.15</v>
      </c>
      <c r="C359" s="21">
        <f t="shared" si="56"/>
        <v>1.01</v>
      </c>
      <c r="D359" s="635"/>
      <c r="E359" s="21">
        <f t="shared" si="57"/>
        <v>1</v>
      </c>
      <c r="F359" s="635"/>
      <c r="G359" s="21">
        <f t="shared" si="58"/>
        <v>1</v>
      </c>
      <c r="H359" s="635"/>
      <c r="I359" s="21">
        <f t="shared" si="59"/>
        <v>1</v>
      </c>
      <c r="J359" s="635"/>
      <c r="K359" s="21">
        <f t="shared" si="60"/>
        <v>1</v>
      </c>
      <c r="L359" s="635"/>
      <c r="M359" s="21">
        <f t="shared" si="61"/>
        <v>1</v>
      </c>
      <c r="N359" s="635"/>
      <c r="O359" s="21">
        <f t="shared" si="62"/>
        <v>1</v>
      </c>
      <c r="P359" s="635"/>
      <c r="Q359" s="21">
        <f t="shared" si="63"/>
        <v>1</v>
      </c>
      <c r="R359" s="21">
        <f t="shared" ca="1" si="64"/>
        <v>25634</v>
      </c>
      <c r="S359" s="308">
        <f t="shared" ca="1" si="55"/>
        <v>57</v>
      </c>
    </row>
    <row r="360" spans="1:19">
      <c r="A360" s="633" t="str">
        <f>'12.23面积'!M370</f>
        <v>22-126</v>
      </c>
      <c r="B360" s="633">
        <f>'12.23面积'!N370</f>
        <v>42.9</v>
      </c>
      <c r="C360" s="21">
        <f t="shared" si="56"/>
        <v>1</v>
      </c>
      <c r="D360" s="635"/>
      <c r="E360" s="21">
        <f t="shared" si="57"/>
        <v>1</v>
      </c>
      <c r="F360" s="635"/>
      <c r="G360" s="21">
        <f t="shared" si="58"/>
        <v>1</v>
      </c>
      <c r="H360" s="635"/>
      <c r="I360" s="21">
        <f t="shared" si="59"/>
        <v>1</v>
      </c>
      <c r="J360" s="635"/>
      <c r="K360" s="21">
        <f t="shared" si="60"/>
        <v>1</v>
      </c>
      <c r="L360" s="635"/>
      <c r="M360" s="21">
        <f t="shared" si="61"/>
        <v>1</v>
      </c>
      <c r="N360" s="635"/>
      <c r="O360" s="21">
        <f t="shared" si="62"/>
        <v>1</v>
      </c>
      <c r="P360" s="635"/>
      <c r="Q360" s="21">
        <f t="shared" si="63"/>
        <v>1</v>
      </c>
      <c r="R360" s="21">
        <f t="shared" ca="1" si="64"/>
        <v>25380</v>
      </c>
      <c r="S360" s="308">
        <f t="shared" ca="1" si="55"/>
        <v>109</v>
      </c>
    </row>
    <row r="361" spans="1:19">
      <c r="A361" s="633" t="str">
        <f>'12.23面积'!M371</f>
        <v>22-127</v>
      </c>
      <c r="B361" s="633">
        <f>'12.23面积'!N371</f>
        <v>42.8</v>
      </c>
      <c r="C361" s="21">
        <f t="shared" si="56"/>
        <v>1</v>
      </c>
      <c r="D361" s="635"/>
      <c r="E361" s="21">
        <f t="shared" si="57"/>
        <v>1</v>
      </c>
      <c r="F361" s="635"/>
      <c r="G361" s="21">
        <f t="shared" si="58"/>
        <v>1</v>
      </c>
      <c r="H361" s="635"/>
      <c r="I361" s="21">
        <f t="shared" si="59"/>
        <v>1</v>
      </c>
      <c r="J361" s="635"/>
      <c r="K361" s="21">
        <f t="shared" si="60"/>
        <v>1</v>
      </c>
      <c r="L361" s="635"/>
      <c r="M361" s="21">
        <f t="shared" si="61"/>
        <v>1</v>
      </c>
      <c r="N361" s="635"/>
      <c r="O361" s="21">
        <f t="shared" si="62"/>
        <v>1</v>
      </c>
      <c r="P361" s="635"/>
      <c r="Q361" s="21">
        <f t="shared" si="63"/>
        <v>1</v>
      </c>
      <c r="R361" s="21">
        <f t="shared" ca="1" si="64"/>
        <v>25380</v>
      </c>
      <c r="S361" s="308">
        <f t="shared" ca="1" si="55"/>
        <v>109</v>
      </c>
    </row>
    <row r="362" spans="1:19">
      <c r="A362" s="633" t="str">
        <f>'12.23面积'!M372</f>
        <v>22-202</v>
      </c>
      <c r="B362" s="633">
        <f>'12.23面积'!N372</f>
        <v>19.829999999999998</v>
      </c>
      <c r="C362" s="21">
        <f t="shared" si="56"/>
        <v>1.01</v>
      </c>
      <c r="D362" s="635"/>
      <c r="E362" s="21">
        <f t="shared" si="57"/>
        <v>1</v>
      </c>
      <c r="F362" s="635"/>
      <c r="G362" s="21">
        <f t="shared" si="58"/>
        <v>1</v>
      </c>
      <c r="H362" s="635"/>
      <c r="I362" s="21">
        <f t="shared" si="59"/>
        <v>1</v>
      </c>
      <c r="J362" s="635"/>
      <c r="K362" s="21">
        <f t="shared" si="60"/>
        <v>1</v>
      </c>
      <c r="L362" s="635"/>
      <c r="M362" s="21">
        <f t="shared" si="61"/>
        <v>1</v>
      </c>
      <c r="N362" s="635"/>
      <c r="O362" s="21">
        <f t="shared" si="62"/>
        <v>1</v>
      </c>
      <c r="P362" s="635"/>
      <c r="Q362" s="21">
        <f t="shared" si="63"/>
        <v>1</v>
      </c>
      <c r="R362" s="21">
        <f t="shared" ca="1" si="64"/>
        <v>25634</v>
      </c>
      <c r="S362" s="308">
        <f t="shared" ca="1" si="55"/>
        <v>51</v>
      </c>
    </row>
    <row r="363" spans="1:19">
      <c r="A363" s="633" t="str">
        <f>'12.23面积'!M373</f>
        <v>22-203</v>
      </c>
      <c r="B363" s="633">
        <f>'12.23面积'!N373</f>
        <v>19.829999999999998</v>
      </c>
      <c r="C363" s="21">
        <f t="shared" si="56"/>
        <v>1.01</v>
      </c>
      <c r="D363" s="635"/>
      <c r="E363" s="21">
        <f t="shared" si="57"/>
        <v>1</v>
      </c>
      <c r="F363" s="635"/>
      <c r="G363" s="21">
        <f t="shared" si="58"/>
        <v>1</v>
      </c>
      <c r="H363" s="635"/>
      <c r="I363" s="21">
        <f t="shared" si="59"/>
        <v>1</v>
      </c>
      <c r="J363" s="635"/>
      <c r="K363" s="21">
        <f t="shared" si="60"/>
        <v>1</v>
      </c>
      <c r="L363" s="635"/>
      <c r="M363" s="21">
        <f t="shared" si="61"/>
        <v>1</v>
      </c>
      <c r="N363" s="635"/>
      <c r="O363" s="21">
        <f t="shared" si="62"/>
        <v>1</v>
      </c>
      <c r="P363" s="635"/>
      <c r="Q363" s="21">
        <f t="shared" si="63"/>
        <v>1</v>
      </c>
      <c r="R363" s="21">
        <f t="shared" ca="1" si="64"/>
        <v>25634</v>
      </c>
      <c r="S363" s="308">
        <f t="shared" ca="1" si="55"/>
        <v>51</v>
      </c>
    </row>
    <row r="364" spans="1:19">
      <c r="A364" s="633" t="str">
        <f>'12.23面积'!M374</f>
        <v>22-205</v>
      </c>
      <c r="B364" s="633">
        <f>'12.23面积'!N374</f>
        <v>19.829999999999998</v>
      </c>
      <c r="C364" s="21">
        <f t="shared" si="56"/>
        <v>1.01</v>
      </c>
      <c r="D364" s="635"/>
      <c r="E364" s="21">
        <f t="shared" si="57"/>
        <v>1</v>
      </c>
      <c r="F364" s="635"/>
      <c r="G364" s="21">
        <f t="shared" si="58"/>
        <v>1</v>
      </c>
      <c r="H364" s="635"/>
      <c r="I364" s="21">
        <f t="shared" si="59"/>
        <v>1</v>
      </c>
      <c r="J364" s="635"/>
      <c r="K364" s="21">
        <f t="shared" si="60"/>
        <v>1</v>
      </c>
      <c r="L364" s="635"/>
      <c r="M364" s="21">
        <f t="shared" si="61"/>
        <v>1</v>
      </c>
      <c r="N364" s="635"/>
      <c r="O364" s="21">
        <f t="shared" si="62"/>
        <v>1</v>
      </c>
      <c r="P364" s="635"/>
      <c r="Q364" s="21">
        <f t="shared" si="63"/>
        <v>1</v>
      </c>
      <c r="R364" s="21">
        <f t="shared" ca="1" si="64"/>
        <v>25634</v>
      </c>
      <c r="S364" s="308">
        <f t="shared" ca="1" si="55"/>
        <v>51</v>
      </c>
    </row>
    <row r="365" spans="1:19">
      <c r="A365" s="633" t="str">
        <f>'12.23面积'!M375</f>
        <v>22-206</v>
      </c>
      <c r="B365" s="633">
        <f>'12.23面积'!N375</f>
        <v>19.829999999999998</v>
      </c>
      <c r="C365" s="21">
        <f t="shared" si="56"/>
        <v>1.01</v>
      </c>
      <c r="D365" s="635"/>
      <c r="E365" s="21">
        <f t="shared" si="57"/>
        <v>1</v>
      </c>
      <c r="F365" s="635"/>
      <c r="G365" s="21">
        <f t="shared" si="58"/>
        <v>1</v>
      </c>
      <c r="H365" s="635"/>
      <c r="I365" s="21">
        <f t="shared" si="59"/>
        <v>1</v>
      </c>
      <c r="J365" s="635"/>
      <c r="K365" s="21">
        <f t="shared" si="60"/>
        <v>1</v>
      </c>
      <c r="L365" s="635"/>
      <c r="M365" s="21">
        <f t="shared" si="61"/>
        <v>1</v>
      </c>
      <c r="N365" s="635"/>
      <c r="O365" s="21">
        <f t="shared" si="62"/>
        <v>1</v>
      </c>
      <c r="P365" s="635"/>
      <c r="Q365" s="21">
        <f t="shared" si="63"/>
        <v>1</v>
      </c>
      <c r="R365" s="21">
        <f t="shared" ca="1" si="64"/>
        <v>25634</v>
      </c>
      <c r="S365" s="308">
        <f t="shared" ca="1" si="55"/>
        <v>51</v>
      </c>
    </row>
    <row r="366" spans="1:19">
      <c r="A366" s="633" t="str">
        <f>'12.23面积'!M376</f>
        <v>22-207</v>
      </c>
      <c r="B366" s="633">
        <f>'12.23面积'!N376</f>
        <v>23.64</v>
      </c>
      <c r="C366" s="21">
        <f t="shared" si="56"/>
        <v>1.01</v>
      </c>
      <c r="D366" s="635"/>
      <c r="E366" s="21">
        <f t="shared" si="57"/>
        <v>1</v>
      </c>
      <c r="F366" s="635"/>
      <c r="G366" s="21">
        <f t="shared" si="58"/>
        <v>1</v>
      </c>
      <c r="H366" s="635"/>
      <c r="I366" s="21">
        <f t="shared" si="59"/>
        <v>1</v>
      </c>
      <c r="J366" s="635"/>
      <c r="K366" s="21">
        <f t="shared" si="60"/>
        <v>1</v>
      </c>
      <c r="L366" s="635"/>
      <c r="M366" s="21">
        <f t="shared" si="61"/>
        <v>1</v>
      </c>
      <c r="N366" s="635"/>
      <c r="O366" s="21">
        <f t="shared" si="62"/>
        <v>1</v>
      </c>
      <c r="P366" s="635"/>
      <c r="Q366" s="21">
        <f t="shared" si="63"/>
        <v>1</v>
      </c>
      <c r="R366" s="21">
        <f t="shared" ca="1" si="64"/>
        <v>25634</v>
      </c>
      <c r="S366" s="308">
        <f t="shared" ca="1" si="55"/>
        <v>61</v>
      </c>
    </row>
    <row r="367" spans="1:19">
      <c r="A367" s="633" t="str">
        <f>'12.23面积'!M377</f>
        <v>24-101</v>
      </c>
      <c r="B367" s="633">
        <f>'12.23面积'!N377</f>
        <v>24.31</v>
      </c>
      <c r="C367" s="21">
        <f t="shared" si="56"/>
        <v>1.01</v>
      </c>
      <c r="D367" s="635"/>
      <c r="E367" s="21">
        <f t="shared" si="57"/>
        <v>1</v>
      </c>
      <c r="F367" s="635"/>
      <c r="G367" s="21">
        <f t="shared" si="58"/>
        <v>1</v>
      </c>
      <c r="H367" s="635"/>
      <c r="I367" s="21">
        <f t="shared" si="59"/>
        <v>1</v>
      </c>
      <c r="J367" s="635"/>
      <c r="K367" s="21">
        <f t="shared" si="60"/>
        <v>1</v>
      </c>
      <c r="L367" s="635"/>
      <c r="M367" s="21">
        <f t="shared" si="61"/>
        <v>1</v>
      </c>
      <c r="N367" s="635"/>
      <c r="O367" s="21">
        <f t="shared" si="62"/>
        <v>1</v>
      </c>
      <c r="P367" s="635"/>
      <c r="Q367" s="21">
        <f t="shared" si="63"/>
        <v>1</v>
      </c>
      <c r="R367" s="21">
        <f t="shared" ca="1" si="64"/>
        <v>25634</v>
      </c>
      <c r="S367" s="308">
        <f t="shared" ca="1" si="55"/>
        <v>62</v>
      </c>
    </row>
    <row r="368" spans="1:19">
      <c r="A368" s="633" t="str">
        <f>'12.23面积'!M378</f>
        <v>24-102</v>
      </c>
      <c r="B368" s="633">
        <f>'12.23面积'!N378</f>
        <v>30.33</v>
      </c>
      <c r="C368" s="21">
        <f t="shared" si="56"/>
        <v>1</v>
      </c>
      <c r="D368" s="635"/>
      <c r="E368" s="21">
        <f t="shared" si="57"/>
        <v>1</v>
      </c>
      <c r="F368" s="635"/>
      <c r="G368" s="21">
        <f t="shared" si="58"/>
        <v>1</v>
      </c>
      <c r="H368" s="635"/>
      <c r="I368" s="21">
        <f t="shared" si="59"/>
        <v>1</v>
      </c>
      <c r="J368" s="635"/>
      <c r="K368" s="21">
        <f t="shared" si="60"/>
        <v>1</v>
      </c>
      <c r="L368" s="635"/>
      <c r="M368" s="21">
        <f t="shared" si="61"/>
        <v>1</v>
      </c>
      <c r="N368" s="635"/>
      <c r="O368" s="21">
        <f t="shared" si="62"/>
        <v>1</v>
      </c>
      <c r="P368" s="635"/>
      <c r="Q368" s="21">
        <f t="shared" si="63"/>
        <v>1</v>
      </c>
      <c r="R368" s="21">
        <f t="shared" ca="1" si="64"/>
        <v>25380</v>
      </c>
      <c r="S368" s="308">
        <f t="shared" ca="1" si="55"/>
        <v>77</v>
      </c>
    </row>
    <row r="369" spans="1:19">
      <c r="A369" s="633" t="str">
        <f>'12.23面积'!M379</f>
        <v>24-103</v>
      </c>
      <c r="B369" s="633">
        <f>'12.23面积'!N379</f>
        <v>56.2</v>
      </c>
      <c r="C369" s="21">
        <f t="shared" si="56"/>
        <v>1</v>
      </c>
      <c r="D369" s="635"/>
      <c r="E369" s="21">
        <f t="shared" si="57"/>
        <v>1</v>
      </c>
      <c r="F369" s="635"/>
      <c r="G369" s="21">
        <f t="shared" si="58"/>
        <v>1</v>
      </c>
      <c r="H369" s="635"/>
      <c r="I369" s="21">
        <f t="shared" si="59"/>
        <v>1</v>
      </c>
      <c r="J369" s="635"/>
      <c r="K369" s="21">
        <f t="shared" si="60"/>
        <v>1</v>
      </c>
      <c r="L369" s="635"/>
      <c r="M369" s="21">
        <f t="shared" si="61"/>
        <v>1</v>
      </c>
      <c r="N369" s="635"/>
      <c r="O369" s="21">
        <f t="shared" si="62"/>
        <v>1</v>
      </c>
      <c r="P369" s="635"/>
      <c r="Q369" s="21">
        <f t="shared" si="63"/>
        <v>1</v>
      </c>
      <c r="R369" s="21">
        <f t="shared" ca="1" si="64"/>
        <v>25380</v>
      </c>
      <c r="S369" s="308">
        <f t="shared" ca="1" si="55"/>
        <v>143</v>
      </c>
    </row>
    <row r="370" spans="1:19">
      <c r="A370" s="633" t="str">
        <f>'12.23面积'!M380</f>
        <v>24-104</v>
      </c>
      <c r="B370" s="633">
        <f>'12.23面积'!N380</f>
        <v>61.81</v>
      </c>
      <c r="C370" s="21">
        <f t="shared" si="56"/>
        <v>0.99</v>
      </c>
      <c r="D370" s="635"/>
      <c r="E370" s="21">
        <f t="shared" si="57"/>
        <v>1</v>
      </c>
      <c r="F370" s="635"/>
      <c r="G370" s="21">
        <f t="shared" si="58"/>
        <v>1</v>
      </c>
      <c r="H370" s="635"/>
      <c r="I370" s="21">
        <f t="shared" si="59"/>
        <v>1</v>
      </c>
      <c r="J370" s="635"/>
      <c r="K370" s="21">
        <f t="shared" si="60"/>
        <v>1</v>
      </c>
      <c r="L370" s="635"/>
      <c r="M370" s="21">
        <f t="shared" si="61"/>
        <v>1</v>
      </c>
      <c r="N370" s="635"/>
      <c r="O370" s="21">
        <f t="shared" si="62"/>
        <v>1</v>
      </c>
      <c r="P370" s="635"/>
      <c r="Q370" s="21">
        <f t="shared" si="63"/>
        <v>1</v>
      </c>
      <c r="R370" s="21">
        <f t="shared" ca="1" si="64"/>
        <v>25126</v>
      </c>
      <c r="S370" s="308">
        <f t="shared" ca="1" si="55"/>
        <v>155</v>
      </c>
    </row>
    <row r="371" spans="1:19">
      <c r="A371" s="633" t="str">
        <f>'12.23面积'!M381</f>
        <v>24-105</v>
      </c>
      <c r="B371" s="633">
        <f>'12.23面积'!N381</f>
        <v>33.22</v>
      </c>
      <c r="C371" s="21">
        <f t="shared" si="56"/>
        <v>1</v>
      </c>
      <c r="D371" s="635"/>
      <c r="E371" s="21">
        <f t="shared" si="57"/>
        <v>1</v>
      </c>
      <c r="F371" s="635"/>
      <c r="G371" s="21">
        <f t="shared" si="58"/>
        <v>1</v>
      </c>
      <c r="H371" s="635"/>
      <c r="I371" s="21">
        <f t="shared" si="59"/>
        <v>1</v>
      </c>
      <c r="J371" s="635"/>
      <c r="K371" s="21">
        <f t="shared" si="60"/>
        <v>1</v>
      </c>
      <c r="L371" s="635"/>
      <c r="M371" s="21">
        <f t="shared" si="61"/>
        <v>1</v>
      </c>
      <c r="N371" s="635"/>
      <c r="O371" s="21">
        <f t="shared" si="62"/>
        <v>1</v>
      </c>
      <c r="P371" s="635"/>
      <c r="Q371" s="21">
        <f t="shared" si="63"/>
        <v>1</v>
      </c>
      <c r="R371" s="21">
        <f t="shared" ca="1" si="64"/>
        <v>25380</v>
      </c>
      <c r="S371" s="308">
        <f t="shared" ca="1" si="55"/>
        <v>84</v>
      </c>
    </row>
    <row r="372" spans="1:19">
      <c r="A372" s="633" t="str">
        <f>'12.23面积'!M382</f>
        <v>24-106</v>
      </c>
      <c r="B372" s="633">
        <f>'12.23面积'!N382</f>
        <v>33.22</v>
      </c>
      <c r="C372" s="21">
        <f t="shared" si="56"/>
        <v>1</v>
      </c>
      <c r="D372" s="635"/>
      <c r="E372" s="21">
        <f t="shared" si="57"/>
        <v>1</v>
      </c>
      <c r="F372" s="635"/>
      <c r="G372" s="21">
        <f t="shared" si="58"/>
        <v>1</v>
      </c>
      <c r="H372" s="635"/>
      <c r="I372" s="21">
        <f t="shared" si="59"/>
        <v>1</v>
      </c>
      <c r="J372" s="635"/>
      <c r="K372" s="21">
        <f t="shared" si="60"/>
        <v>1</v>
      </c>
      <c r="L372" s="635"/>
      <c r="M372" s="21">
        <f t="shared" si="61"/>
        <v>1</v>
      </c>
      <c r="N372" s="635"/>
      <c r="O372" s="21">
        <f t="shared" si="62"/>
        <v>1</v>
      </c>
      <c r="P372" s="635"/>
      <c r="Q372" s="21">
        <f t="shared" si="63"/>
        <v>1</v>
      </c>
      <c r="R372" s="21">
        <f t="shared" ca="1" si="64"/>
        <v>25380</v>
      </c>
      <c r="S372" s="308">
        <f t="shared" ca="1" si="55"/>
        <v>84</v>
      </c>
    </row>
    <row r="373" spans="1:19">
      <c r="A373" s="633" t="str">
        <f>'12.23面积'!M383</f>
        <v>24-107</v>
      </c>
      <c r="B373" s="633">
        <f>'12.23面积'!N383</f>
        <v>61.53</v>
      </c>
      <c r="C373" s="21">
        <f t="shared" si="56"/>
        <v>0.99</v>
      </c>
      <c r="D373" s="635"/>
      <c r="E373" s="21">
        <f t="shared" si="57"/>
        <v>1</v>
      </c>
      <c r="F373" s="635"/>
      <c r="G373" s="21">
        <f t="shared" si="58"/>
        <v>1</v>
      </c>
      <c r="H373" s="635"/>
      <c r="I373" s="21">
        <f t="shared" si="59"/>
        <v>1</v>
      </c>
      <c r="J373" s="635"/>
      <c r="K373" s="21">
        <f t="shared" si="60"/>
        <v>1</v>
      </c>
      <c r="L373" s="635"/>
      <c r="M373" s="21">
        <f t="shared" si="61"/>
        <v>1</v>
      </c>
      <c r="N373" s="635"/>
      <c r="O373" s="21">
        <f t="shared" si="62"/>
        <v>1</v>
      </c>
      <c r="P373" s="635"/>
      <c r="Q373" s="21">
        <f t="shared" si="63"/>
        <v>1</v>
      </c>
      <c r="R373" s="21">
        <f t="shared" ca="1" si="64"/>
        <v>25126</v>
      </c>
      <c r="S373" s="308">
        <f t="shared" ca="1" si="55"/>
        <v>155</v>
      </c>
    </row>
    <row r="374" spans="1:19">
      <c r="A374" s="633" t="str">
        <f>'12.23面积'!M384</f>
        <v>24-108</v>
      </c>
      <c r="B374" s="633">
        <f>'12.23面积'!N384</f>
        <v>46.65</v>
      </c>
      <c r="C374" s="21">
        <f t="shared" si="56"/>
        <v>1</v>
      </c>
      <c r="D374" s="635"/>
      <c r="E374" s="21">
        <f t="shared" si="57"/>
        <v>1</v>
      </c>
      <c r="F374" s="635"/>
      <c r="G374" s="21">
        <f t="shared" si="58"/>
        <v>1</v>
      </c>
      <c r="H374" s="635"/>
      <c r="I374" s="21">
        <f t="shared" si="59"/>
        <v>1</v>
      </c>
      <c r="J374" s="635"/>
      <c r="K374" s="21">
        <f t="shared" si="60"/>
        <v>1</v>
      </c>
      <c r="L374" s="635"/>
      <c r="M374" s="21">
        <f t="shared" si="61"/>
        <v>1</v>
      </c>
      <c r="N374" s="635"/>
      <c r="O374" s="21">
        <f t="shared" si="62"/>
        <v>1</v>
      </c>
      <c r="P374" s="635"/>
      <c r="Q374" s="21">
        <f t="shared" si="63"/>
        <v>1</v>
      </c>
      <c r="R374" s="21">
        <f t="shared" ca="1" si="64"/>
        <v>25380</v>
      </c>
      <c r="S374" s="308">
        <f t="shared" ca="1" si="55"/>
        <v>118</v>
      </c>
    </row>
    <row r="375" spans="1:19">
      <c r="A375" s="633" t="str">
        <f>'12.23面积'!M385</f>
        <v>24-109</v>
      </c>
      <c r="B375" s="633">
        <f>'12.23面积'!N385</f>
        <v>46.65</v>
      </c>
      <c r="C375" s="21">
        <f t="shared" si="56"/>
        <v>1</v>
      </c>
      <c r="D375" s="635"/>
      <c r="E375" s="21">
        <f t="shared" si="57"/>
        <v>1</v>
      </c>
      <c r="F375" s="635"/>
      <c r="G375" s="21">
        <f t="shared" si="58"/>
        <v>1</v>
      </c>
      <c r="H375" s="635"/>
      <c r="I375" s="21">
        <f t="shared" si="59"/>
        <v>1</v>
      </c>
      <c r="J375" s="635"/>
      <c r="K375" s="21">
        <f t="shared" si="60"/>
        <v>1</v>
      </c>
      <c r="L375" s="635"/>
      <c r="M375" s="21">
        <f t="shared" si="61"/>
        <v>1</v>
      </c>
      <c r="N375" s="635"/>
      <c r="O375" s="21">
        <f t="shared" si="62"/>
        <v>1</v>
      </c>
      <c r="P375" s="635"/>
      <c r="Q375" s="21">
        <f t="shared" si="63"/>
        <v>1</v>
      </c>
      <c r="R375" s="21">
        <f t="shared" ca="1" si="64"/>
        <v>25380</v>
      </c>
      <c r="S375" s="308">
        <f t="shared" ca="1" si="55"/>
        <v>118</v>
      </c>
    </row>
    <row r="376" spans="1:19">
      <c r="A376" s="633" t="str">
        <f>'12.23面积'!M386</f>
        <v>24-110</v>
      </c>
      <c r="B376" s="633">
        <f>'12.23面积'!N386</f>
        <v>61.53</v>
      </c>
      <c r="C376" s="21">
        <f t="shared" si="56"/>
        <v>0.99</v>
      </c>
      <c r="D376" s="635"/>
      <c r="E376" s="21">
        <f t="shared" si="57"/>
        <v>1</v>
      </c>
      <c r="F376" s="635"/>
      <c r="G376" s="21">
        <f t="shared" si="58"/>
        <v>1</v>
      </c>
      <c r="H376" s="635"/>
      <c r="I376" s="21">
        <f t="shared" si="59"/>
        <v>1</v>
      </c>
      <c r="J376" s="635"/>
      <c r="K376" s="21">
        <f t="shared" si="60"/>
        <v>1</v>
      </c>
      <c r="L376" s="635"/>
      <c r="M376" s="21">
        <f t="shared" si="61"/>
        <v>1</v>
      </c>
      <c r="N376" s="635"/>
      <c r="O376" s="21">
        <f t="shared" si="62"/>
        <v>1</v>
      </c>
      <c r="P376" s="635"/>
      <c r="Q376" s="21">
        <f t="shared" si="63"/>
        <v>1</v>
      </c>
      <c r="R376" s="21">
        <f t="shared" ca="1" si="64"/>
        <v>25126</v>
      </c>
      <c r="S376" s="308">
        <f t="shared" ca="1" si="55"/>
        <v>155</v>
      </c>
    </row>
    <row r="377" spans="1:19">
      <c r="A377" s="633" t="str">
        <f>'12.23面积'!M387</f>
        <v>24-111</v>
      </c>
      <c r="B377" s="633">
        <f>'12.23面积'!N387</f>
        <v>33.22</v>
      </c>
      <c r="C377" s="21">
        <f t="shared" si="56"/>
        <v>1</v>
      </c>
      <c r="D377" s="635"/>
      <c r="E377" s="21">
        <f t="shared" si="57"/>
        <v>1</v>
      </c>
      <c r="F377" s="635"/>
      <c r="G377" s="21">
        <f t="shared" si="58"/>
        <v>1</v>
      </c>
      <c r="H377" s="635"/>
      <c r="I377" s="21">
        <f t="shared" si="59"/>
        <v>1</v>
      </c>
      <c r="J377" s="635"/>
      <c r="K377" s="21">
        <f t="shared" si="60"/>
        <v>1</v>
      </c>
      <c r="L377" s="635"/>
      <c r="M377" s="21">
        <f t="shared" si="61"/>
        <v>1</v>
      </c>
      <c r="N377" s="635"/>
      <c r="O377" s="21">
        <f t="shared" si="62"/>
        <v>1</v>
      </c>
      <c r="P377" s="635"/>
      <c r="Q377" s="21">
        <f t="shared" si="63"/>
        <v>1</v>
      </c>
      <c r="R377" s="21">
        <f t="shared" ca="1" si="64"/>
        <v>25380</v>
      </c>
      <c r="S377" s="308">
        <f t="shared" ca="1" si="55"/>
        <v>84</v>
      </c>
    </row>
    <row r="378" spans="1:19">
      <c r="A378" s="633" t="str">
        <f>'12.23面积'!M388</f>
        <v>24-112</v>
      </c>
      <c r="B378" s="633">
        <f>'12.23面积'!N388</f>
        <v>33.22</v>
      </c>
      <c r="C378" s="21">
        <f t="shared" si="56"/>
        <v>1</v>
      </c>
      <c r="D378" s="635"/>
      <c r="E378" s="21">
        <f t="shared" si="57"/>
        <v>1</v>
      </c>
      <c r="F378" s="635"/>
      <c r="G378" s="21">
        <f t="shared" si="58"/>
        <v>1</v>
      </c>
      <c r="H378" s="635"/>
      <c r="I378" s="21">
        <f t="shared" si="59"/>
        <v>1</v>
      </c>
      <c r="J378" s="635"/>
      <c r="K378" s="21">
        <f t="shared" si="60"/>
        <v>1</v>
      </c>
      <c r="L378" s="635"/>
      <c r="M378" s="21">
        <f t="shared" si="61"/>
        <v>1</v>
      </c>
      <c r="N378" s="635"/>
      <c r="O378" s="21">
        <f t="shared" si="62"/>
        <v>1</v>
      </c>
      <c r="P378" s="635"/>
      <c r="Q378" s="21">
        <f t="shared" si="63"/>
        <v>1</v>
      </c>
      <c r="R378" s="21">
        <f t="shared" ca="1" si="64"/>
        <v>25380</v>
      </c>
      <c r="S378" s="308">
        <f t="shared" ca="1" si="55"/>
        <v>84</v>
      </c>
    </row>
    <row r="379" spans="1:19">
      <c r="A379" s="633" t="str">
        <f>'12.23面积'!M389</f>
        <v>24-113</v>
      </c>
      <c r="B379" s="633">
        <f>'12.23面积'!N389</f>
        <v>61.53</v>
      </c>
      <c r="C379" s="21">
        <f t="shared" si="56"/>
        <v>0.99</v>
      </c>
      <c r="D379" s="635"/>
      <c r="E379" s="21">
        <f t="shared" si="57"/>
        <v>1</v>
      </c>
      <c r="F379" s="635"/>
      <c r="G379" s="21">
        <f t="shared" si="58"/>
        <v>1</v>
      </c>
      <c r="H379" s="635"/>
      <c r="I379" s="21">
        <f t="shared" si="59"/>
        <v>1</v>
      </c>
      <c r="J379" s="635"/>
      <c r="K379" s="21">
        <f t="shared" si="60"/>
        <v>1</v>
      </c>
      <c r="L379" s="635"/>
      <c r="M379" s="21">
        <f t="shared" si="61"/>
        <v>1</v>
      </c>
      <c r="N379" s="635"/>
      <c r="O379" s="21">
        <f t="shared" si="62"/>
        <v>1</v>
      </c>
      <c r="P379" s="635"/>
      <c r="Q379" s="21">
        <f t="shared" si="63"/>
        <v>1</v>
      </c>
      <c r="R379" s="21">
        <f t="shared" ca="1" si="64"/>
        <v>25126</v>
      </c>
      <c r="S379" s="308">
        <f t="shared" ca="1" si="55"/>
        <v>155</v>
      </c>
    </row>
    <row r="380" spans="1:19">
      <c r="A380" s="633" t="str">
        <f>'12.23面积'!M390</f>
        <v>24-114</v>
      </c>
      <c r="B380" s="633">
        <f>'12.23面积'!N390</f>
        <v>46.33</v>
      </c>
      <c r="C380" s="21">
        <f t="shared" si="56"/>
        <v>1</v>
      </c>
      <c r="D380" s="635"/>
      <c r="E380" s="21">
        <f t="shared" si="57"/>
        <v>1</v>
      </c>
      <c r="F380" s="635"/>
      <c r="G380" s="21">
        <f t="shared" si="58"/>
        <v>1</v>
      </c>
      <c r="H380" s="635"/>
      <c r="I380" s="21">
        <f t="shared" si="59"/>
        <v>1</v>
      </c>
      <c r="J380" s="635"/>
      <c r="K380" s="21">
        <f t="shared" si="60"/>
        <v>1</v>
      </c>
      <c r="L380" s="635"/>
      <c r="M380" s="21">
        <f t="shared" si="61"/>
        <v>1</v>
      </c>
      <c r="N380" s="635"/>
      <c r="O380" s="21">
        <f t="shared" si="62"/>
        <v>1</v>
      </c>
      <c r="P380" s="635"/>
      <c r="Q380" s="21">
        <f t="shared" si="63"/>
        <v>1</v>
      </c>
      <c r="R380" s="21">
        <f t="shared" ca="1" si="64"/>
        <v>25380</v>
      </c>
      <c r="S380" s="308">
        <f t="shared" ca="1" si="55"/>
        <v>118</v>
      </c>
    </row>
    <row r="381" spans="1:19">
      <c r="A381" s="633" t="str">
        <f>'12.23面积'!M391</f>
        <v>24-124</v>
      </c>
      <c r="B381" s="633">
        <f>'12.23面积'!N391</f>
        <v>32.729999999999997</v>
      </c>
      <c r="C381" s="21">
        <f t="shared" si="56"/>
        <v>1</v>
      </c>
      <c r="D381" s="635"/>
      <c r="E381" s="21">
        <f t="shared" si="57"/>
        <v>1</v>
      </c>
      <c r="F381" s="635"/>
      <c r="G381" s="21">
        <f t="shared" si="58"/>
        <v>1</v>
      </c>
      <c r="H381" s="635"/>
      <c r="I381" s="21">
        <f t="shared" si="59"/>
        <v>1</v>
      </c>
      <c r="J381" s="635"/>
      <c r="K381" s="21">
        <f t="shared" si="60"/>
        <v>1</v>
      </c>
      <c r="L381" s="635"/>
      <c r="M381" s="21">
        <f t="shared" si="61"/>
        <v>1</v>
      </c>
      <c r="N381" s="635"/>
      <c r="O381" s="21">
        <f t="shared" si="62"/>
        <v>1</v>
      </c>
      <c r="P381" s="635"/>
      <c r="Q381" s="21">
        <f t="shared" si="63"/>
        <v>1</v>
      </c>
      <c r="R381" s="21">
        <f t="shared" ca="1" si="64"/>
        <v>25380</v>
      </c>
      <c r="S381" s="308">
        <f t="shared" ca="1" si="55"/>
        <v>83</v>
      </c>
    </row>
    <row r="382" spans="1:19">
      <c r="A382" s="633" t="str">
        <f>'12.23面积'!M392</f>
        <v>24-125</v>
      </c>
      <c r="B382" s="633">
        <f>'12.23面积'!N392</f>
        <v>21.42</v>
      </c>
      <c r="C382" s="21">
        <f t="shared" si="56"/>
        <v>1.01</v>
      </c>
      <c r="D382" s="635"/>
      <c r="E382" s="21">
        <f t="shared" si="57"/>
        <v>1</v>
      </c>
      <c r="F382" s="635"/>
      <c r="G382" s="21">
        <f t="shared" si="58"/>
        <v>1</v>
      </c>
      <c r="H382" s="635"/>
      <c r="I382" s="21">
        <f t="shared" si="59"/>
        <v>1</v>
      </c>
      <c r="J382" s="635"/>
      <c r="K382" s="21">
        <f t="shared" si="60"/>
        <v>1</v>
      </c>
      <c r="L382" s="635"/>
      <c r="M382" s="21">
        <f t="shared" si="61"/>
        <v>1</v>
      </c>
      <c r="N382" s="635"/>
      <c r="O382" s="21">
        <f t="shared" si="62"/>
        <v>1</v>
      </c>
      <c r="P382" s="635"/>
      <c r="Q382" s="21">
        <f t="shared" si="63"/>
        <v>1</v>
      </c>
      <c r="R382" s="21">
        <f t="shared" ca="1" si="64"/>
        <v>25634</v>
      </c>
      <c r="S382" s="308">
        <f t="shared" ca="1" si="55"/>
        <v>55</v>
      </c>
    </row>
    <row r="383" spans="1:19">
      <c r="A383" s="633" t="str">
        <f>'12.23面积'!M393</f>
        <v>24-126</v>
      </c>
      <c r="B383" s="633">
        <f>'12.23面积'!N393</f>
        <v>42.45</v>
      </c>
      <c r="C383" s="21">
        <f t="shared" si="56"/>
        <v>1</v>
      </c>
      <c r="D383" s="635"/>
      <c r="E383" s="21">
        <f t="shared" si="57"/>
        <v>1</v>
      </c>
      <c r="F383" s="635"/>
      <c r="G383" s="21">
        <f t="shared" si="58"/>
        <v>1</v>
      </c>
      <c r="H383" s="635"/>
      <c r="I383" s="21">
        <f t="shared" si="59"/>
        <v>1</v>
      </c>
      <c r="J383" s="635"/>
      <c r="K383" s="21">
        <f t="shared" si="60"/>
        <v>1</v>
      </c>
      <c r="L383" s="635"/>
      <c r="M383" s="21">
        <f t="shared" si="61"/>
        <v>1</v>
      </c>
      <c r="N383" s="635"/>
      <c r="O383" s="21">
        <f t="shared" si="62"/>
        <v>1</v>
      </c>
      <c r="P383" s="635"/>
      <c r="Q383" s="21">
        <f t="shared" si="63"/>
        <v>1</v>
      </c>
      <c r="R383" s="21">
        <f t="shared" ca="1" si="64"/>
        <v>25380</v>
      </c>
      <c r="S383" s="308">
        <f t="shared" ca="1" si="55"/>
        <v>108</v>
      </c>
    </row>
    <row r="384" spans="1:19">
      <c r="A384" s="633" t="str">
        <f>'12.23面积'!M394</f>
        <v>24-201</v>
      </c>
      <c r="B384" s="633">
        <f>'12.23面积'!N394</f>
        <v>22.35</v>
      </c>
      <c r="C384" s="21">
        <f t="shared" si="56"/>
        <v>1.01</v>
      </c>
      <c r="D384" s="635"/>
      <c r="E384" s="21">
        <f t="shared" si="57"/>
        <v>1</v>
      </c>
      <c r="F384" s="635"/>
      <c r="G384" s="21">
        <f t="shared" si="58"/>
        <v>1</v>
      </c>
      <c r="H384" s="635"/>
      <c r="I384" s="21">
        <f t="shared" si="59"/>
        <v>1</v>
      </c>
      <c r="J384" s="635"/>
      <c r="K384" s="21">
        <f t="shared" si="60"/>
        <v>1</v>
      </c>
      <c r="L384" s="635"/>
      <c r="M384" s="21">
        <f t="shared" si="61"/>
        <v>1</v>
      </c>
      <c r="N384" s="635"/>
      <c r="O384" s="21">
        <f t="shared" si="62"/>
        <v>1</v>
      </c>
      <c r="P384" s="635"/>
      <c r="Q384" s="21">
        <f t="shared" si="63"/>
        <v>1</v>
      </c>
      <c r="R384" s="21">
        <f t="shared" ca="1" si="64"/>
        <v>25634</v>
      </c>
      <c r="S384" s="308">
        <f t="shared" ca="1" si="55"/>
        <v>57</v>
      </c>
    </row>
    <row r="385" spans="1:19">
      <c r="A385" s="633" t="str">
        <f>'12.23面积'!M395</f>
        <v>24-202</v>
      </c>
      <c r="B385" s="633">
        <f>'12.23面积'!N395</f>
        <v>22.59</v>
      </c>
      <c r="C385" s="21">
        <f t="shared" si="56"/>
        <v>1.01</v>
      </c>
      <c r="D385" s="635"/>
      <c r="E385" s="21">
        <f t="shared" si="57"/>
        <v>1</v>
      </c>
      <c r="F385" s="635"/>
      <c r="G385" s="21">
        <f t="shared" si="58"/>
        <v>1</v>
      </c>
      <c r="H385" s="635"/>
      <c r="I385" s="21">
        <f t="shared" si="59"/>
        <v>1</v>
      </c>
      <c r="J385" s="635"/>
      <c r="K385" s="21">
        <f t="shared" si="60"/>
        <v>1</v>
      </c>
      <c r="L385" s="635"/>
      <c r="M385" s="21">
        <f t="shared" si="61"/>
        <v>1</v>
      </c>
      <c r="N385" s="635"/>
      <c r="O385" s="21">
        <f t="shared" si="62"/>
        <v>1</v>
      </c>
      <c r="P385" s="635"/>
      <c r="Q385" s="21">
        <f t="shared" si="63"/>
        <v>1</v>
      </c>
      <c r="R385" s="21">
        <f t="shared" ca="1" si="64"/>
        <v>25634</v>
      </c>
      <c r="S385" s="308">
        <f t="shared" ca="1" si="55"/>
        <v>58</v>
      </c>
    </row>
    <row r="386" spans="1:19">
      <c r="A386" s="633" t="str">
        <f>'12.23面积'!M396</f>
        <v>24-203</v>
      </c>
      <c r="B386" s="633">
        <f>'12.23面积'!N396</f>
        <v>22.59</v>
      </c>
      <c r="C386" s="21">
        <f t="shared" si="56"/>
        <v>1.01</v>
      </c>
      <c r="D386" s="635"/>
      <c r="E386" s="21">
        <f t="shared" si="57"/>
        <v>1</v>
      </c>
      <c r="F386" s="635"/>
      <c r="G386" s="21">
        <f t="shared" si="58"/>
        <v>1</v>
      </c>
      <c r="H386" s="635"/>
      <c r="I386" s="21">
        <f t="shared" si="59"/>
        <v>1</v>
      </c>
      <c r="J386" s="635"/>
      <c r="K386" s="21">
        <f t="shared" si="60"/>
        <v>1</v>
      </c>
      <c r="L386" s="635"/>
      <c r="M386" s="21">
        <f t="shared" si="61"/>
        <v>1</v>
      </c>
      <c r="N386" s="635"/>
      <c r="O386" s="21">
        <f t="shared" si="62"/>
        <v>1</v>
      </c>
      <c r="P386" s="635"/>
      <c r="Q386" s="21">
        <f t="shared" si="63"/>
        <v>1</v>
      </c>
      <c r="R386" s="21">
        <f t="shared" ca="1" si="64"/>
        <v>25634</v>
      </c>
      <c r="S386" s="308">
        <f t="shared" ca="1" si="55"/>
        <v>58</v>
      </c>
    </row>
    <row r="387" spans="1:19">
      <c r="A387" s="633" t="str">
        <f>'12.23面积'!M397</f>
        <v>24-208</v>
      </c>
      <c r="B387" s="633">
        <f>'12.23面积'!N397</f>
        <v>30.67</v>
      </c>
      <c r="C387" s="21">
        <f t="shared" si="56"/>
        <v>1</v>
      </c>
      <c r="D387" s="635"/>
      <c r="E387" s="21">
        <f t="shared" si="57"/>
        <v>1</v>
      </c>
      <c r="F387" s="635"/>
      <c r="G387" s="21">
        <f t="shared" si="58"/>
        <v>1</v>
      </c>
      <c r="H387" s="635"/>
      <c r="I387" s="21">
        <f t="shared" si="59"/>
        <v>1</v>
      </c>
      <c r="J387" s="635"/>
      <c r="K387" s="21">
        <f t="shared" si="60"/>
        <v>1</v>
      </c>
      <c r="L387" s="635"/>
      <c r="M387" s="21">
        <f t="shared" si="61"/>
        <v>1</v>
      </c>
      <c r="N387" s="635"/>
      <c r="O387" s="21">
        <f t="shared" si="62"/>
        <v>1</v>
      </c>
      <c r="P387" s="635"/>
      <c r="Q387" s="21">
        <f t="shared" si="63"/>
        <v>1</v>
      </c>
      <c r="R387" s="21">
        <f t="shared" ca="1" si="64"/>
        <v>25380</v>
      </c>
      <c r="S387" s="308">
        <f t="shared" ca="1" si="55"/>
        <v>78</v>
      </c>
    </row>
    <row r="388" spans="1:19">
      <c r="A388" s="633" t="str">
        <f>'12.23面积'!M398</f>
        <v>24-209</v>
      </c>
      <c r="B388" s="633">
        <f>'12.23面积'!N398</f>
        <v>27.09</v>
      </c>
      <c r="C388" s="21">
        <f t="shared" si="56"/>
        <v>1.01</v>
      </c>
      <c r="D388" s="635"/>
      <c r="E388" s="21">
        <f t="shared" si="57"/>
        <v>1</v>
      </c>
      <c r="F388" s="635"/>
      <c r="G388" s="21">
        <f t="shared" si="58"/>
        <v>1</v>
      </c>
      <c r="H388" s="635"/>
      <c r="I388" s="21">
        <f t="shared" si="59"/>
        <v>1</v>
      </c>
      <c r="J388" s="635"/>
      <c r="K388" s="21">
        <f t="shared" si="60"/>
        <v>1</v>
      </c>
      <c r="L388" s="635"/>
      <c r="M388" s="21">
        <f t="shared" si="61"/>
        <v>1</v>
      </c>
      <c r="N388" s="635"/>
      <c r="O388" s="21">
        <f t="shared" si="62"/>
        <v>1</v>
      </c>
      <c r="P388" s="635"/>
      <c r="Q388" s="21">
        <f t="shared" si="63"/>
        <v>1</v>
      </c>
      <c r="R388" s="21">
        <f t="shared" ca="1" si="64"/>
        <v>25634</v>
      </c>
      <c r="S388" s="308">
        <f t="shared" ca="1" si="55"/>
        <v>69</v>
      </c>
    </row>
    <row r="389" spans="1:19">
      <c r="A389" s="633" t="str">
        <f>'12.23面积'!M399</f>
        <v>24-213</v>
      </c>
      <c r="B389" s="633">
        <f>'12.23面积'!N399</f>
        <v>16.13</v>
      </c>
      <c r="C389" s="21">
        <f t="shared" si="56"/>
        <v>1.01</v>
      </c>
      <c r="D389" s="635"/>
      <c r="E389" s="21">
        <f t="shared" si="57"/>
        <v>1</v>
      </c>
      <c r="F389" s="635"/>
      <c r="G389" s="21">
        <f t="shared" si="58"/>
        <v>1</v>
      </c>
      <c r="H389" s="635"/>
      <c r="I389" s="21">
        <f t="shared" si="59"/>
        <v>1</v>
      </c>
      <c r="J389" s="635"/>
      <c r="K389" s="21">
        <f t="shared" si="60"/>
        <v>1</v>
      </c>
      <c r="L389" s="635"/>
      <c r="M389" s="21">
        <f t="shared" si="61"/>
        <v>1</v>
      </c>
      <c r="N389" s="635"/>
      <c r="O389" s="21">
        <f t="shared" si="62"/>
        <v>1</v>
      </c>
      <c r="P389" s="635"/>
      <c r="Q389" s="21">
        <f t="shared" si="63"/>
        <v>1</v>
      </c>
      <c r="R389" s="21">
        <f t="shared" ca="1" si="64"/>
        <v>25634</v>
      </c>
      <c r="S389" s="308">
        <f t="shared" ca="1" si="55"/>
        <v>41</v>
      </c>
    </row>
    <row r="390" spans="1:19">
      <c r="A390" s="633" t="str">
        <f>'12.23面积'!M400</f>
        <v>24-216</v>
      </c>
      <c r="B390" s="633">
        <f>'12.23面积'!N400</f>
        <v>22.59</v>
      </c>
      <c r="C390" s="21">
        <f t="shared" si="56"/>
        <v>1.01</v>
      </c>
      <c r="D390" s="635"/>
      <c r="E390" s="21">
        <f t="shared" si="57"/>
        <v>1</v>
      </c>
      <c r="F390" s="635"/>
      <c r="G390" s="21">
        <f t="shared" si="58"/>
        <v>1</v>
      </c>
      <c r="H390" s="635"/>
      <c r="I390" s="21">
        <f t="shared" si="59"/>
        <v>1</v>
      </c>
      <c r="J390" s="635"/>
      <c r="K390" s="21">
        <f t="shared" si="60"/>
        <v>1</v>
      </c>
      <c r="L390" s="635"/>
      <c r="M390" s="21">
        <f t="shared" si="61"/>
        <v>1</v>
      </c>
      <c r="N390" s="635"/>
      <c r="O390" s="21">
        <f t="shared" si="62"/>
        <v>1</v>
      </c>
      <c r="P390" s="635"/>
      <c r="Q390" s="21">
        <f t="shared" si="63"/>
        <v>1</v>
      </c>
      <c r="R390" s="21">
        <f t="shared" ca="1" si="64"/>
        <v>25634</v>
      </c>
      <c r="S390" s="308">
        <f t="shared" ca="1" si="55"/>
        <v>58</v>
      </c>
    </row>
    <row r="391" spans="1:19">
      <c r="A391" s="633" t="str">
        <f>'12.23面积'!M401</f>
        <v>23-101</v>
      </c>
      <c r="B391" s="633">
        <f>'12.23面积'!N401</f>
        <v>24.49</v>
      </c>
      <c r="C391" s="21">
        <f t="shared" si="56"/>
        <v>1.01</v>
      </c>
      <c r="D391" s="635"/>
      <c r="E391" s="21">
        <f t="shared" si="57"/>
        <v>1</v>
      </c>
      <c r="F391" s="635"/>
      <c r="G391" s="21">
        <f t="shared" si="58"/>
        <v>1</v>
      </c>
      <c r="H391" s="635"/>
      <c r="I391" s="21">
        <f t="shared" si="59"/>
        <v>1</v>
      </c>
      <c r="J391" s="635"/>
      <c r="K391" s="21">
        <f t="shared" si="60"/>
        <v>1</v>
      </c>
      <c r="L391" s="635"/>
      <c r="M391" s="21">
        <f t="shared" si="61"/>
        <v>1</v>
      </c>
      <c r="N391" s="635"/>
      <c r="O391" s="21">
        <f t="shared" si="62"/>
        <v>1</v>
      </c>
      <c r="P391" s="635"/>
      <c r="Q391" s="21">
        <f t="shared" si="63"/>
        <v>1</v>
      </c>
      <c r="R391" s="21">
        <f t="shared" ca="1" si="64"/>
        <v>25634</v>
      </c>
      <c r="S391" s="308">
        <f t="shared" ca="1" si="55"/>
        <v>63</v>
      </c>
    </row>
    <row r="392" spans="1:19">
      <c r="A392" s="633" t="str">
        <f>'12.23面积'!M402</f>
        <v>23-102</v>
      </c>
      <c r="B392" s="633">
        <f>'12.23面积'!N402</f>
        <v>30.56</v>
      </c>
      <c r="C392" s="21">
        <f t="shared" si="56"/>
        <v>1</v>
      </c>
      <c r="D392" s="635"/>
      <c r="E392" s="21">
        <f t="shared" si="57"/>
        <v>1</v>
      </c>
      <c r="F392" s="635"/>
      <c r="G392" s="21">
        <f t="shared" si="58"/>
        <v>1</v>
      </c>
      <c r="H392" s="635"/>
      <c r="I392" s="21">
        <f t="shared" si="59"/>
        <v>1</v>
      </c>
      <c r="J392" s="635"/>
      <c r="K392" s="21">
        <f t="shared" si="60"/>
        <v>1</v>
      </c>
      <c r="L392" s="635"/>
      <c r="M392" s="21">
        <f t="shared" si="61"/>
        <v>1</v>
      </c>
      <c r="N392" s="635"/>
      <c r="O392" s="21">
        <f t="shared" si="62"/>
        <v>1</v>
      </c>
      <c r="P392" s="635"/>
      <c r="Q392" s="21">
        <f t="shared" si="63"/>
        <v>1</v>
      </c>
      <c r="R392" s="21">
        <f t="shared" ca="1" si="64"/>
        <v>25380</v>
      </c>
      <c r="S392" s="308">
        <f t="shared" ca="1" si="55"/>
        <v>78</v>
      </c>
    </row>
    <row r="393" spans="1:19">
      <c r="A393" s="633" t="str">
        <f>'12.23面积'!M403</f>
        <v>23-103</v>
      </c>
      <c r="B393" s="633">
        <f>'12.23面积'!N403</f>
        <v>56.63</v>
      </c>
      <c r="C393" s="21">
        <f t="shared" si="56"/>
        <v>1</v>
      </c>
      <c r="D393" s="635"/>
      <c r="E393" s="21">
        <f t="shared" si="57"/>
        <v>1</v>
      </c>
      <c r="F393" s="635"/>
      <c r="G393" s="21">
        <f t="shared" si="58"/>
        <v>1</v>
      </c>
      <c r="H393" s="635"/>
      <c r="I393" s="21">
        <f t="shared" si="59"/>
        <v>1</v>
      </c>
      <c r="J393" s="635"/>
      <c r="K393" s="21">
        <f t="shared" si="60"/>
        <v>1</v>
      </c>
      <c r="L393" s="635"/>
      <c r="M393" s="21">
        <f t="shared" si="61"/>
        <v>1</v>
      </c>
      <c r="N393" s="635"/>
      <c r="O393" s="21">
        <f t="shared" si="62"/>
        <v>1</v>
      </c>
      <c r="P393" s="635"/>
      <c r="Q393" s="21">
        <f t="shared" si="63"/>
        <v>1</v>
      </c>
      <c r="R393" s="21">
        <f t="shared" ca="1" si="64"/>
        <v>25380</v>
      </c>
      <c r="S393" s="308">
        <f t="shared" ca="1" si="55"/>
        <v>144</v>
      </c>
    </row>
    <row r="394" spans="1:19">
      <c r="A394" s="633" t="str">
        <f>'12.23面积'!M404</f>
        <v>23-104</v>
      </c>
      <c r="B394" s="633">
        <f>'12.23面积'!N404</f>
        <v>62.28</v>
      </c>
      <c r="C394" s="21">
        <f t="shared" si="56"/>
        <v>0.99</v>
      </c>
      <c r="D394" s="635"/>
      <c r="E394" s="21">
        <f t="shared" si="57"/>
        <v>1</v>
      </c>
      <c r="F394" s="635"/>
      <c r="G394" s="21">
        <f t="shared" si="58"/>
        <v>1</v>
      </c>
      <c r="H394" s="635"/>
      <c r="I394" s="21">
        <f t="shared" si="59"/>
        <v>1</v>
      </c>
      <c r="J394" s="635"/>
      <c r="K394" s="21">
        <f t="shared" si="60"/>
        <v>1</v>
      </c>
      <c r="L394" s="635"/>
      <c r="M394" s="21">
        <f t="shared" si="61"/>
        <v>1</v>
      </c>
      <c r="N394" s="635"/>
      <c r="O394" s="21">
        <f t="shared" si="62"/>
        <v>1</v>
      </c>
      <c r="P394" s="635"/>
      <c r="Q394" s="21">
        <f t="shared" si="63"/>
        <v>1</v>
      </c>
      <c r="R394" s="21">
        <f t="shared" ca="1" si="64"/>
        <v>25126</v>
      </c>
      <c r="S394" s="308">
        <f t="shared" ca="1" si="55"/>
        <v>156</v>
      </c>
    </row>
    <row r="395" spans="1:19">
      <c r="A395" s="633" t="str">
        <f>'12.23面积'!M405</f>
        <v>23-105</v>
      </c>
      <c r="B395" s="633">
        <f>'12.23面积'!N405</f>
        <v>33.47</v>
      </c>
      <c r="C395" s="21">
        <f t="shared" si="56"/>
        <v>1</v>
      </c>
      <c r="D395" s="635"/>
      <c r="E395" s="21">
        <f t="shared" si="57"/>
        <v>1</v>
      </c>
      <c r="F395" s="635"/>
      <c r="G395" s="21">
        <f t="shared" si="58"/>
        <v>1</v>
      </c>
      <c r="H395" s="635"/>
      <c r="I395" s="21">
        <f t="shared" si="59"/>
        <v>1</v>
      </c>
      <c r="J395" s="635"/>
      <c r="K395" s="21">
        <f t="shared" si="60"/>
        <v>1</v>
      </c>
      <c r="L395" s="635"/>
      <c r="M395" s="21">
        <f t="shared" si="61"/>
        <v>1</v>
      </c>
      <c r="N395" s="635"/>
      <c r="O395" s="21">
        <f t="shared" si="62"/>
        <v>1</v>
      </c>
      <c r="P395" s="635"/>
      <c r="Q395" s="21">
        <f t="shared" si="63"/>
        <v>1</v>
      </c>
      <c r="R395" s="21">
        <f t="shared" ca="1" si="64"/>
        <v>25380</v>
      </c>
      <c r="S395" s="308">
        <f t="shared" ca="1" si="55"/>
        <v>85</v>
      </c>
    </row>
    <row r="396" spans="1:19">
      <c r="A396" s="633" t="str">
        <f>'12.23面积'!M406</f>
        <v>23-126</v>
      </c>
      <c r="B396" s="633">
        <f>'12.23面积'!N406</f>
        <v>42.78</v>
      </c>
      <c r="C396" s="21">
        <f t="shared" si="56"/>
        <v>1</v>
      </c>
      <c r="D396" s="635"/>
      <c r="E396" s="21">
        <f t="shared" si="57"/>
        <v>1</v>
      </c>
      <c r="F396" s="635"/>
      <c r="G396" s="21">
        <f t="shared" si="58"/>
        <v>1</v>
      </c>
      <c r="H396" s="635"/>
      <c r="I396" s="21">
        <f t="shared" si="59"/>
        <v>1</v>
      </c>
      <c r="J396" s="635"/>
      <c r="K396" s="21">
        <f t="shared" si="60"/>
        <v>1</v>
      </c>
      <c r="L396" s="635"/>
      <c r="M396" s="21">
        <f t="shared" si="61"/>
        <v>1</v>
      </c>
      <c r="N396" s="635"/>
      <c r="O396" s="21">
        <f t="shared" si="62"/>
        <v>1</v>
      </c>
      <c r="P396" s="635"/>
      <c r="Q396" s="21">
        <f t="shared" si="63"/>
        <v>1</v>
      </c>
      <c r="R396" s="21">
        <f t="shared" ca="1" si="64"/>
        <v>25380</v>
      </c>
      <c r="S396" s="308">
        <f t="shared" ca="1" si="55"/>
        <v>109</v>
      </c>
    </row>
    <row r="397" spans="1:19">
      <c r="A397" s="633" t="str">
        <f>'12.23面积'!M407</f>
        <v>23-201</v>
      </c>
      <c r="B397" s="633">
        <f>'12.23面积'!N407</f>
        <v>22.52</v>
      </c>
      <c r="C397" s="21">
        <f t="shared" si="56"/>
        <v>1.01</v>
      </c>
      <c r="D397" s="635"/>
      <c r="E397" s="21">
        <f t="shared" si="57"/>
        <v>1</v>
      </c>
      <c r="F397" s="635"/>
      <c r="G397" s="21">
        <f t="shared" si="58"/>
        <v>1</v>
      </c>
      <c r="H397" s="635"/>
      <c r="I397" s="21">
        <f t="shared" si="59"/>
        <v>1</v>
      </c>
      <c r="J397" s="635"/>
      <c r="K397" s="21">
        <f t="shared" si="60"/>
        <v>1</v>
      </c>
      <c r="L397" s="635"/>
      <c r="M397" s="21">
        <f t="shared" si="61"/>
        <v>1</v>
      </c>
      <c r="N397" s="635"/>
      <c r="O397" s="21">
        <f t="shared" si="62"/>
        <v>1</v>
      </c>
      <c r="P397" s="635"/>
      <c r="Q397" s="21">
        <f t="shared" si="63"/>
        <v>1</v>
      </c>
      <c r="R397" s="21">
        <f t="shared" ca="1" si="64"/>
        <v>25634</v>
      </c>
      <c r="S397" s="308">
        <f t="shared" ca="1" si="55"/>
        <v>58</v>
      </c>
    </row>
    <row r="398" spans="1:19">
      <c r="A398" s="633" t="str">
        <f>'12.23面积'!M408</f>
        <v>23-202</v>
      </c>
      <c r="B398" s="633">
        <f>'12.23面积'!N408</f>
        <v>25.39</v>
      </c>
      <c r="C398" s="21">
        <f t="shared" si="56"/>
        <v>1.01</v>
      </c>
      <c r="D398" s="635"/>
      <c r="E398" s="21">
        <f t="shared" si="57"/>
        <v>1</v>
      </c>
      <c r="F398" s="635"/>
      <c r="G398" s="21">
        <f t="shared" si="58"/>
        <v>1</v>
      </c>
      <c r="H398" s="635"/>
      <c r="I398" s="21">
        <f t="shared" si="59"/>
        <v>1</v>
      </c>
      <c r="J398" s="635"/>
      <c r="K398" s="21">
        <f t="shared" si="60"/>
        <v>1</v>
      </c>
      <c r="L398" s="635"/>
      <c r="M398" s="21">
        <f t="shared" si="61"/>
        <v>1</v>
      </c>
      <c r="N398" s="635"/>
      <c r="O398" s="21">
        <f t="shared" si="62"/>
        <v>1</v>
      </c>
      <c r="P398" s="635"/>
      <c r="Q398" s="21">
        <f t="shared" si="63"/>
        <v>1</v>
      </c>
      <c r="R398" s="21">
        <f t="shared" ca="1" si="64"/>
        <v>25634</v>
      </c>
      <c r="S398" s="308">
        <f t="shared" ca="1" si="55"/>
        <v>65</v>
      </c>
    </row>
    <row r="399" spans="1:19">
      <c r="A399" s="633" t="str">
        <f>'12.23面积'!M409</f>
        <v>23-203</v>
      </c>
      <c r="B399" s="633">
        <f>'12.23面积'!N409</f>
        <v>26.12</v>
      </c>
      <c r="C399" s="21">
        <f t="shared" si="56"/>
        <v>1.01</v>
      </c>
      <c r="D399" s="635"/>
      <c r="E399" s="21">
        <f t="shared" si="57"/>
        <v>1</v>
      </c>
      <c r="F399" s="635"/>
      <c r="G399" s="21">
        <f t="shared" si="58"/>
        <v>1</v>
      </c>
      <c r="H399" s="635"/>
      <c r="I399" s="21">
        <f t="shared" si="59"/>
        <v>1</v>
      </c>
      <c r="J399" s="635"/>
      <c r="K399" s="21">
        <f t="shared" si="60"/>
        <v>1</v>
      </c>
      <c r="L399" s="635"/>
      <c r="M399" s="21">
        <f t="shared" si="61"/>
        <v>1</v>
      </c>
      <c r="N399" s="635"/>
      <c r="O399" s="21">
        <f t="shared" si="62"/>
        <v>1</v>
      </c>
      <c r="P399" s="635"/>
      <c r="Q399" s="21">
        <f t="shared" si="63"/>
        <v>1</v>
      </c>
      <c r="R399" s="21">
        <f t="shared" ca="1" si="64"/>
        <v>25634</v>
      </c>
      <c r="S399" s="308">
        <f t="shared" ca="1" si="55"/>
        <v>67</v>
      </c>
    </row>
    <row r="400" spans="1:19">
      <c r="A400" s="633"/>
      <c r="B400" s="633"/>
      <c r="C400" s="21">
        <f t="shared" si="56"/>
        <v>1</v>
      </c>
      <c r="D400" s="635"/>
      <c r="E400" s="21">
        <f t="shared" si="57"/>
        <v>1</v>
      </c>
      <c r="F400" s="635"/>
      <c r="G400" s="21">
        <f t="shared" si="58"/>
        <v>1</v>
      </c>
      <c r="H400" s="635"/>
      <c r="I400" s="21">
        <f t="shared" si="59"/>
        <v>1</v>
      </c>
      <c r="J400" s="635"/>
      <c r="K400" s="21">
        <f t="shared" si="60"/>
        <v>1</v>
      </c>
      <c r="L400" s="635"/>
      <c r="M400" s="21">
        <f t="shared" si="61"/>
        <v>1</v>
      </c>
      <c r="N400" s="635"/>
      <c r="O400" s="21">
        <f t="shared" si="62"/>
        <v>1</v>
      </c>
      <c r="P400" s="635"/>
      <c r="Q400" s="21">
        <f t="shared" si="63"/>
        <v>1</v>
      </c>
      <c r="R400" s="21">
        <f t="shared" si="64"/>
        <v>0</v>
      </c>
      <c r="S400" s="308">
        <f t="shared" si="55"/>
        <v>0</v>
      </c>
    </row>
    <row r="401" spans="1:19">
      <c r="A401" s="633"/>
      <c r="B401" s="633"/>
      <c r="C401" s="21">
        <f t="shared" si="56"/>
        <v>1</v>
      </c>
      <c r="D401" s="635"/>
      <c r="E401" s="21">
        <f t="shared" si="57"/>
        <v>1</v>
      </c>
      <c r="F401" s="635"/>
      <c r="G401" s="21">
        <f t="shared" si="58"/>
        <v>1</v>
      </c>
      <c r="H401" s="635"/>
      <c r="I401" s="21">
        <f t="shared" si="59"/>
        <v>1</v>
      </c>
      <c r="J401" s="635"/>
      <c r="K401" s="21">
        <f t="shared" si="60"/>
        <v>1</v>
      </c>
      <c r="L401" s="635"/>
      <c r="M401" s="21">
        <f t="shared" si="61"/>
        <v>1</v>
      </c>
      <c r="N401" s="635"/>
      <c r="O401" s="21">
        <f t="shared" si="62"/>
        <v>1</v>
      </c>
      <c r="P401" s="635"/>
      <c r="Q401" s="21">
        <f t="shared" si="63"/>
        <v>1</v>
      </c>
      <c r="R401" s="21">
        <f t="shared" si="64"/>
        <v>0</v>
      </c>
      <c r="S401" s="308">
        <f t="shared" si="55"/>
        <v>0</v>
      </c>
    </row>
    <row r="402" spans="1:19">
      <c r="A402" s="633"/>
      <c r="B402" s="633"/>
      <c r="C402" s="21">
        <f t="shared" si="56"/>
        <v>1</v>
      </c>
      <c r="D402" s="635"/>
      <c r="E402" s="21">
        <f t="shared" si="57"/>
        <v>1</v>
      </c>
      <c r="F402" s="635"/>
      <c r="G402" s="21">
        <f t="shared" si="58"/>
        <v>1</v>
      </c>
      <c r="H402" s="635"/>
      <c r="I402" s="21">
        <f t="shared" si="59"/>
        <v>1</v>
      </c>
      <c r="J402" s="635"/>
      <c r="K402" s="21">
        <f t="shared" si="60"/>
        <v>1</v>
      </c>
      <c r="L402" s="635"/>
      <c r="M402" s="21">
        <f t="shared" si="61"/>
        <v>1</v>
      </c>
      <c r="N402" s="635"/>
      <c r="O402" s="21">
        <f t="shared" si="62"/>
        <v>1</v>
      </c>
      <c r="P402" s="635"/>
      <c r="Q402" s="21">
        <f t="shared" si="63"/>
        <v>1</v>
      </c>
      <c r="R402" s="21">
        <f t="shared" si="64"/>
        <v>0</v>
      </c>
      <c r="S402" s="308">
        <f t="shared" si="55"/>
        <v>0</v>
      </c>
    </row>
    <row r="403" spans="1:19">
      <c r="A403" s="633"/>
      <c r="B403" s="633"/>
      <c r="C403" s="21">
        <f t="shared" si="56"/>
        <v>1</v>
      </c>
      <c r="D403" s="635"/>
      <c r="E403" s="21">
        <f t="shared" si="57"/>
        <v>1</v>
      </c>
      <c r="F403" s="635"/>
      <c r="G403" s="21">
        <f t="shared" si="58"/>
        <v>1</v>
      </c>
      <c r="H403" s="635"/>
      <c r="I403" s="21">
        <f t="shared" si="59"/>
        <v>1</v>
      </c>
      <c r="J403" s="635"/>
      <c r="K403" s="21">
        <f t="shared" si="60"/>
        <v>1</v>
      </c>
      <c r="L403" s="635"/>
      <c r="M403" s="21">
        <f t="shared" si="61"/>
        <v>1</v>
      </c>
      <c r="N403" s="635"/>
      <c r="O403" s="21">
        <f t="shared" si="62"/>
        <v>1</v>
      </c>
      <c r="P403" s="635"/>
      <c r="Q403" s="21">
        <f t="shared" si="63"/>
        <v>1</v>
      </c>
      <c r="R403" s="21">
        <f t="shared" si="64"/>
        <v>0</v>
      </c>
      <c r="S403" s="308">
        <f t="shared" si="55"/>
        <v>0</v>
      </c>
    </row>
    <row r="404" spans="1:19">
      <c r="A404" s="633"/>
      <c r="B404" s="633"/>
      <c r="C404" s="21">
        <f t="shared" si="56"/>
        <v>1</v>
      </c>
      <c r="D404" s="635"/>
      <c r="E404" s="21">
        <f t="shared" si="57"/>
        <v>1</v>
      </c>
      <c r="F404" s="635"/>
      <c r="G404" s="21">
        <f t="shared" si="58"/>
        <v>1</v>
      </c>
      <c r="H404" s="635"/>
      <c r="I404" s="21">
        <f t="shared" si="59"/>
        <v>1</v>
      </c>
      <c r="J404" s="635"/>
      <c r="K404" s="21">
        <f t="shared" si="60"/>
        <v>1</v>
      </c>
      <c r="L404" s="635"/>
      <c r="M404" s="21">
        <f t="shared" si="61"/>
        <v>1</v>
      </c>
      <c r="N404" s="635"/>
      <c r="O404" s="21">
        <f t="shared" si="62"/>
        <v>1</v>
      </c>
      <c r="P404" s="635"/>
      <c r="Q404" s="21">
        <f t="shared" si="63"/>
        <v>1</v>
      </c>
      <c r="R404" s="21">
        <f t="shared" si="64"/>
        <v>0</v>
      </c>
      <c r="S404" s="308">
        <f t="shared" si="55"/>
        <v>0</v>
      </c>
    </row>
    <row r="405" spans="1:19">
      <c r="A405" s="633"/>
      <c r="B405" s="633"/>
      <c r="C405" s="21">
        <f t="shared" si="56"/>
        <v>1</v>
      </c>
      <c r="D405" s="635"/>
      <c r="E405" s="21">
        <f t="shared" si="57"/>
        <v>1</v>
      </c>
      <c r="F405" s="635"/>
      <c r="G405" s="21">
        <f t="shared" si="58"/>
        <v>1</v>
      </c>
      <c r="H405" s="635"/>
      <c r="I405" s="21">
        <f t="shared" si="59"/>
        <v>1</v>
      </c>
      <c r="J405" s="635"/>
      <c r="K405" s="21">
        <f t="shared" si="60"/>
        <v>1</v>
      </c>
      <c r="L405" s="635"/>
      <c r="M405" s="21">
        <f t="shared" si="61"/>
        <v>1</v>
      </c>
      <c r="N405" s="635"/>
      <c r="O405" s="21">
        <f t="shared" si="62"/>
        <v>1</v>
      </c>
      <c r="P405" s="635"/>
      <c r="Q405" s="21">
        <f t="shared" si="63"/>
        <v>1</v>
      </c>
      <c r="R405" s="21">
        <f t="shared" si="64"/>
        <v>0</v>
      </c>
      <c r="S405" s="308">
        <f t="shared" si="55"/>
        <v>0</v>
      </c>
    </row>
    <row r="406" spans="1:19">
      <c r="A406" s="633"/>
      <c r="B406" s="633"/>
      <c r="C406" s="21">
        <f t="shared" si="56"/>
        <v>1</v>
      </c>
      <c r="D406" s="635"/>
      <c r="E406" s="21">
        <f t="shared" si="57"/>
        <v>1</v>
      </c>
      <c r="F406" s="635"/>
      <c r="G406" s="21">
        <f t="shared" si="58"/>
        <v>1</v>
      </c>
      <c r="H406" s="635"/>
      <c r="I406" s="21">
        <f t="shared" si="59"/>
        <v>1</v>
      </c>
      <c r="J406" s="635"/>
      <c r="K406" s="21">
        <f t="shared" si="60"/>
        <v>1</v>
      </c>
      <c r="L406" s="635"/>
      <c r="M406" s="21">
        <f t="shared" si="61"/>
        <v>1</v>
      </c>
      <c r="N406" s="635"/>
      <c r="O406" s="21">
        <f t="shared" si="62"/>
        <v>1</v>
      </c>
      <c r="P406" s="635"/>
      <c r="Q406" s="21">
        <f t="shared" si="63"/>
        <v>1</v>
      </c>
      <c r="R406" s="21">
        <f t="shared" si="64"/>
        <v>0</v>
      </c>
      <c r="S406" s="308">
        <f t="shared" si="55"/>
        <v>0</v>
      </c>
    </row>
    <row r="407" spans="1:19">
      <c r="A407" s="633"/>
      <c r="B407" s="633"/>
      <c r="C407" s="21">
        <f t="shared" si="56"/>
        <v>1</v>
      </c>
      <c r="D407" s="635"/>
      <c r="E407" s="21">
        <f t="shared" si="57"/>
        <v>1</v>
      </c>
      <c r="F407" s="635"/>
      <c r="G407" s="21">
        <f t="shared" si="58"/>
        <v>1</v>
      </c>
      <c r="H407" s="635"/>
      <c r="I407" s="21">
        <f t="shared" si="59"/>
        <v>1</v>
      </c>
      <c r="J407" s="635"/>
      <c r="K407" s="21">
        <f t="shared" si="60"/>
        <v>1</v>
      </c>
      <c r="L407" s="635"/>
      <c r="M407" s="21">
        <f t="shared" si="61"/>
        <v>1</v>
      </c>
      <c r="N407" s="635"/>
      <c r="O407" s="21">
        <f t="shared" si="62"/>
        <v>1</v>
      </c>
      <c r="P407" s="635"/>
      <c r="Q407" s="21">
        <f t="shared" si="63"/>
        <v>1</v>
      </c>
      <c r="R407" s="21">
        <f t="shared" si="64"/>
        <v>0</v>
      </c>
      <c r="S407" s="308">
        <f t="shared" si="55"/>
        <v>0</v>
      </c>
    </row>
    <row r="408" spans="1:19">
      <c r="A408" s="633"/>
      <c r="B408" s="633"/>
      <c r="C408" s="21">
        <f t="shared" si="56"/>
        <v>1</v>
      </c>
      <c r="D408" s="635"/>
      <c r="E408" s="21">
        <f t="shared" si="57"/>
        <v>1</v>
      </c>
      <c r="F408" s="635"/>
      <c r="G408" s="21">
        <f t="shared" si="58"/>
        <v>1</v>
      </c>
      <c r="H408" s="635"/>
      <c r="I408" s="21">
        <f t="shared" si="59"/>
        <v>1</v>
      </c>
      <c r="J408" s="635"/>
      <c r="K408" s="21">
        <f t="shared" si="60"/>
        <v>1</v>
      </c>
      <c r="L408" s="635"/>
      <c r="M408" s="21">
        <f t="shared" si="61"/>
        <v>1</v>
      </c>
      <c r="N408" s="635"/>
      <c r="O408" s="21">
        <f t="shared" si="62"/>
        <v>1</v>
      </c>
      <c r="P408" s="635"/>
      <c r="Q408" s="21">
        <f t="shared" si="63"/>
        <v>1</v>
      </c>
      <c r="R408" s="21">
        <f t="shared" si="64"/>
        <v>0</v>
      </c>
      <c r="S408" s="308">
        <f t="shared" ref="S408:S471" si="65">ROUND(R408*B408/10000,0)</f>
        <v>0</v>
      </c>
    </row>
    <row r="409" spans="1:19">
      <c r="A409" s="633"/>
      <c r="B409" s="633"/>
      <c r="C409" s="21">
        <f t="shared" si="56"/>
        <v>1</v>
      </c>
      <c r="D409" s="635"/>
      <c r="E409" s="21">
        <f t="shared" si="57"/>
        <v>1</v>
      </c>
      <c r="F409" s="635"/>
      <c r="G409" s="21">
        <f t="shared" si="58"/>
        <v>1</v>
      </c>
      <c r="H409" s="635"/>
      <c r="I409" s="21">
        <f t="shared" si="59"/>
        <v>1</v>
      </c>
      <c r="J409" s="635"/>
      <c r="K409" s="21">
        <f t="shared" si="60"/>
        <v>1</v>
      </c>
      <c r="L409" s="635"/>
      <c r="M409" s="21">
        <f t="shared" si="61"/>
        <v>1</v>
      </c>
      <c r="N409" s="635"/>
      <c r="O409" s="21">
        <f t="shared" si="62"/>
        <v>1</v>
      </c>
      <c r="P409" s="635"/>
      <c r="Q409" s="21">
        <f t="shared" si="63"/>
        <v>1</v>
      </c>
      <c r="R409" s="21">
        <f t="shared" si="64"/>
        <v>0</v>
      </c>
      <c r="S409" s="308">
        <f t="shared" si="65"/>
        <v>0</v>
      </c>
    </row>
    <row r="410" spans="1:19">
      <c r="A410" s="633"/>
      <c r="B410" s="633"/>
      <c r="C410" s="21">
        <f t="shared" ref="C410:C473" si="66">IF(B410="",1,(LOOKUP(B410,$3:$3,$4:$4)-LOOKUP($B$24,$3:$3,$4:$4)+100)/100)</f>
        <v>1</v>
      </c>
      <c r="D410" s="635"/>
      <c r="E410" s="21">
        <f t="shared" ref="E410:E473" si="67">(SUMIF($5:$5,D410,$6:$6)-SUMIF($5:$5,$D$24,$6:$6)+100)/100</f>
        <v>1</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1</v>
      </c>
      <c r="R410" s="21">
        <f t="shared" ref="R410:R473" si="74">IF(B410="",0,ROUND($R$24*C410*E410*G410*I410*K410*M410*O410*Q410,0))</f>
        <v>0</v>
      </c>
      <c r="S410" s="308">
        <f t="shared" si="65"/>
        <v>0</v>
      </c>
    </row>
    <row r="411" spans="1:19">
      <c r="A411" s="633"/>
      <c r="B411" s="633"/>
      <c r="C411" s="21">
        <f t="shared" si="66"/>
        <v>1</v>
      </c>
      <c r="D411" s="635"/>
      <c r="E411" s="21">
        <f t="shared" si="67"/>
        <v>1</v>
      </c>
      <c r="F411" s="635"/>
      <c r="G411" s="21">
        <f t="shared" si="68"/>
        <v>1</v>
      </c>
      <c r="H411" s="635"/>
      <c r="I411" s="21">
        <f t="shared" si="69"/>
        <v>1</v>
      </c>
      <c r="J411" s="635"/>
      <c r="K411" s="21">
        <f t="shared" si="70"/>
        <v>1</v>
      </c>
      <c r="L411" s="635"/>
      <c r="M411" s="21">
        <f t="shared" si="71"/>
        <v>1</v>
      </c>
      <c r="N411" s="635"/>
      <c r="O411" s="21">
        <f t="shared" si="72"/>
        <v>1</v>
      </c>
      <c r="P411" s="635"/>
      <c r="Q411" s="21">
        <f t="shared" si="73"/>
        <v>1</v>
      </c>
      <c r="R411" s="21">
        <f t="shared" si="74"/>
        <v>0</v>
      </c>
      <c r="S411" s="308">
        <f t="shared" si="65"/>
        <v>0</v>
      </c>
    </row>
    <row r="412" spans="1:19">
      <c r="A412" s="633"/>
      <c r="B412" s="633"/>
      <c r="C412" s="21">
        <f t="shared" si="66"/>
        <v>1</v>
      </c>
      <c r="D412" s="635"/>
      <c r="E412" s="21">
        <f t="shared" si="67"/>
        <v>1</v>
      </c>
      <c r="F412" s="635"/>
      <c r="G412" s="21">
        <f t="shared" si="68"/>
        <v>1</v>
      </c>
      <c r="H412" s="635"/>
      <c r="I412" s="21">
        <f t="shared" si="69"/>
        <v>1</v>
      </c>
      <c r="J412" s="635"/>
      <c r="K412" s="21">
        <f t="shared" si="70"/>
        <v>1</v>
      </c>
      <c r="L412" s="635"/>
      <c r="M412" s="21">
        <f t="shared" si="71"/>
        <v>1</v>
      </c>
      <c r="N412" s="635"/>
      <c r="O412" s="21">
        <f t="shared" si="72"/>
        <v>1</v>
      </c>
      <c r="P412" s="635"/>
      <c r="Q412" s="21">
        <f t="shared" si="73"/>
        <v>1</v>
      </c>
      <c r="R412" s="21">
        <f t="shared" si="74"/>
        <v>0</v>
      </c>
      <c r="S412" s="308">
        <f t="shared" si="65"/>
        <v>0</v>
      </c>
    </row>
    <row r="413" spans="1:19">
      <c r="A413" s="633"/>
      <c r="B413" s="633"/>
      <c r="C413" s="21">
        <f t="shared" si="66"/>
        <v>1</v>
      </c>
      <c r="D413" s="635"/>
      <c r="E413" s="21">
        <f t="shared" si="67"/>
        <v>1</v>
      </c>
      <c r="F413" s="635"/>
      <c r="G413" s="21">
        <f t="shared" si="68"/>
        <v>1</v>
      </c>
      <c r="H413" s="635"/>
      <c r="I413" s="21">
        <f t="shared" si="69"/>
        <v>1</v>
      </c>
      <c r="J413" s="635"/>
      <c r="K413" s="21">
        <f t="shared" si="70"/>
        <v>1</v>
      </c>
      <c r="L413" s="635"/>
      <c r="M413" s="21">
        <f t="shared" si="71"/>
        <v>1</v>
      </c>
      <c r="N413" s="635"/>
      <c r="O413" s="21">
        <f t="shared" si="72"/>
        <v>1</v>
      </c>
      <c r="P413" s="635"/>
      <c r="Q413" s="21">
        <f t="shared" si="73"/>
        <v>1</v>
      </c>
      <c r="R413" s="21">
        <f t="shared" si="74"/>
        <v>0</v>
      </c>
      <c r="S413" s="308">
        <f t="shared" si="65"/>
        <v>0</v>
      </c>
    </row>
    <row r="414" spans="1:19">
      <c r="A414" s="633"/>
      <c r="B414" s="633"/>
      <c r="C414" s="21">
        <f t="shared" si="66"/>
        <v>1</v>
      </c>
      <c r="D414" s="635"/>
      <c r="E414" s="21">
        <f t="shared" si="67"/>
        <v>1</v>
      </c>
      <c r="F414" s="635"/>
      <c r="G414" s="21">
        <f t="shared" si="68"/>
        <v>1</v>
      </c>
      <c r="H414" s="635"/>
      <c r="I414" s="21">
        <f t="shared" si="69"/>
        <v>1</v>
      </c>
      <c r="J414" s="635"/>
      <c r="K414" s="21">
        <f t="shared" si="70"/>
        <v>1</v>
      </c>
      <c r="L414" s="635"/>
      <c r="M414" s="21">
        <f t="shared" si="71"/>
        <v>1</v>
      </c>
      <c r="N414" s="635"/>
      <c r="O414" s="21">
        <f t="shared" si="72"/>
        <v>1</v>
      </c>
      <c r="P414" s="635"/>
      <c r="Q414" s="21">
        <f t="shared" si="73"/>
        <v>1</v>
      </c>
      <c r="R414" s="21">
        <f t="shared" si="74"/>
        <v>0</v>
      </c>
      <c r="S414" s="308">
        <f t="shared" si="65"/>
        <v>0</v>
      </c>
    </row>
    <row r="415" spans="1:19">
      <c r="A415" s="633"/>
      <c r="B415" s="633"/>
      <c r="C415" s="21">
        <f t="shared" si="66"/>
        <v>1</v>
      </c>
      <c r="D415" s="635"/>
      <c r="E415" s="21">
        <f t="shared" si="67"/>
        <v>1</v>
      </c>
      <c r="F415" s="635"/>
      <c r="G415" s="21">
        <f t="shared" si="68"/>
        <v>1</v>
      </c>
      <c r="H415" s="635"/>
      <c r="I415" s="21">
        <f t="shared" si="69"/>
        <v>1</v>
      </c>
      <c r="J415" s="635"/>
      <c r="K415" s="21">
        <f t="shared" si="70"/>
        <v>1</v>
      </c>
      <c r="L415" s="635"/>
      <c r="M415" s="21">
        <f t="shared" si="71"/>
        <v>1</v>
      </c>
      <c r="N415" s="635"/>
      <c r="O415" s="21">
        <f t="shared" si="72"/>
        <v>1</v>
      </c>
      <c r="P415" s="635"/>
      <c r="Q415" s="21">
        <f t="shared" si="73"/>
        <v>1</v>
      </c>
      <c r="R415" s="21">
        <f t="shared" si="74"/>
        <v>0</v>
      </c>
      <c r="S415" s="308">
        <f t="shared" si="65"/>
        <v>0</v>
      </c>
    </row>
    <row r="416" spans="1:19">
      <c r="A416" s="633"/>
      <c r="B416" s="633"/>
      <c r="C416" s="21">
        <f t="shared" si="66"/>
        <v>1</v>
      </c>
      <c r="D416" s="635"/>
      <c r="E416" s="21">
        <f t="shared" si="67"/>
        <v>1</v>
      </c>
      <c r="F416" s="635"/>
      <c r="G416" s="21">
        <f t="shared" si="68"/>
        <v>1</v>
      </c>
      <c r="H416" s="635"/>
      <c r="I416" s="21">
        <f t="shared" si="69"/>
        <v>1</v>
      </c>
      <c r="J416" s="635"/>
      <c r="K416" s="21">
        <f t="shared" si="70"/>
        <v>1</v>
      </c>
      <c r="L416" s="635"/>
      <c r="M416" s="21">
        <f t="shared" si="71"/>
        <v>1</v>
      </c>
      <c r="N416" s="635"/>
      <c r="O416" s="21">
        <f t="shared" si="72"/>
        <v>1</v>
      </c>
      <c r="P416" s="635"/>
      <c r="Q416" s="21">
        <f t="shared" si="73"/>
        <v>1</v>
      </c>
      <c r="R416" s="21">
        <f t="shared" si="74"/>
        <v>0</v>
      </c>
      <c r="S416" s="308">
        <f t="shared" si="65"/>
        <v>0</v>
      </c>
    </row>
    <row r="417" spans="1:19">
      <c r="A417" s="633"/>
      <c r="B417" s="633"/>
      <c r="C417" s="21">
        <f t="shared" si="66"/>
        <v>1</v>
      </c>
      <c r="D417" s="635"/>
      <c r="E417" s="21">
        <f t="shared" si="67"/>
        <v>1</v>
      </c>
      <c r="F417" s="635"/>
      <c r="G417" s="21">
        <f t="shared" si="68"/>
        <v>1</v>
      </c>
      <c r="H417" s="635"/>
      <c r="I417" s="21">
        <f t="shared" si="69"/>
        <v>1</v>
      </c>
      <c r="J417" s="635"/>
      <c r="K417" s="21">
        <f t="shared" si="70"/>
        <v>1</v>
      </c>
      <c r="L417" s="635"/>
      <c r="M417" s="21">
        <f t="shared" si="71"/>
        <v>1</v>
      </c>
      <c r="N417" s="635"/>
      <c r="O417" s="21">
        <f t="shared" si="72"/>
        <v>1</v>
      </c>
      <c r="P417" s="635"/>
      <c r="Q417" s="21">
        <f t="shared" si="73"/>
        <v>1</v>
      </c>
      <c r="R417" s="21">
        <f t="shared" si="74"/>
        <v>0</v>
      </c>
      <c r="S417" s="308">
        <f t="shared" si="65"/>
        <v>0</v>
      </c>
    </row>
    <row r="418" spans="1:19">
      <c r="A418" s="633"/>
      <c r="B418" s="633"/>
      <c r="C418" s="21">
        <f t="shared" si="66"/>
        <v>1</v>
      </c>
      <c r="D418" s="635"/>
      <c r="E418" s="21">
        <f t="shared" si="67"/>
        <v>1</v>
      </c>
      <c r="F418" s="635"/>
      <c r="G418" s="21">
        <f t="shared" si="68"/>
        <v>1</v>
      </c>
      <c r="H418" s="635"/>
      <c r="I418" s="21">
        <f t="shared" si="69"/>
        <v>1</v>
      </c>
      <c r="J418" s="635"/>
      <c r="K418" s="21">
        <f t="shared" si="70"/>
        <v>1</v>
      </c>
      <c r="L418" s="635"/>
      <c r="M418" s="21">
        <f t="shared" si="71"/>
        <v>1</v>
      </c>
      <c r="N418" s="635"/>
      <c r="O418" s="21">
        <f t="shared" si="72"/>
        <v>1</v>
      </c>
      <c r="P418" s="635"/>
      <c r="Q418" s="21">
        <f t="shared" si="73"/>
        <v>1</v>
      </c>
      <c r="R418" s="21">
        <f t="shared" si="74"/>
        <v>0</v>
      </c>
      <c r="S418" s="308">
        <f t="shared" si="65"/>
        <v>0</v>
      </c>
    </row>
    <row r="419" spans="1:19">
      <c r="A419" s="633"/>
      <c r="B419" s="633"/>
      <c r="C419" s="21">
        <f t="shared" si="66"/>
        <v>1</v>
      </c>
      <c r="D419" s="635"/>
      <c r="E419" s="21">
        <f t="shared" si="67"/>
        <v>1</v>
      </c>
      <c r="F419" s="635"/>
      <c r="G419" s="21">
        <f t="shared" si="68"/>
        <v>1</v>
      </c>
      <c r="H419" s="635"/>
      <c r="I419" s="21">
        <f t="shared" si="69"/>
        <v>1</v>
      </c>
      <c r="J419" s="635"/>
      <c r="K419" s="21">
        <f t="shared" si="70"/>
        <v>1</v>
      </c>
      <c r="L419" s="635"/>
      <c r="M419" s="21">
        <f t="shared" si="71"/>
        <v>1</v>
      </c>
      <c r="N419" s="635"/>
      <c r="O419" s="21">
        <f t="shared" si="72"/>
        <v>1</v>
      </c>
      <c r="P419" s="635"/>
      <c r="Q419" s="21">
        <f t="shared" si="73"/>
        <v>1</v>
      </c>
      <c r="R419" s="21">
        <f t="shared" si="74"/>
        <v>0</v>
      </c>
      <c r="S419" s="308">
        <f t="shared" si="65"/>
        <v>0</v>
      </c>
    </row>
    <row r="420" spans="1:19">
      <c r="A420" s="633"/>
      <c r="B420" s="633"/>
      <c r="C420" s="21">
        <f t="shared" si="66"/>
        <v>1</v>
      </c>
      <c r="D420" s="635"/>
      <c r="E420" s="21">
        <f t="shared" si="67"/>
        <v>1</v>
      </c>
      <c r="F420" s="635"/>
      <c r="G420" s="21">
        <f t="shared" si="68"/>
        <v>1</v>
      </c>
      <c r="H420" s="635"/>
      <c r="I420" s="21">
        <f t="shared" si="69"/>
        <v>1</v>
      </c>
      <c r="J420" s="635"/>
      <c r="K420" s="21">
        <f t="shared" si="70"/>
        <v>1</v>
      </c>
      <c r="L420" s="635"/>
      <c r="M420" s="21">
        <f t="shared" si="71"/>
        <v>1</v>
      </c>
      <c r="N420" s="635"/>
      <c r="O420" s="21">
        <f t="shared" si="72"/>
        <v>1</v>
      </c>
      <c r="P420" s="635"/>
      <c r="Q420" s="21">
        <f t="shared" si="73"/>
        <v>1</v>
      </c>
      <c r="R420" s="21">
        <f t="shared" si="74"/>
        <v>0</v>
      </c>
      <c r="S420" s="308">
        <f t="shared" si="65"/>
        <v>0</v>
      </c>
    </row>
    <row r="421" spans="1:19">
      <c r="A421" s="633"/>
      <c r="B421" s="633"/>
      <c r="C421" s="21">
        <f t="shared" si="66"/>
        <v>1</v>
      </c>
      <c r="D421" s="635"/>
      <c r="E421" s="21">
        <f t="shared" si="67"/>
        <v>1</v>
      </c>
      <c r="F421" s="635"/>
      <c r="G421" s="21">
        <f t="shared" si="68"/>
        <v>1</v>
      </c>
      <c r="H421" s="635"/>
      <c r="I421" s="21">
        <f t="shared" si="69"/>
        <v>1</v>
      </c>
      <c r="J421" s="635"/>
      <c r="K421" s="21">
        <f t="shared" si="70"/>
        <v>1</v>
      </c>
      <c r="L421" s="635"/>
      <c r="M421" s="21">
        <f t="shared" si="71"/>
        <v>1</v>
      </c>
      <c r="N421" s="635"/>
      <c r="O421" s="21">
        <f t="shared" si="72"/>
        <v>1</v>
      </c>
      <c r="P421" s="635"/>
      <c r="Q421" s="21">
        <f t="shared" si="73"/>
        <v>1</v>
      </c>
      <c r="R421" s="21">
        <f t="shared" si="74"/>
        <v>0</v>
      </c>
      <c r="S421" s="308">
        <f t="shared" si="65"/>
        <v>0</v>
      </c>
    </row>
    <row r="422" spans="1:19">
      <c r="A422" s="633"/>
      <c r="B422" s="633"/>
      <c r="C422" s="21">
        <f t="shared" si="66"/>
        <v>1</v>
      </c>
      <c r="D422" s="635"/>
      <c r="E422" s="21">
        <f t="shared" si="67"/>
        <v>1</v>
      </c>
      <c r="F422" s="635"/>
      <c r="G422" s="21">
        <f t="shared" si="68"/>
        <v>1</v>
      </c>
      <c r="H422" s="635"/>
      <c r="I422" s="21">
        <f t="shared" si="69"/>
        <v>1</v>
      </c>
      <c r="J422" s="635"/>
      <c r="K422" s="21">
        <f t="shared" si="70"/>
        <v>1</v>
      </c>
      <c r="L422" s="635"/>
      <c r="M422" s="21">
        <f t="shared" si="71"/>
        <v>1</v>
      </c>
      <c r="N422" s="635"/>
      <c r="O422" s="21">
        <f t="shared" si="72"/>
        <v>1</v>
      </c>
      <c r="P422" s="635"/>
      <c r="Q422" s="21">
        <f t="shared" si="73"/>
        <v>1</v>
      </c>
      <c r="R422" s="21">
        <f t="shared" si="74"/>
        <v>0</v>
      </c>
      <c r="S422" s="308">
        <f t="shared" si="65"/>
        <v>0</v>
      </c>
    </row>
    <row r="423" spans="1:19">
      <c r="A423" s="633"/>
      <c r="B423" s="633"/>
      <c r="C423" s="21">
        <f t="shared" si="66"/>
        <v>1</v>
      </c>
      <c r="D423" s="635"/>
      <c r="E423" s="21">
        <f t="shared" si="67"/>
        <v>1</v>
      </c>
      <c r="F423" s="635"/>
      <c r="G423" s="21">
        <f t="shared" si="68"/>
        <v>1</v>
      </c>
      <c r="H423" s="635"/>
      <c r="I423" s="21">
        <f t="shared" si="69"/>
        <v>1</v>
      </c>
      <c r="J423" s="635"/>
      <c r="K423" s="21">
        <f t="shared" si="70"/>
        <v>1</v>
      </c>
      <c r="L423" s="635"/>
      <c r="M423" s="21">
        <f t="shared" si="71"/>
        <v>1</v>
      </c>
      <c r="N423" s="635"/>
      <c r="O423" s="21">
        <f t="shared" si="72"/>
        <v>1</v>
      </c>
      <c r="P423" s="635"/>
      <c r="Q423" s="21">
        <f t="shared" si="73"/>
        <v>1</v>
      </c>
      <c r="R423" s="21">
        <f t="shared" si="74"/>
        <v>0</v>
      </c>
      <c r="S423" s="308">
        <f t="shared" si="65"/>
        <v>0</v>
      </c>
    </row>
    <row r="424" spans="1:19">
      <c r="A424" s="633"/>
      <c r="B424" s="633"/>
      <c r="C424" s="21">
        <f t="shared" si="66"/>
        <v>1</v>
      </c>
      <c r="D424" s="635"/>
      <c r="E424" s="21">
        <f t="shared" si="67"/>
        <v>1</v>
      </c>
      <c r="F424" s="635"/>
      <c r="G424" s="21">
        <f t="shared" si="68"/>
        <v>1</v>
      </c>
      <c r="H424" s="635"/>
      <c r="I424" s="21">
        <f t="shared" si="69"/>
        <v>1</v>
      </c>
      <c r="J424" s="635"/>
      <c r="K424" s="21">
        <f t="shared" si="70"/>
        <v>1</v>
      </c>
      <c r="L424" s="635"/>
      <c r="M424" s="21">
        <f t="shared" si="71"/>
        <v>1</v>
      </c>
      <c r="N424" s="635"/>
      <c r="O424" s="21">
        <f t="shared" si="72"/>
        <v>1</v>
      </c>
      <c r="P424" s="635"/>
      <c r="Q424" s="21">
        <f t="shared" si="73"/>
        <v>1</v>
      </c>
      <c r="R424" s="21">
        <f t="shared" si="74"/>
        <v>0</v>
      </c>
      <c r="S424" s="308">
        <f t="shared" si="65"/>
        <v>0</v>
      </c>
    </row>
    <row r="425" spans="1:19">
      <c r="A425" s="633"/>
      <c r="B425" s="633"/>
      <c r="C425" s="21">
        <f t="shared" si="66"/>
        <v>1</v>
      </c>
      <c r="D425" s="635"/>
      <c r="E425" s="21">
        <f t="shared" si="67"/>
        <v>1</v>
      </c>
      <c r="F425" s="635"/>
      <c r="G425" s="21">
        <f t="shared" si="68"/>
        <v>1</v>
      </c>
      <c r="H425" s="635"/>
      <c r="I425" s="21">
        <f t="shared" si="69"/>
        <v>1</v>
      </c>
      <c r="J425" s="635"/>
      <c r="K425" s="21">
        <f t="shared" si="70"/>
        <v>1</v>
      </c>
      <c r="L425" s="635"/>
      <c r="M425" s="21">
        <f t="shared" si="71"/>
        <v>1</v>
      </c>
      <c r="N425" s="635"/>
      <c r="O425" s="21">
        <f t="shared" si="72"/>
        <v>1</v>
      </c>
      <c r="P425" s="635"/>
      <c r="Q425" s="21">
        <f t="shared" si="73"/>
        <v>1</v>
      </c>
      <c r="R425" s="21">
        <f t="shared" si="74"/>
        <v>0</v>
      </c>
      <c r="S425" s="308">
        <f t="shared" si="65"/>
        <v>0</v>
      </c>
    </row>
    <row r="426" spans="1:19">
      <c r="A426" s="633"/>
      <c r="B426" s="633"/>
      <c r="C426" s="21">
        <f t="shared" si="66"/>
        <v>1</v>
      </c>
      <c r="D426" s="635"/>
      <c r="E426" s="21">
        <f t="shared" si="67"/>
        <v>1</v>
      </c>
      <c r="F426" s="635"/>
      <c r="G426" s="21">
        <f t="shared" si="68"/>
        <v>1</v>
      </c>
      <c r="H426" s="635"/>
      <c r="I426" s="21">
        <f t="shared" si="69"/>
        <v>1</v>
      </c>
      <c r="J426" s="635"/>
      <c r="K426" s="21">
        <f t="shared" si="70"/>
        <v>1</v>
      </c>
      <c r="L426" s="635"/>
      <c r="M426" s="21">
        <f t="shared" si="71"/>
        <v>1</v>
      </c>
      <c r="N426" s="635"/>
      <c r="O426" s="21">
        <f t="shared" si="72"/>
        <v>1</v>
      </c>
      <c r="P426" s="635"/>
      <c r="Q426" s="21">
        <f t="shared" si="73"/>
        <v>1</v>
      </c>
      <c r="R426" s="21">
        <f t="shared" si="74"/>
        <v>0</v>
      </c>
      <c r="S426" s="308">
        <f t="shared" si="65"/>
        <v>0</v>
      </c>
    </row>
    <row r="427" spans="1:19">
      <c r="A427" s="633"/>
      <c r="B427" s="633"/>
      <c r="C427" s="21">
        <f t="shared" si="66"/>
        <v>1</v>
      </c>
      <c r="D427" s="635"/>
      <c r="E427" s="21">
        <f t="shared" si="67"/>
        <v>1</v>
      </c>
      <c r="F427" s="635"/>
      <c r="G427" s="21">
        <f t="shared" si="68"/>
        <v>1</v>
      </c>
      <c r="H427" s="635"/>
      <c r="I427" s="21">
        <f t="shared" si="69"/>
        <v>1</v>
      </c>
      <c r="J427" s="635"/>
      <c r="K427" s="21">
        <f t="shared" si="70"/>
        <v>1</v>
      </c>
      <c r="L427" s="635"/>
      <c r="M427" s="21">
        <f t="shared" si="71"/>
        <v>1</v>
      </c>
      <c r="N427" s="635"/>
      <c r="O427" s="21">
        <f t="shared" si="72"/>
        <v>1</v>
      </c>
      <c r="P427" s="635"/>
      <c r="Q427" s="21">
        <f t="shared" si="73"/>
        <v>1</v>
      </c>
      <c r="R427" s="21">
        <f t="shared" si="74"/>
        <v>0</v>
      </c>
      <c r="S427" s="308">
        <f t="shared" si="65"/>
        <v>0</v>
      </c>
    </row>
    <row r="428" spans="1:19">
      <c r="A428" s="633"/>
      <c r="B428" s="633"/>
      <c r="C428" s="21">
        <f t="shared" si="66"/>
        <v>1</v>
      </c>
      <c r="D428" s="635"/>
      <c r="E428" s="21">
        <f t="shared" si="67"/>
        <v>1</v>
      </c>
      <c r="F428" s="635"/>
      <c r="G428" s="21">
        <f t="shared" si="68"/>
        <v>1</v>
      </c>
      <c r="H428" s="635"/>
      <c r="I428" s="21">
        <f t="shared" si="69"/>
        <v>1</v>
      </c>
      <c r="J428" s="635"/>
      <c r="K428" s="21">
        <f t="shared" si="70"/>
        <v>1</v>
      </c>
      <c r="L428" s="635"/>
      <c r="M428" s="21">
        <f t="shared" si="71"/>
        <v>1</v>
      </c>
      <c r="N428" s="635"/>
      <c r="O428" s="21">
        <f t="shared" si="72"/>
        <v>1</v>
      </c>
      <c r="P428" s="635"/>
      <c r="Q428" s="21">
        <f t="shared" si="73"/>
        <v>1</v>
      </c>
      <c r="R428" s="21">
        <f t="shared" si="74"/>
        <v>0</v>
      </c>
      <c r="S428" s="308">
        <f t="shared" si="65"/>
        <v>0</v>
      </c>
    </row>
    <row r="429" spans="1:19">
      <c r="A429" s="633"/>
      <c r="B429" s="633"/>
      <c r="C429" s="21">
        <f t="shared" si="66"/>
        <v>1</v>
      </c>
      <c r="D429" s="635"/>
      <c r="E429" s="21">
        <f t="shared" si="67"/>
        <v>1</v>
      </c>
      <c r="F429" s="635"/>
      <c r="G429" s="21">
        <f t="shared" si="68"/>
        <v>1</v>
      </c>
      <c r="H429" s="635"/>
      <c r="I429" s="21">
        <f t="shared" si="69"/>
        <v>1</v>
      </c>
      <c r="J429" s="635"/>
      <c r="K429" s="21">
        <f t="shared" si="70"/>
        <v>1</v>
      </c>
      <c r="L429" s="635"/>
      <c r="M429" s="21">
        <f t="shared" si="71"/>
        <v>1</v>
      </c>
      <c r="N429" s="635"/>
      <c r="O429" s="21">
        <f t="shared" si="72"/>
        <v>1</v>
      </c>
      <c r="P429" s="635"/>
      <c r="Q429" s="21">
        <f t="shared" si="73"/>
        <v>1</v>
      </c>
      <c r="R429" s="21">
        <f t="shared" si="74"/>
        <v>0</v>
      </c>
      <c r="S429" s="308">
        <f t="shared" si="65"/>
        <v>0</v>
      </c>
    </row>
    <row r="430" spans="1:19">
      <c r="A430" s="633"/>
      <c r="B430" s="633"/>
      <c r="C430" s="21">
        <f t="shared" si="66"/>
        <v>1</v>
      </c>
      <c r="D430" s="635"/>
      <c r="E430" s="21">
        <f t="shared" si="67"/>
        <v>1</v>
      </c>
      <c r="F430" s="635"/>
      <c r="G430" s="21">
        <f t="shared" si="68"/>
        <v>1</v>
      </c>
      <c r="H430" s="635"/>
      <c r="I430" s="21">
        <f t="shared" si="69"/>
        <v>1</v>
      </c>
      <c r="J430" s="635"/>
      <c r="K430" s="21">
        <f t="shared" si="70"/>
        <v>1</v>
      </c>
      <c r="L430" s="635"/>
      <c r="M430" s="21">
        <f t="shared" si="71"/>
        <v>1</v>
      </c>
      <c r="N430" s="635"/>
      <c r="O430" s="21">
        <f t="shared" si="72"/>
        <v>1</v>
      </c>
      <c r="P430" s="635"/>
      <c r="Q430" s="21">
        <f t="shared" si="73"/>
        <v>1</v>
      </c>
      <c r="R430" s="21">
        <f t="shared" si="74"/>
        <v>0</v>
      </c>
      <c r="S430" s="308">
        <f t="shared" si="65"/>
        <v>0</v>
      </c>
    </row>
    <row r="431" spans="1:19">
      <c r="A431" s="633"/>
      <c r="B431" s="633"/>
      <c r="C431" s="21">
        <f t="shared" si="66"/>
        <v>1</v>
      </c>
      <c r="D431" s="635"/>
      <c r="E431" s="21">
        <f t="shared" si="67"/>
        <v>1</v>
      </c>
      <c r="F431" s="635"/>
      <c r="G431" s="21">
        <f t="shared" si="68"/>
        <v>1</v>
      </c>
      <c r="H431" s="635"/>
      <c r="I431" s="21">
        <f t="shared" si="69"/>
        <v>1</v>
      </c>
      <c r="J431" s="635"/>
      <c r="K431" s="21">
        <f t="shared" si="70"/>
        <v>1</v>
      </c>
      <c r="L431" s="635"/>
      <c r="M431" s="21">
        <f t="shared" si="71"/>
        <v>1</v>
      </c>
      <c r="N431" s="635"/>
      <c r="O431" s="21">
        <f t="shared" si="72"/>
        <v>1</v>
      </c>
      <c r="P431" s="635"/>
      <c r="Q431" s="21">
        <f t="shared" si="73"/>
        <v>1</v>
      </c>
      <c r="R431" s="21">
        <f t="shared" si="74"/>
        <v>0</v>
      </c>
      <c r="S431" s="308">
        <f t="shared" si="65"/>
        <v>0</v>
      </c>
    </row>
    <row r="432" spans="1:19">
      <c r="A432" s="633"/>
      <c r="B432" s="633"/>
      <c r="C432" s="21">
        <f t="shared" si="66"/>
        <v>1</v>
      </c>
      <c r="D432" s="635"/>
      <c r="E432" s="21">
        <f t="shared" si="67"/>
        <v>1</v>
      </c>
      <c r="F432" s="635"/>
      <c r="G432" s="21">
        <f t="shared" si="68"/>
        <v>1</v>
      </c>
      <c r="H432" s="635"/>
      <c r="I432" s="21">
        <f t="shared" si="69"/>
        <v>1</v>
      </c>
      <c r="J432" s="635"/>
      <c r="K432" s="21">
        <f t="shared" si="70"/>
        <v>1</v>
      </c>
      <c r="L432" s="635"/>
      <c r="M432" s="21">
        <f t="shared" si="71"/>
        <v>1</v>
      </c>
      <c r="N432" s="635"/>
      <c r="O432" s="21">
        <f t="shared" si="72"/>
        <v>1</v>
      </c>
      <c r="P432" s="635"/>
      <c r="Q432" s="21">
        <f t="shared" si="73"/>
        <v>1</v>
      </c>
      <c r="R432" s="21">
        <f t="shared" si="74"/>
        <v>0</v>
      </c>
      <c r="S432" s="308">
        <f t="shared" si="65"/>
        <v>0</v>
      </c>
    </row>
    <row r="433" spans="1:19">
      <c r="A433" s="633"/>
      <c r="B433" s="633"/>
      <c r="C433" s="21">
        <f t="shared" si="66"/>
        <v>1</v>
      </c>
      <c r="D433" s="635"/>
      <c r="E433" s="21">
        <f t="shared" si="67"/>
        <v>1</v>
      </c>
      <c r="F433" s="635"/>
      <c r="G433" s="21">
        <f t="shared" si="68"/>
        <v>1</v>
      </c>
      <c r="H433" s="635"/>
      <c r="I433" s="21">
        <f t="shared" si="69"/>
        <v>1</v>
      </c>
      <c r="J433" s="635"/>
      <c r="K433" s="21">
        <f t="shared" si="70"/>
        <v>1</v>
      </c>
      <c r="L433" s="635"/>
      <c r="M433" s="21">
        <f t="shared" si="71"/>
        <v>1</v>
      </c>
      <c r="N433" s="635"/>
      <c r="O433" s="21">
        <f t="shared" si="72"/>
        <v>1</v>
      </c>
      <c r="P433" s="635"/>
      <c r="Q433" s="21">
        <f t="shared" si="73"/>
        <v>1</v>
      </c>
      <c r="R433" s="21">
        <f t="shared" si="74"/>
        <v>0</v>
      </c>
      <c r="S433" s="308">
        <f t="shared" si="65"/>
        <v>0</v>
      </c>
    </row>
    <row r="434" spans="1:19">
      <c r="A434" s="633"/>
      <c r="B434" s="633"/>
      <c r="C434" s="21">
        <f t="shared" si="66"/>
        <v>1</v>
      </c>
      <c r="D434" s="635"/>
      <c r="E434" s="21">
        <f t="shared" si="67"/>
        <v>1</v>
      </c>
      <c r="F434" s="635"/>
      <c r="G434" s="21">
        <f t="shared" si="68"/>
        <v>1</v>
      </c>
      <c r="H434" s="635"/>
      <c r="I434" s="21">
        <f t="shared" si="69"/>
        <v>1</v>
      </c>
      <c r="J434" s="635"/>
      <c r="K434" s="21">
        <f t="shared" si="70"/>
        <v>1</v>
      </c>
      <c r="L434" s="635"/>
      <c r="M434" s="21">
        <f t="shared" si="71"/>
        <v>1</v>
      </c>
      <c r="N434" s="635"/>
      <c r="O434" s="21">
        <f t="shared" si="72"/>
        <v>1</v>
      </c>
      <c r="P434" s="635"/>
      <c r="Q434" s="21">
        <f t="shared" si="73"/>
        <v>1</v>
      </c>
      <c r="R434" s="21">
        <f t="shared" si="74"/>
        <v>0</v>
      </c>
      <c r="S434" s="308">
        <f t="shared" si="65"/>
        <v>0</v>
      </c>
    </row>
    <row r="435" spans="1:19">
      <c r="A435" s="633"/>
      <c r="B435" s="633"/>
      <c r="C435" s="21">
        <f t="shared" si="66"/>
        <v>1</v>
      </c>
      <c r="D435" s="635"/>
      <c r="E435" s="21">
        <f t="shared" si="67"/>
        <v>1</v>
      </c>
      <c r="F435" s="635"/>
      <c r="G435" s="21">
        <f t="shared" si="68"/>
        <v>1</v>
      </c>
      <c r="H435" s="635"/>
      <c r="I435" s="21">
        <f t="shared" si="69"/>
        <v>1</v>
      </c>
      <c r="J435" s="635"/>
      <c r="K435" s="21">
        <f t="shared" si="70"/>
        <v>1</v>
      </c>
      <c r="L435" s="635"/>
      <c r="M435" s="21">
        <f t="shared" si="71"/>
        <v>1</v>
      </c>
      <c r="N435" s="635"/>
      <c r="O435" s="21">
        <f t="shared" si="72"/>
        <v>1</v>
      </c>
      <c r="P435" s="635"/>
      <c r="Q435" s="21">
        <f t="shared" si="73"/>
        <v>1</v>
      </c>
      <c r="R435" s="21">
        <f t="shared" si="74"/>
        <v>0</v>
      </c>
      <c r="S435" s="308">
        <f t="shared" si="65"/>
        <v>0</v>
      </c>
    </row>
    <row r="436" spans="1:19">
      <c r="A436" s="633"/>
      <c r="B436" s="633"/>
      <c r="C436" s="21">
        <f t="shared" si="66"/>
        <v>1</v>
      </c>
      <c r="D436" s="635"/>
      <c r="E436" s="21">
        <f t="shared" si="67"/>
        <v>1</v>
      </c>
      <c r="F436" s="635"/>
      <c r="G436" s="21">
        <f t="shared" si="68"/>
        <v>1</v>
      </c>
      <c r="H436" s="635"/>
      <c r="I436" s="21">
        <f t="shared" si="69"/>
        <v>1</v>
      </c>
      <c r="J436" s="635"/>
      <c r="K436" s="21">
        <f t="shared" si="70"/>
        <v>1</v>
      </c>
      <c r="L436" s="635"/>
      <c r="M436" s="21">
        <f t="shared" si="71"/>
        <v>1</v>
      </c>
      <c r="N436" s="635"/>
      <c r="O436" s="21">
        <f t="shared" si="72"/>
        <v>1</v>
      </c>
      <c r="P436" s="635"/>
      <c r="Q436" s="21">
        <f t="shared" si="73"/>
        <v>1</v>
      </c>
      <c r="R436" s="21">
        <f t="shared" si="74"/>
        <v>0</v>
      </c>
      <c r="S436" s="308">
        <f t="shared" si="65"/>
        <v>0</v>
      </c>
    </row>
    <row r="437" spans="1:19">
      <c r="A437" s="633"/>
      <c r="B437" s="633"/>
      <c r="C437" s="21">
        <f t="shared" si="66"/>
        <v>1</v>
      </c>
      <c r="D437" s="635"/>
      <c r="E437" s="21">
        <f t="shared" si="67"/>
        <v>1</v>
      </c>
      <c r="F437" s="635"/>
      <c r="G437" s="21">
        <f t="shared" si="68"/>
        <v>1</v>
      </c>
      <c r="H437" s="635"/>
      <c r="I437" s="21">
        <f t="shared" si="69"/>
        <v>1</v>
      </c>
      <c r="J437" s="635"/>
      <c r="K437" s="21">
        <f t="shared" si="70"/>
        <v>1</v>
      </c>
      <c r="L437" s="635"/>
      <c r="M437" s="21">
        <f t="shared" si="71"/>
        <v>1</v>
      </c>
      <c r="N437" s="635"/>
      <c r="O437" s="21">
        <f t="shared" si="72"/>
        <v>1</v>
      </c>
      <c r="P437" s="635"/>
      <c r="Q437" s="21">
        <f t="shared" si="73"/>
        <v>1</v>
      </c>
      <c r="R437" s="21">
        <f t="shared" si="74"/>
        <v>0</v>
      </c>
      <c r="S437" s="308">
        <f t="shared" si="65"/>
        <v>0</v>
      </c>
    </row>
    <row r="438" spans="1:19">
      <c r="A438" s="633"/>
      <c r="B438" s="633"/>
      <c r="C438" s="21">
        <f t="shared" si="66"/>
        <v>1</v>
      </c>
      <c r="D438" s="635"/>
      <c r="E438" s="21">
        <f t="shared" si="67"/>
        <v>1</v>
      </c>
      <c r="F438" s="635"/>
      <c r="G438" s="21">
        <f t="shared" si="68"/>
        <v>1</v>
      </c>
      <c r="H438" s="635"/>
      <c r="I438" s="21">
        <f t="shared" si="69"/>
        <v>1</v>
      </c>
      <c r="J438" s="635"/>
      <c r="K438" s="21">
        <f t="shared" si="70"/>
        <v>1</v>
      </c>
      <c r="L438" s="635"/>
      <c r="M438" s="21">
        <f t="shared" si="71"/>
        <v>1</v>
      </c>
      <c r="N438" s="635"/>
      <c r="O438" s="21">
        <f t="shared" si="72"/>
        <v>1</v>
      </c>
      <c r="P438" s="635"/>
      <c r="Q438" s="21">
        <f t="shared" si="73"/>
        <v>1</v>
      </c>
      <c r="R438" s="21">
        <f t="shared" si="74"/>
        <v>0</v>
      </c>
      <c r="S438" s="308">
        <f t="shared" si="65"/>
        <v>0</v>
      </c>
    </row>
    <row r="439" spans="1:19">
      <c r="A439" s="633"/>
      <c r="B439" s="633"/>
      <c r="C439" s="21">
        <f t="shared" si="66"/>
        <v>1</v>
      </c>
      <c r="D439" s="635"/>
      <c r="E439" s="21">
        <f t="shared" si="67"/>
        <v>1</v>
      </c>
      <c r="F439" s="635"/>
      <c r="G439" s="21">
        <f t="shared" si="68"/>
        <v>1</v>
      </c>
      <c r="H439" s="635"/>
      <c r="I439" s="21">
        <f t="shared" si="69"/>
        <v>1</v>
      </c>
      <c r="J439" s="635"/>
      <c r="K439" s="21">
        <f t="shared" si="70"/>
        <v>1</v>
      </c>
      <c r="L439" s="635"/>
      <c r="M439" s="21">
        <f t="shared" si="71"/>
        <v>1</v>
      </c>
      <c r="N439" s="635"/>
      <c r="O439" s="21">
        <f t="shared" si="72"/>
        <v>1</v>
      </c>
      <c r="P439" s="635"/>
      <c r="Q439" s="21">
        <f t="shared" si="73"/>
        <v>1</v>
      </c>
      <c r="R439" s="21">
        <f t="shared" si="74"/>
        <v>0</v>
      </c>
      <c r="S439" s="308">
        <f t="shared" si="65"/>
        <v>0</v>
      </c>
    </row>
    <row r="440" spans="1:19">
      <c r="A440" s="633"/>
      <c r="B440" s="633"/>
      <c r="C440" s="21">
        <f t="shared" si="66"/>
        <v>1</v>
      </c>
      <c r="D440" s="635"/>
      <c r="E440" s="21">
        <f t="shared" si="67"/>
        <v>1</v>
      </c>
      <c r="F440" s="635"/>
      <c r="G440" s="21">
        <f t="shared" si="68"/>
        <v>1</v>
      </c>
      <c r="H440" s="635"/>
      <c r="I440" s="21">
        <f t="shared" si="69"/>
        <v>1</v>
      </c>
      <c r="J440" s="635"/>
      <c r="K440" s="21">
        <f t="shared" si="70"/>
        <v>1</v>
      </c>
      <c r="L440" s="635"/>
      <c r="M440" s="21">
        <f t="shared" si="71"/>
        <v>1</v>
      </c>
      <c r="N440" s="635"/>
      <c r="O440" s="21">
        <f t="shared" si="72"/>
        <v>1</v>
      </c>
      <c r="P440" s="635"/>
      <c r="Q440" s="21">
        <f t="shared" si="73"/>
        <v>1</v>
      </c>
      <c r="R440" s="21">
        <f t="shared" si="74"/>
        <v>0</v>
      </c>
      <c r="S440" s="308">
        <f t="shared" si="65"/>
        <v>0</v>
      </c>
    </row>
    <row r="441" spans="1:19">
      <c r="A441" s="142"/>
      <c r="B441" s="52"/>
      <c r="C441" s="21">
        <f t="shared" si="66"/>
        <v>1</v>
      </c>
      <c r="D441" s="635"/>
      <c r="E441" s="21">
        <f t="shared" si="67"/>
        <v>1</v>
      </c>
      <c r="F441" s="635"/>
      <c r="G441" s="21">
        <f t="shared" si="68"/>
        <v>1</v>
      </c>
      <c r="H441" s="635"/>
      <c r="I441" s="21">
        <f t="shared" si="69"/>
        <v>1</v>
      </c>
      <c r="J441" s="635"/>
      <c r="K441" s="21">
        <f t="shared" si="70"/>
        <v>1</v>
      </c>
      <c r="L441" s="635"/>
      <c r="M441" s="21">
        <f t="shared" si="71"/>
        <v>1</v>
      </c>
      <c r="N441" s="635"/>
      <c r="O441" s="21">
        <f t="shared" si="72"/>
        <v>1</v>
      </c>
      <c r="P441" s="635"/>
      <c r="Q441" s="21">
        <f t="shared" si="73"/>
        <v>1</v>
      </c>
      <c r="R441" s="21">
        <f t="shared" si="74"/>
        <v>0</v>
      </c>
      <c r="S441" s="308">
        <f t="shared" si="65"/>
        <v>0</v>
      </c>
    </row>
    <row r="442" spans="1:19">
      <c r="A442" s="142"/>
      <c r="B442" s="52"/>
      <c r="C442" s="21">
        <f t="shared" si="66"/>
        <v>1</v>
      </c>
      <c r="D442" s="635"/>
      <c r="E442" s="21">
        <f t="shared" si="67"/>
        <v>1</v>
      </c>
      <c r="F442" s="635"/>
      <c r="G442" s="21">
        <f t="shared" si="68"/>
        <v>1</v>
      </c>
      <c r="H442" s="635"/>
      <c r="I442" s="21">
        <f t="shared" si="69"/>
        <v>1</v>
      </c>
      <c r="J442" s="635"/>
      <c r="K442" s="21">
        <f t="shared" si="70"/>
        <v>1</v>
      </c>
      <c r="L442" s="635"/>
      <c r="M442" s="21">
        <f t="shared" si="71"/>
        <v>1</v>
      </c>
      <c r="N442" s="635"/>
      <c r="O442" s="21">
        <f t="shared" si="72"/>
        <v>1</v>
      </c>
      <c r="P442" s="635"/>
      <c r="Q442" s="21">
        <f t="shared" si="73"/>
        <v>1</v>
      </c>
      <c r="R442" s="21">
        <f t="shared" si="74"/>
        <v>0</v>
      </c>
      <c r="S442" s="308">
        <f t="shared" si="65"/>
        <v>0</v>
      </c>
    </row>
    <row r="443" spans="1:19">
      <c r="A443" s="142"/>
      <c r="B443" s="52"/>
      <c r="C443" s="21">
        <f t="shared" si="66"/>
        <v>1</v>
      </c>
      <c r="D443" s="635"/>
      <c r="E443" s="21">
        <f t="shared" si="67"/>
        <v>1</v>
      </c>
      <c r="F443" s="635"/>
      <c r="G443" s="21">
        <f t="shared" si="68"/>
        <v>1</v>
      </c>
      <c r="H443" s="635"/>
      <c r="I443" s="21">
        <f t="shared" si="69"/>
        <v>1</v>
      </c>
      <c r="J443" s="635"/>
      <c r="K443" s="21">
        <f t="shared" si="70"/>
        <v>1</v>
      </c>
      <c r="L443" s="635"/>
      <c r="M443" s="21">
        <f t="shared" si="71"/>
        <v>1</v>
      </c>
      <c r="N443" s="635"/>
      <c r="O443" s="21">
        <f t="shared" si="72"/>
        <v>1</v>
      </c>
      <c r="P443" s="635"/>
      <c r="Q443" s="21">
        <f t="shared" si="73"/>
        <v>1</v>
      </c>
      <c r="R443" s="21">
        <f t="shared" si="74"/>
        <v>0</v>
      </c>
      <c r="S443" s="308">
        <f t="shared" si="65"/>
        <v>0</v>
      </c>
    </row>
    <row r="444" spans="1:19">
      <c r="A444" s="142"/>
      <c r="B444" s="52"/>
      <c r="C444" s="21">
        <f t="shared" si="66"/>
        <v>1</v>
      </c>
      <c r="D444" s="635"/>
      <c r="E444" s="21">
        <f t="shared" si="67"/>
        <v>1</v>
      </c>
      <c r="F444" s="635"/>
      <c r="G444" s="21">
        <f t="shared" si="68"/>
        <v>1</v>
      </c>
      <c r="H444" s="635"/>
      <c r="I444" s="21">
        <f t="shared" si="69"/>
        <v>1</v>
      </c>
      <c r="J444" s="635"/>
      <c r="K444" s="21">
        <f t="shared" si="70"/>
        <v>1</v>
      </c>
      <c r="L444" s="635"/>
      <c r="M444" s="21">
        <f t="shared" si="71"/>
        <v>1</v>
      </c>
      <c r="N444" s="635"/>
      <c r="O444" s="21">
        <f t="shared" si="72"/>
        <v>1</v>
      </c>
      <c r="P444" s="635"/>
      <c r="Q444" s="21">
        <f t="shared" si="73"/>
        <v>1</v>
      </c>
      <c r="R444" s="21">
        <f t="shared" si="74"/>
        <v>0</v>
      </c>
      <c r="S444" s="308">
        <f t="shared" si="65"/>
        <v>0</v>
      </c>
    </row>
    <row r="445" spans="1:19">
      <c r="A445" s="142"/>
      <c r="B445" s="52"/>
      <c r="C445" s="21">
        <f t="shared" si="66"/>
        <v>1</v>
      </c>
      <c r="D445" s="635"/>
      <c r="E445" s="21">
        <f t="shared" si="67"/>
        <v>1</v>
      </c>
      <c r="F445" s="635"/>
      <c r="G445" s="21">
        <f t="shared" si="68"/>
        <v>1</v>
      </c>
      <c r="H445" s="635"/>
      <c r="I445" s="21">
        <f t="shared" si="69"/>
        <v>1</v>
      </c>
      <c r="J445" s="635"/>
      <c r="K445" s="21">
        <f t="shared" si="70"/>
        <v>1</v>
      </c>
      <c r="L445" s="635"/>
      <c r="M445" s="21">
        <f t="shared" si="71"/>
        <v>1</v>
      </c>
      <c r="N445" s="635"/>
      <c r="O445" s="21">
        <f t="shared" si="72"/>
        <v>1</v>
      </c>
      <c r="P445" s="635"/>
      <c r="Q445" s="21">
        <f t="shared" si="73"/>
        <v>1</v>
      </c>
      <c r="R445" s="21">
        <f t="shared" si="74"/>
        <v>0</v>
      </c>
      <c r="S445" s="308">
        <f t="shared" si="65"/>
        <v>0</v>
      </c>
    </row>
    <row r="446" spans="1:19">
      <c r="A446" s="142"/>
      <c r="B446" s="52"/>
      <c r="C446" s="21">
        <f t="shared" si="66"/>
        <v>1</v>
      </c>
      <c r="D446" s="635"/>
      <c r="E446" s="21">
        <f t="shared" si="67"/>
        <v>1</v>
      </c>
      <c r="F446" s="635"/>
      <c r="G446" s="21">
        <f t="shared" si="68"/>
        <v>1</v>
      </c>
      <c r="H446" s="635"/>
      <c r="I446" s="21">
        <f t="shared" si="69"/>
        <v>1</v>
      </c>
      <c r="J446" s="635"/>
      <c r="K446" s="21">
        <f t="shared" si="70"/>
        <v>1</v>
      </c>
      <c r="L446" s="635"/>
      <c r="M446" s="21">
        <f t="shared" si="71"/>
        <v>1</v>
      </c>
      <c r="N446" s="635"/>
      <c r="O446" s="21">
        <f t="shared" si="72"/>
        <v>1</v>
      </c>
      <c r="P446" s="635"/>
      <c r="Q446" s="21">
        <f t="shared" si="73"/>
        <v>1</v>
      </c>
      <c r="R446" s="21">
        <f t="shared" si="74"/>
        <v>0</v>
      </c>
      <c r="S446" s="308">
        <f t="shared" si="65"/>
        <v>0</v>
      </c>
    </row>
    <row r="447" spans="1:19">
      <c r="A447" s="142"/>
      <c r="B447" s="52"/>
      <c r="C447" s="21">
        <f t="shared" si="66"/>
        <v>1</v>
      </c>
      <c r="D447" s="635"/>
      <c r="E447" s="21">
        <f t="shared" si="67"/>
        <v>1</v>
      </c>
      <c r="F447" s="635"/>
      <c r="G447" s="21">
        <f t="shared" si="68"/>
        <v>1</v>
      </c>
      <c r="H447" s="635"/>
      <c r="I447" s="21">
        <f t="shared" si="69"/>
        <v>1</v>
      </c>
      <c r="J447" s="635"/>
      <c r="K447" s="21">
        <f t="shared" si="70"/>
        <v>1</v>
      </c>
      <c r="L447" s="635"/>
      <c r="M447" s="21">
        <f t="shared" si="71"/>
        <v>1</v>
      </c>
      <c r="N447" s="635"/>
      <c r="O447" s="21">
        <f t="shared" si="72"/>
        <v>1</v>
      </c>
      <c r="P447" s="635"/>
      <c r="Q447" s="21">
        <f t="shared" si="73"/>
        <v>1</v>
      </c>
      <c r="R447" s="21">
        <f t="shared" si="74"/>
        <v>0</v>
      </c>
      <c r="S447" s="308">
        <f t="shared" si="65"/>
        <v>0</v>
      </c>
    </row>
    <row r="448" spans="1:19">
      <c r="A448" s="142"/>
      <c r="B448" s="52"/>
      <c r="C448" s="21">
        <f t="shared" si="66"/>
        <v>1</v>
      </c>
      <c r="D448" s="635"/>
      <c r="E448" s="21">
        <f t="shared" si="67"/>
        <v>1</v>
      </c>
      <c r="F448" s="635"/>
      <c r="G448" s="21">
        <f t="shared" si="68"/>
        <v>1</v>
      </c>
      <c r="H448" s="635"/>
      <c r="I448" s="21">
        <f t="shared" si="69"/>
        <v>1</v>
      </c>
      <c r="J448" s="635"/>
      <c r="K448" s="21">
        <f t="shared" si="70"/>
        <v>1</v>
      </c>
      <c r="L448" s="635"/>
      <c r="M448" s="21">
        <f t="shared" si="71"/>
        <v>1</v>
      </c>
      <c r="N448" s="635"/>
      <c r="O448" s="21">
        <f t="shared" si="72"/>
        <v>1</v>
      </c>
      <c r="P448" s="635"/>
      <c r="Q448" s="21">
        <f t="shared" si="73"/>
        <v>1</v>
      </c>
      <c r="R448" s="21">
        <f t="shared" si="74"/>
        <v>0</v>
      </c>
      <c r="S448" s="308">
        <f t="shared" si="65"/>
        <v>0</v>
      </c>
    </row>
    <row r="449" spans="1:19">
      <c r="A449" s="142"/>
      <c r="B449" s="52"/>
      <c r="C449" s="21">
        <f t="shared" si="66"/>
        <v>1</v>
      </c>
      <c r="D449" s="635"/>
      <c r="E449" s="21">
        <f t="shared" si="67"/>
        <v>1</v>
      </c>
      <c r="F449" s="635"/>
      <c r="G449" s="21">
        <f t="shared" si="68"/>
        <v>1</v>
      </c>
      <c r="H449" s="635"/>
      <c r="I449" s="21">
        <f t="shared" si="69"/>
        <v>1</v>
      </c>
      <c r="J449" s="635"/>
      <c r="K449" s="21">
        <f t="shared" si="70"/>
        <v>1</v>
      </c>
      <c r="L449" s="635"/>
      <c r="M449" s="21">
        <f t="shared" si="71"/>
        <v>1</v>
      </c>
      <c r="N449" s="635"/>
      <c r="O449" s="21">
        <f t="shared" si="72"/>
        <v>1</v>
      </c>
      <c r="P449" s="635"/>
      <c r="Q449" s="21">
        <f t="shared" si="73"/>
        <v>1</v>
      </c>
      <c r="R449" s="21">
        <f t="shared" si="74"/>
        <v>0</v>
      </c>
      <c r="S449" s="308">
        <f t="shared" si="65"/>
        <v>0</v>
      </c>
    </row>
    <row r="450" spans="1:19">
      <c r="A450" s="142"/>
      <c r="B450" s="52"/>
      <c r="C450" s="21">
        <f t="shared" si="66"/>
        <v>1</v>
      </c>
      <c r="D450" s="635"/>
      <c r="E450" s="21">
        <f t="shared" si="67"/>
        <v>1</v>
      </c>
      <c r="F450" s="635"/>
      <c r="G450" s="21">
        <f t="shared" si="68"/>
        <v>1</v>
      </c>
      <c r="H450" s="635"/>
      <c r="I450" s="21">
        <f t="shared" si="69"/>
        <v>1</v>
      </c>
      <c r="J450" s="635"/>
      <c r="K450" s="21">
        <f t="shared" si="70"/>
        <v>1</v>
      </c>
      <c r="L450" s="635"/>
      <c r="M450" s="21">
        <f t="shared" si="71"/>
        <v>1</v>
      </c>
      <c r="N450" s="635"/>
      <c r="O450" s="21">
        <f t="shared" si="72"/>
        <v>1</v>
      </c>
      <c r="P450" s="635"/>
      <c r="Q450" s="21">
        <f t="shared" si="73"/>
        <v>1</v>
      </c>
      <c r="R450" s="21">
        <f t="shared" si="74"/>
        <v>0</v>
      </c>
      <c r="S450" s="308">
        <f t="shared" si="65"/>
        <v>0</v>
      </c>
    </row>
    <row r="451" spans="1:19">
      <c r="A451" s="142"/>
      <c r="B451" s="52"/>
      <c r="C451" s="21">
        <f t="shared" si="66"/>
        <v>1</v>
      </c>
      <c r="D451" s="635"/>
      <c r="E451" s="21">
        <f t="shared" si="67"/>
        <v>1</v>
      </c>
      <c r="F451" s="635"/>
      <c r="G451" s="21">
        <f t="shared" si="68"/>
        <v>1</v>
      </c>
      <c r="H451" s="635"/>
      <c r="I451" s="21">
        <f t="shared" si="69"/>
        <v>1</v>
      </c>
      <c r="J451" s="635"/>
      <c r="K451" s="21">
        <f t="shared" si="70"/>
        <v>1</v>
      </c>
      <c r="L451" s="635"/>
      <c r="M451" s="21">
        <f t="shared" si="71"/>
        <v>1</v>
      </c>
      <c r="N451" s="635"/>
      <c r="O451" s="21">
        <f t="shared" si="72"/>
        <v>1</v>
      </c>
      <c r="P451" s="635"/>
      <c r="Q451" s="21">
        <f t="shared" si="73"/>
        <v>1</v>
      </c>
      <c r="R451" s="21">
        <f t="shared" si="74"/>
        <v>0</v>
      </c>
      <c r="S451" s="308">
        <f t="shared" si="65"/>
        <v>0</v>
      </c>
    </row>
    <row r="452" spans="1:19">
      <c r="A452" s="142"/>
      <c r="B452" s="52"/>
      <c r="C452" s="21">
        <f t="shared" si="66"/>
        <v>1</v>
      </c>
      <c r="D452" s="635"/>
      <c r="E452" s="21">
        <f t="shared" si="67"/>
        <v>1</v>
      </c>
      <c r="F452" s="635"/>
      <c r="G452" s="21">
        <f t="shared" si="68"/>
        <v>1</v>
      </c>
      <c r="H452" s="635"/>
      <c r="I452" s="21">
        <f t="shared" si="69"/>
        <v>1</v>
      </c>
      <c r="J452" s="635"/>
      <c r="K452" s="21">
        <f t="shared" si="70"/>
        <v>1</v>
      </c>
      <c r="L452" s="635"/>
      <c r="M452" s="21">
        <f t="shared" si="71"/>
        <v>1</v>
      </c>
      <c r="N452" s="635"/>
      <c r="O452" s="21">
        <f t="shared" si="72"/>
        <v>1</v>
      </c>
      <c r="P452" s="635"/>
      <c r="Q452" s="21">
        <f t="shared" si="73"/>
        <v>1</v>
      </c>
      <c r="R452" s="21">
        <f t="shared" si="74"/>
        <v>0</v>
      </c>
      <c r="S452" s="308">
        <f t="shared" si="65"/>
        <v>0</v>
      </c>
    </row>
    <row r="453" spans="1:19">
      <c r="A453" s="142"/>
      <c r="B453" s="52"/>
      <c r="C453" s="21">
        <f t="shared" si="66"/>
        <v>1</v>
      </c>
      <c r="D453" s="635"/>
      <c r="E453" s="21">
        <f t="shared" si="67"/>
        <v>1</v>
      </c>
      <c r="F453" s="635"/>
      <c r="G453" s="21">
        <f t="shared" si="68"/>
        <v>1</v>
      </c>
      <c r="H453" s="635"/>
      <c r="I453" s="21">
        <f t="shared" si="69"/>
        <v>1</v>
      </c>
      <c r="J453" s="635"/>
      <c r="K453" s="21">
        <f t="shared" si="70"/>
        <v>1</v>
      </c>
      <c r="L453" s="635"/>
      <c r="M453" s="21">
        <f t="shared" si="71"/>
        <v>1</v>
      </c>
      <c r="N453" s="635"/>
      <c r="O453" s="21">
        <f t="shared" si="72"/>
        <v>1</v>
      </c>
      <c r="P453" s="635"/>
      <c r="Q453" s="21">
        <f t="shared" si="73"/>
        <v>1</v>
      </c>
      <c r="R453" s="21">
        <f t="shared" si="74"/>
        <v>0</v>
      </c>
      <c r="S453" s="308">
        <f t="shared" si="65"/>
        <v>0</v>
      </c>
    </row>
    <row r="454" spans="1:19">
      <c r="A454" s="142"/>
      <c r="B454" s="52"/>
      <c r="C454" s="21">
        <f t="shared" si="66"/>
        <v>1</v>
      </c>
      <c r="D454" s="635"/>
      <c r="E454" s="21">
        <f t="shared" si="67"/>
        <v>1</v>
      </c>
      <c r="F454" s="635"/>
      <c r="G454" s="21">
        <f t="shared" si="68"/>
        <v>1</v>
      </c>
      <c r="H454" s="635"/>
      <c r="I454" s="21">
        <f t="shared" si="69"/>
        <v>1</v>
      </c>
      <c r="J454" s="635"/>
      <c r="K454" s="21">
        <f t="shared" si="70"/>
        <v>1</v>
      </c>
      <c r="L454" s="635"/>
      <c r="M454" s="21">
        <f t="shared" si="71"/>
        <v>1</v>
      </c>
      <c r="N454" s="635"/>
      <c r="O454" s="21">
        <f t="shared" si="72"/>
        <v>1</v>
      </c>
      <c r="P454" s="635"/>
      <c r="Q454" s="21">
        <f t="shared" si="73"/>
        <v>1</v>
      </c>
      <c r="R454" s="21">
        <f t="shared" si="74"/>
        <v>0</v>
      </c>
      <c r="S454" s="308">
        <f t="shared" si="65"/>
        <v>0</v>
      </c>
    </row>
    <row r="455" spans="1:19">
      <c r="A455" s="142"/>
      <c r="B455" s="52"/>
      <c r="C455" s="21">
        <f t="shared" si="66"/>
        <v>1</v>
      </c>
      <c r="D455" s="635"/>
      <c r="E455" s="21">
        <f t="shared" si="67"/>
        <v>1</v>
      </c>
      <c r="F455" s="635"/>
      <c r="G455" s="21">
        <f t="shared" si="68"/>
        <v>1</v>
      </c>
      <c r="H455" s="635"/>
      <c r="I455" s="21">
        <f t="shared" si="69"/>
        <v>1</v>
      </c>
      <c r="J455" s="635"/>
      <c r="K455" s="21">
        <f t="shared" si="70"/>
        <v>1</v>
      </c>
      <c r="L455" s="635"/>
      <c r="M455" s="21">
        <f t="shared" si="71"/>
        <v>1</v>
      </c>
      <c r="N455" s="635"/>
      <c r="O455" s="21">
        <f t="shared" si="72"/>
        <v>1</v>
      </c>
      <c r="P455" s="635"/>
      <c r="Q455" s="21">
        <f t="shared" si="73"/>
        <v>1</v>
      </c>
      <c r="R455" s="21">
        <f t="shared" si="74"/>
        <v>0</v>
      </c>
      <c r="S455" s="308">
        <f t="shared" si="65"/>
        <v>0</v>
      </c>
    </row>
    <row r="456" spans="1:19">
      <c r="A456" s="142"/>
      <c r="B456" s="52"/>
      <c r="C456" s="21">
        <f t="shared" si="66"/>
        <v>1</v>
      </c>
      <c r="D456" s="635"/>
      <c r="E456" s="21">
        <f t="shared" si="67"/>
        <v>1</v>
      </c>
      <c r="F456" s="635"/>
      <c r="G456" s="21">
        <f t="shared" si="68"/>
        <v>1</v>
      </c>
      <c r="H456" s="635"/>
      <c r="I456" s="21">
        <f t="shared" si="69"/>
        <v>1</v>
      </c>
      <c r="J456" s="635"/>
      <c r="K456" s="21">
        <f t="shared" si="70"/>
        <v>1</v>
      </c>
      <c r="L456" s="635"/>
      <c r="M456" s="21">
        <f t="shared" si="71"/>
        <v>1</v>
      </c>
      <c r="N456" s="635"/>
      <c r="O456" s="21">
        <f t="shared" si="72"/>
        <v>1</v>
      </c>
      <c r="P456" s="635"/>
      <c r="Q456" s="21">
        <f t="shared" si="73"/>
        <v>1</v>
      </c>
      <c r="R456" s="21">
        <f t="shared" si="74"/>
        <v>0</v>
      </c>
      <c r="S456" s="308">
        <f t="shared" si="65"/>
        <v>0</v>
      </c>
    </row>
    <row r="457" spans="1:19">
      <c r="A457" s="142"/>
      <c r="B457" s="52"/>
      <c r="C457" s="21">
        <f t="shared" si="66"/>
        <v>1</v>
      </c>
      <c r="D457" s="635"/>
      <c r="E457" s="21">
        <f t="shared" si="67"/>
        <v>1</v>
      </c>
      <c r="F457" s="635"/>
      <c r="G457" s="21">
        <f t="shared" si="68"/>
        <v>1</v>
      </c>
      <c r="H457" s="635"/>
      <c r="I457" s="21">
        <f t="shared" si="69"/>
        <v>1</v>
      </c>
      <c r="J457" s="635"/>
      <c r="K457" s="21">
        <f t="shared" si="70"/>
        <v>1</v>
      </c>
      <c r="L457" s="635"/>
      <c r="M457" s="21">
        <f t="shared" si="71"/>
        <v>1</v>
      </c>
      <c r="N457" s="635"/>
      <c r="O457" s="21">
        <f t="shared" si="72"/>
        <v>1</v>
      </c>
      <c r="P457" s="635"/>
      <c r="Q457" s="21">
        <f t="shared" si="73"/>
        <v>1</v>
      </c>
      <c r="R457" s="21">
        <f t="shared" si="74"/>
        <v>0</v>
      </c>
      <c r="S457" s="308">
        <f t="shared" si="65"/>
        <v>0</v>
      </c>
    </row>
    <row r="458" spans="1:19">
      <c r="A458" s="142"/>
      <c r="B458" s="52"/>
      <c r="C458" s="21">
        <f t="shared" si="66"/>
        <v>1</v>
      </c>
      <c r="D458" s="635"/>
      <c r="E458" s="21">
        <f t="shared" si="67"/>
        <v>1</v>
      </c>
      <c r="F458" s="635"/>
      <c r="G458" s="21">
        <f t="shared" si="68"/>
        <v>1</v>
      </c>
      <c r="H458" s="635"/>
      <c r="I458" s="21">
        <f t="shared" si="69"/>
        <v>1</v>
      </c>
      <c r="J458" s="635"/>
      <c r="K458" s="21">
        <f t="shared" si="70"/>
        <v>1</v>
      </c>
      <c r="L458" s="635"/>
      <c r="M458" s="21">
        <f t="shared" si="71"/>
        <v>1</v>
      </c>
      <c r="N458" s="635"/>
      <c r="O458" s="21">
        <f t="shared" si="72"/>
        <v>1</v>
      </c>
      <c r="P458" s="635"/>
      <c r="Q458" s="21">
        <f t="shared" si="73"/>
        <v>1</v>
      </c>
      <c r="R458" s="21">
        <f t="shared" si="74"/>
        <v>0</v>
      </c>
      <c r="S458" s="308">
        <f t="shared" si="65"/>
        <v>0</v>
      </c>
    </row>
    <row r="459" spans="1:19">
      <c r="A459" s="142"/>
      <c r="B459" s="52"/>
      <c r="C459" s="21">
        <f t="shared" si="66"/>
        <v>1</v>
      </c>
      <c r="D459" s="635"/>
      <c r="E459" s="21">
        <f t="shared" si="67"/>
        <v>1</v>
      </c>
      <c r="F459" s="635"/>
      <c r="G459" s="21">
        <f t="shared" si="68"/>
        <v>1</v>
      </c>
      <c r="H459" s="635"/>
      <c r="I459" s="21">
        <f t="shared" si="69"/>
        <v>1</v>
      </c>
      <c r="J459" s="635"/>
      <c r="K459" s="21">
        <f t="shared" si="70"/>
        <v>1</v>
      </c>
      <c r="L459" s="635"/>
      <c r="M459" s="21">
        <f t="shared" si="71"/>
        <v>1</v>
      </c>
      <c r="N459" s="635"/>
      <c r="O459" s="21">
        <f t="shared" si="72"/>
        <v>1</v>
      </c>
      <c r="P459" s="635"/>
      <c r="Q459" s="21">
        <f t="shared" si="73"/>
        <v>1</v>
      </c>
      <c r="R459" s="21">
        <f t="shared" si="74"/>
        <v>0</v>
      </c>
      <c r="S459" s="308">
        <f t="shared" si="65"/>
        <v>0</v>
      </c>
    </row>
    <row r="460" spans="1:19">
      <c r="A460" s="142"/>
      <c r="B460" s="52"/>
      <c r="C460" s="21">
        <f t="shared" si="66"/>
        <v>1</v>
      </c>
      <c r="D460" s="635"/>
      <c r="E460" s="21">
        <f t="shared" si="67"/>
        <v>1</v>
      </c>
      <c r="F460" s="635"/>
      <c r="G460" s="21">
        <f t="shared" si="68"/>
        <v>1</v>
      </c>
      <c r="H460" s="635"/>
      <c r="I460" s="21">
        <f t="shared" si="69"/>
        <v>1</v>
      </c>
      <c r="J460" s="635"/>
      <c r="K460" s="21">
        <f t="shared" si="70"/>
        <v>1</v>
      </c>
      <c r="L460" s="635"/>
      <c r="M460" s="21">
        <f t="shared" si="71"/>
        <v>1</v>
      </c>
      <c r="N460" s="635"/>
      <c r="O460" s="21">
        <f t="shared" si="72"/>
        <v>1</v>
      </c>
      <c r="P460" s="635"/>
      <c r="Q460" s="21">
        <f t="shared" si="73"/>
        <v>1</v>
      </c>
      <c r="R460" s="21">
        <f t="shared" si="74"/>
        <v>0</v>
      </c>
      <c r="S460" s="308">
        <f t="shared" si="65"/>
        <v>0</v>
      </c>
    </row>
    <row r="461" spans="1:19">
      <c r="A461" s="142"/>
      <c r="B461" s="52"/>
      <c r="C461" s="21">
        <f t="shared" si="66"/>
        <v>1</v>
      </c>
      <c r="D461" s="635"/>
      <c r="E461" s="21">
        <f t="shared" si="67"/>
        <v>1</v>
      </c>
      <c r="F461" s="635"/>
      <c r="G461" s="21">
        <f t="shared" si="68"/>
        <v>1</v>
      </c>
      <c r="H461" s="635"/>
      <c r="I461" s="21">
        <f t="shared" si="69"/>
        <v>1</v>
      </c>
      <c r="J461" s="635"/>
      <c r="K461" s="21">
        <f t="shared" si="70"/>
        <v>1</v>
      </c>
      <c r="L461" s="635"/>
      <c r="M461" s="21">
        <f t="shared" si="71"/>
        <v>1</v>
      </c>
      <c r="N461" s="635"/>
      <c r="O461" s="21">
        <f t="shared" si="72"/>
        <v>1</v>
      </c>
      <c r="P461" s="635"/>
      <c r="Q461" s="21">
        <f t="shared" si="73"/>
        <v>1</v>
      </c>
      <c r="R461" s="21">
        <f t="shared" si="74"/>
        <v>0</v>
      </c>
      <c r="S461" s="308">
        <f t="shared" si="65"/>
        <v>0</v>
      </c>
    </row>
    <row r="462" spans="1:19">
      <c r="A462" s="142"/>
      <c r="B462" s="52"/>
      <c r="C462" s="21">
        <f t="shared" si="66"/>
        <v>1</v>
      </c>
      <c r="D462" s="635"/>
      <c r="E462" s="21">
        <f t="shared" si="67"/>
        <v>1</v>
      </c>
      <c r="F462" s="635"/>
      <c r="G462" s="21">
        <f t="shared" si="68"/>
        <v>1</v>
      </c>
      <c r="H462" s="635"/>
      <c r="I462" s="21">
        <f t="shared" si="69"/>
        <v>1</v>
      </c>
      <c r="J462" s="635"/>
      <c r="K462" s="21">
        <f t="shared" si="70"/>
        <v>1</v>
      </c>
      <c r="L462" s="635"/>
      <c r="M462" s="21">
        <f t="shared" si="71"/>
        <v>1</v>
      </c>
      <c r="N462" s="635"/>
      <c r="O462" s="21">
        <f t="shared" si="72"/>
        <v>1</v>
      </c>
      <c r="P462" s="635"/>
      <c r="Q462" s="21">
        <f t="shared" si="73"/>
        <v>1</v>
      </c>
      <c r="R462" s="21">
        <f t="shared" si="74"/>
        <v>0</v>
      </c>
      <c r="S462" s="308">
        <f t="shared" si="65"/>
        <v>0</v>
      </c>
    </row>
    <row r="463" spans="1:19">
      <c r="A463" s="142"/>
      <c r="B463" s="52"/>
      <c r="C463" s="21">
        <f t="shared" si="66"/>
        <v>1</v>
      </c>
      <c r="D463" s="635"/>
      <c r="E463" s="21">
        <f t="shared" si="67"/>
        <v>1</v>
      </c>
      <c r="F463" s="635"/>
      <c r="G463" s="21">
        <f t="shared" si="68"/>
        <v>1</v>
      </c>
      <c r="H463" s="635"/>
      <c r="I463" s="21">
        <f t="shared" si="69"/>
        <v>1</v>
      </c>
      <c r="J463" s="635"/>
      <c r="K463" s="21">
        <f t="shared" si="70"/>
        <v>1</v>
      </c>
      <c r="L463" s="635"/>
      <c r="M463" s="21">
        <f t="shared" si="71"/>
        <v>1</v>
      </c>
      <c r="N463" s="635"/>
      <c r="O463" s="21">
        <f t="shared" si="72"/>
        <v>1</v>
      </c>
      <c r="P463" s="635"/>
      <c r="Q463" s="21">
        <f t="shared" si="73"/>
        <v>1</v>
      </c>
      <c r="R463" s="21">
        <f t="shared" si="74"/>
        <v>0</v>
      </c>
      <c r="S463" s="308">
        <f t="shared" si="65"/>
        <v>0</v>
      </c>
    </row>
    <row r="464" spans="1:19">
      <c r="A464" s="142"/>
      <c r="B464" s="52"/>
      <c r="C464" s="21">
        <f t="shared" si="66"/>
        <v>1</v>
      </c>
      <c r="D464" s="635"/>
      <c r="E464" s="21">
        <f t="shared" si="67"/>
        <v>1</v>
      </c>
      <c r="F464" s="635"/>
      <c r="G464" s="21">
        <f t="shared" si="68"/>
        <v>1</v>
      </c>
      <c r="H464" s="635"/>
      <c r="I464" s="21">
        <f t="shared" si="69"/>
        <v>1</v>
      </c>
      <c r="J464" s="635"/>
      <c r="K464" s="21">
        <f t="shared" si="70"/>
        <v>1</v>
      </c>
      <c r="L464" s="635"/>
      <c r="M464" s="21">
        <f t="shared" si="71"/>
        <v>1</v>
      </c>
      <c r="N464" s="635"/>
      <c r="O464" s="21">
        <f t="shared" si="72"/>
        <v>1</v>
      </c>
      <c r="P464" s="635"/>
      <c r="Q464" s="21">
        <f t="shared" si="73"/>
        <v>1</v>
      </c>
      <c r="R464" s="21">
        <f t="shared" si="74"/>
        <v>0</v>
      </c>
      <c r="S464" s="308">
        <f t="shared" si="65"/>
        <v>0</v>
      </c>
    </row>
    <row r="465" spans="1:19">
      <c r="A465" s="142"/>
      <c r="B465" s="52"/>
      <c r="C465" s="21">
        <f t="shared" si="66"/>
        <v>1</v>
      </c>
      <c r="D465" s="635"/>
      <c r="E465" s="21">
        <f t="shared" si="67"/>
        <v>1</v>
      </c>
      <c r="F465" s="635"/>
      <c r="G465" s="21">
        <f t="shared" si="68"/>
        <v>1</v>
      </c>
      <c r="H465" s="635"/>
      <c r="I465" s="21">
        <f t="shared" si="69"/>
        <v>1</v>
      </c>
      <c r="J465" s="635"/>
      <c r="K465" s="21">
        <f t="shared" si="70"/>
        <v>1</v>
      </c>
      <c r="L465" s="635"/>
      <c r="M465" s="21">
        <f t="shared" si="71"/>
        <v>1</v>
      </c>
      <c r="N465" s="635"/>
      <c r="O465" s="21">
        <f t="shared" si="72"/>
        <v>1</v>
      </c>
      <c r="P465" s="635"/>
      <c r="Q465" s="21">
        <f t="shared" si="73"/>
        <v>1</v>
      </c>
      <c r="R465" s="21">
        <f t="shared" si="74"/>
        <v>0</v>
      </c>
      <c r="S465" s="308">
        <f t="shared" si="65"/>
        <v>0</v>
      </c>
    </row>
    <row r="466" spans="1:19">
      <c r="A466" s="142"/>
      <c r="B466" s="52"/>
      <c r="C466" s="21">
        <f t="shared" si="66"/>
        <v>1</v>
      </c>
      <c r="D466" s="635"/>
      <c r="E466" s="21">
        <f t="shared" si="67"/>
        <v>1</v>
      </c>
      <c r="F466" s="635"/>
      <c r="G466" s="21">
        <f t="shared" si="68"/>
        <v>1</v>
      </c>
      <c r="H466" s="635"/>
      <c r="I466" s="21">
        <f t="shared" si="69"/>
        <v>1</v>
      </c>
      <c r="J466" s="635"/>
      <c r="K466" s="21">
        <f t="shared" si="70"/>
        <v>1</v>
      </c>
      <c r="L466" s="635"/>
      <c r="M466" s="21">
        <f t="shared" si="71"/>
        <v>1</v>
      </c>
      <c r="N466" s="635"/>
      <c r="O466" s="21">
        <f t="shared" si="72"/>
        <v>1</v>
      </c>
      <c r="P466" s="635"/>
      <c r="Q466" s="21">
        <f t="shared" si="73"/>
        <v>1</v>
      </c>
      <c r="R466" s="21">
        <f t="shared" si="74"/>
        <v>0</v>
      </c>
      <c r="S466" s="308">
        <f t="shared" si="65"/>
        <v>0</v>
      </c>
    </row>
    <row r="467" spans="1:19">
      <c r="A467" s="142"/>
      <c r="B467" s="52"/>
      <c r="C467" s="21">
        <f t="shared" si="66"/>
        <v>1</v>
      </c>
      <c r="D467" s="635"/>
      <c r="E467" s="21">
        <f t="shared" si="67"/>
        <v>1</v>
      </c>
      <c r="F467" s="635"/>
      <c r="G467" s="21">
        <f t="shared" si="68"/>
        <v>1</v>
      </c>
      <c r="H467" s="635"/>
      <c r="I467" s="21">
        <f t="shared" si="69"/>
        <v>1</v>
      </c>
      <c r="J467" s="635"/>
      <c r="K467" s="21">
        <f t="shared" si="70"/>
        <v>1</v>
      </c>
      <c r="L467" s="635"/>
      <c r="M467" s="21">
        <f t="shared" si="71"/>
        <v>1</v>
      </c>
      <c r="N467" s="635"/>
      <c r="O467" s="21">
        <f t="shared" si="72"/>
        <v>1</v>
      </c>
      <c r="P467" s="635"/>
      <c r="Q467" s="21">
        <f t="shared" si="73"/>
        <v>1</v>
      </c>
      <c r="R467" s="21">
        <f t="shared" si="74"/>
        <v>0</v>
      </c>
      <c r="S467" s="308">
        <f t="shared" si="65"/>
        <v>0</v>
      </c>
    </row>
    <row r="468" spans="1:19">
      <c r="A468" s="142"/>
      <c r="B468" s="52"/>
      <c r="C468" s="21">
        <f t="shared" si="66"/>
        <v>1</v>
      </c>
      <c r="D468" s="635"/>
      <c r="E468" s="21">
        <f t="shared" si="67"/>
        <v>1</v>
      </c>
      <c r="F468" s="635"/>
      <c r="G468" s="21">
        <f t="shared" si="68"/>
        <v>1</v>
      </c>
      <c r="H468" s="635"/>
      <c r="I468" s="21">
        <f t="shared" si="69"/>
        <v>1</v>
      </c>
      <c r="J468" s="635"/>
      <c r="K468" s="21">
        <f t="shared" si="70"/>
        <v>1</v>
      </c>
      <c r="L468" s="635"/>
      <c r="M468" s="21">
        <f t="shared" si="71"/>
        <v>1</v>
      </c>
      <c r="N468" s="635"/>
      <c r="O468" s="21">
        <f t="shared" si="72"/>
        <v>1</v>
      </c>
      <c r="P468" s="635"/>
      <c r="Q468" s="21">
        <f t="shared" si="73"/>
        <v>1</v>
      </c>
      <c r="R468" s="21">
        <f t="shared" si="74"/>
        <v>0</v>
      </c>
      <c r="S468" s="308">
        <f t="shared" si="65"/>
        <v>0</v>
      </c>
    </row>
    <row r="469" spans="1:19">
      <c r="A469" s="142"/>
      <c r="B469" s="52"/>
      <c r="C469" s="21">
        <f t="shared" si="66"/>
        <v>1</v>
      </c>
      <c r="D469" s="635"/>
      <c r="E469" s="21">
        <f t="shared" si="67"/>
        <v>1</v>
      </c>
      <c r="F469" s="635"/>
      <c r="G469" s="21">
        <f t="shared" si="68"/>
        <v>1</v>
      </c>
      <c r="H469" s="635"/>
      <c r="I469" s="21">
        <f t="shared" si="69"/>
        <v>1</v>
      </c>
      <c r="J469" s="635"/>
      <c r="K469" s="21">
        <f t="shared" si="70"/>
        <v>1</v>
      </c>
      <c r="L469" s="635"/>
      <c r="M469" s="21">
        <f t="shared" si="71"/>
        <v>1</v>
      </c>
      <c r="N469" s="635"/>
      <c r="O469" s="21">
        <f t="shared" si="72"/>
        <v>1</v>
      </c>
      <c r="P469" s="635"/>
      <c r="Q469" s="21">
        <f t="shared" si="73"/>
        <v>1</v>
      </c>
      <c r="R469" s="21">
        <f t="shared" si="74"/>
        <v>0</v>
      </c>
      <c r="S469" s="308">
        <f t="shared" si="65"/>
        <v>0</v>
      </c>
    </row>
    <row r="470" spans="1:19">
      <c r="A470" s="142"/>
      <c r="B470" s="52"/>
      <c r="C470" s="21">
        <f t="shared" si="66"/>
        <v>1</v>
      </c>
      <c r="D470" s="635"/>
      <c r="E470" s="21">
        <f t="shared" si="67"/>
        <v>1</v>
      </c>
      <c r="F470" s="635"/>
      <c r="G470" s="21">
        <f t="shared" si="68"/>
        <v>1</v>
      </c>
      <c r="H470" s="635"/>
      <c r="I470" s="21">
        <f t="shared" si="69"/>
        <v>1</v>
      </c>
      <c r="J470" s="635"/>
      <c r="K470" s="21">
        <f t="shared" si="70"/>
        <v>1</v>
      </c>
      <c r="L470" s="635"/>
      <c r="M470" s="21">
        <f t="shared" si="71"/>
        <v>1</v>
      </c>
      <c r="N470" s="635"/>
      <c r="O470" s="21">
        <f t="shared" si="72"/>
        <v>1</v>
      </c>
      <c r="P470" s="635"/>
      <c r="Q470" s="21">
        <f t="shared" si="73"/>
        <v>1</v>
      </c>
      <c r="R470" s="21">
        <f t="shared" si="74"/>
        <v>0</v>
      </c>
      <c r="S470" s="308">
        <f t="shared" si="65"/>
        <v>0</v>
      </c>
    </row>
    <row r="471" spans="1:19">
      <c r="A471" s="142"/>
      <c r="B471" s="52"/>
      <c r="C471" s="21">
        <f t="shared" si="66"/>
        <v>1</v>
      </c>
      <c r="D471" s="635"/>
      <c r="E471" s="21">
        <f t="shared" si="67"/>
        <v>1</v>
      </c>
      <c r="F471" s="635"/>
      <c r="G471" s="21">
        <f t="shared" si="68"/>
        <v>1</v>
      </c>
      <c r="H471" s="635"/>
      <c r="I471" s="21">
        <f t="shared" si="69"/>
        <v>1</v>
      </c>
      <c r="J471" s="635"/>
      <c r="K471" s="21">
        <f t="shared" si="70"/>
        <v>1</v>
      </c>
      <c r="L471" s="635"/>
      <c r="M471" s="21">
        <f t="shared" si="71"/>
        <v>1</v>
      </c>
      <c r="N471" s="635"/>
      <c r="O471" s="21">
        <f t="shared" si="72"/>
        <v>1</v>
      </c>
      <c r="P471" s="635"/>
      <c r="Q471" s="21">
        <f t="shared" si="73"/>
        <v>1</v>
      </c>
      <c r="R471" s="21">
        <f t="shared" si="74"/>
        <v>0</v>
      </c>
      <c r="S471" s="308">
        <f t="shared" si="65"/>
        <v>0</v>
      </c>
    </row>
    <row r="472" spans="1:19">
      <c r="A472" s="142"/>
      <c r="B472" s="52"/>
      <c r="C472" s="21">
        <f t="shared" si="66"/>
        <v>1</v>
      </c>
      <c r="D472" s="635"/>
      <c r="E472" s="21">
        <f t="shared" si="67"/>
        <v>1</v>
      </c>
      <c r="F472" s="635"/>
      <c r="G472" s="21">
        <f t="shared" si="68"/>
        <v>1</v>
      </c>
      <c r="H472" s="635"/>
      <c r="I472" s="21">
        <f t="shared" si="69"/>
        <v>1</v>
      </c>
      <c r="J472" s="635"/>
      <c r="K472" s="21">
        <f t="shared" si="70"/>
        <v>1</v>
      </c>
      <c r="L472" s="635"/>
      <c r="M472" s="21">
        <f t="shared" si="71"/>
        <v>1</v>
      </c>
      <c r="N472" s="635"/>
      <c r="O472" s="21">
        <f t="shared" si="72"/>
        <v>1</v>
      </c>
      <c r="P472" s="635"/>
      <c r="Q472" s="21">
        <f t="shared" si="73"/>
        <v>1</v>
      </c>
      <c r="R472" s="21">
        <f t="shared" si="74"/>
        <v>0</v>
      </c>
      <c r="S472" s="308">
        <f t="shared" ref="S472:S524" si="75">ROUND(R472*B472/10000,0)</f>
        <v>0</v>
      </c>
    </row>
    <row r="473" spans="1:19">
      <c r="A473" s="142"/>
      <c r="B473" s="52"/>
      <c r="C473" s="21">
        <f t="shared" si="66"/>
        <v>1</v>
      </c>
      <c r="D473" s="635"/>
      <c r="E473" s="21">
        <f t="shared" si="67"/>
        <v>1</v>
      </c>
      <c r="F473" s="635"/>
      <c r="G473" s="21">
        <f t="shared" si="68"/>
        <v>1</v>
      </c>
      <c r="H473" s="635"/>
      <c r="I473" s="21">
        <f t="shared" si="69"/>
        <v>1</v>
      </c>
      <c r="J473" s="635"/>
      <c r="K473" s="21">
        <f t="shared" si="70"/>
        <v>1</v>
      </c>
      <c r="L473" s="635"/>
      <c r="M473" s="21">
        <f t="shared" si="71"/>
        <v>1</v>
      </c>
      <c r="N473" s="635"/>
      <c r="O473" s="21">
        <f t="shared" si="72"/>
        <v>1</v>
      </c>
      <c r="P473" s="635"/>
      <c r="Q473" s="21">
        <f t="shared" si="73"/>
        <v>1</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1</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1</v>
      </c>
      <c r="R474" s="21">
        <f t="shared" ref="R474:R524" si="84">IF(B474="",0,ROUND($R$24*C474*E474*G474*I474*K474*M474*O474*Q474,0))</f>
        <v>0</v>
      </c>
      <c r="S474" s="308">
        <f t="shared" si="75"/>
        <v>0</v>
      </c>
    </row>
    <row r="475" spans="1:19">
      <c r="A475" s="142"/>
      <c r="B475" s="52"/>
      <c r="C475" s="21">
        <f t="shared" si="76"/>
        <v>1</v>
      </c>
      <c r="D475" s="635"/>
      <c r="E475" s="21">
        <f t="shared" si="77"/>
        <v>1</v>
      </c>
      <c r="F475" s="635"/>
      <c r="G475" s="21">
        <f t="shared" si="78"/>
        <v>1</v>
      </c>
      <c r="H475" s="635"/>
      <c r="I475" s="21">
        <f t="shared" si="79"/>
        <v>1</v>
      </c>
      <c r="J475" s="635"/>
      <c r="K475" s="21">
        <f t="shared" si="80"/>
        <v>1</v>
      </c>
      <c r="L475" s="635"/>
      <c r="M475" s="21">
        <f t="shared" si="81"/>
        <v>1</v>
      </c>
      <c r="N475" s="635"/>
      <c r="O475" s="21">
        <f t="shared" si="82"/>
        <v>1</v>
      </c>
      <c r="P475" s="635"/>
      <c r="Q475" s="21">
        <f t="shared" si="83"/>
        <v>1</v>
      </c>
      <c r="R475" s="21">
        <f t="shared" si="84"/>
        <v>0</v>
      </c>
      <c r="S475" s="308">
        <f t="shared" si="75"/>
        <v>0</v>
      </c>
    </row>
    <row r="476" spans="1:19">
      <c r="A476" s="142"/>
      <c r="B476" s="52"/>
      <c r="C476" s="21">
        <f t="shared" si="76"/>
        <v>1</v>
      </c>
      <c r="D476" s="635"/>
      <c r="E476" s="21">
        <f t="shared" si="77"/>
        <v>1</v>
      </c>
      <c r="F476" s="635"/>
      <c r="G476" s="21">
        <f t="shared" si="78"/>
        <v>1</v>
      </c>
      <c r="H476" s="635"/>
      <c r="I476" s="21">
        <f t="shared" si="79"/>
        <v>1</v>
      </c>
      <c r="J476" s="635"/>
      <c r="K476" s="21">
        <f t="shared" si="80"/>
        <v>1</v>
      </c>
      <c r="L476" s="635"/>
      <c r="M476" s="21">
        <f t="shared" si="81"/>
        <v>1</v>
      </c>
      <c r="N476" s="635"/>
      <c r="O476" s="21">
        <f t="shared" si="82"/>
        <v>1</v>
      </c>
      <c r="P476" s="635"/>
      <c r="Q476" s="21">
        <f t="shared" si="83"/>
        <v>1</v>
      </c>
      <c r="R476" s="21">
        <f t="shared" si="84"/>
        <v>0</v>
      </c>
      <c r="S476" s="308">
        <f t="shared" si="75"/>
        <v>0</v>
      </c>
    </row>
    <row r="477" spans="1:19">
      <c r="A477" s="142"/>
      <c r="B477" s="52"/>
      <c r="C477" s="21">
        <f t="shared" si="76"/>
        <v>1</v>
      </c>
      <c r="D477" s="635"/>
      <c r="E477" s="21">
        <f t="shared" si="77"/>
        <v>1</v>
      </c>
      <c r="F477" s="635"/>
      <c r="G477" s="21">
        <f t="shared" si="78"/>
        <v>1</v>
      </c>
      <c r="H477" s="635"/>
      <c r="I477" s="21">
        <f t="shared" si="79"/>
        <v>1</v>
      </c>
      <c r="J477" s="635"/>
      <c r="K477" s="21">
        <f t="shared" si="80"/>
        <v>1</v>
      </c>
      <c r="L477" s="635"/>
      <c r="M477" s="21">
        <f t="shared" si="81"/>
        <v>1</v>
      </c>
      <c r="N477" s="635"/>
      <c r="O477" s="21">
        <f t="shared" si="82"/>
        <v>1</v>
      </c>
      <c r="P477" s="635"/>
      <c r="Q477" s="21">
        <f t="shared" si="83"/>
        <v>1</v>
      </c>
      <c r="R477" s="21">
        <f t="shared" si="84"/>
        <v>0</v>
      </c>
      <c r="S477" s="308">
        <f t="shared" si="75"/>
        <v>0</v>
      </c>
    </row>
    <row r="478" spans="1:19">
      <c r="A478" s="142"/>
      <c r="B478" s="52"/>
      <c r="C478" s="21">
        <f t="shared" si="76"/>
        <v>1</v>
      </c>
      <c r="D478" s="635"/>
      <c r="E478" s="21">
        <f t="shared" si="77"/>
        <v>1</v>
      </c>
      <c r="F478" s="635"/>
      <c r="G478" s="21">
        <f t="shared" si="78"/>
        <v>1</v>
      </c>
      <c r="H478" s="635"/>
      <c r="I478" s="21">
        <f t="shared" si="79"/>
        <v>1</v>
      </c>
      <c r="J478" s="635"/>
      <c r="K478" s="21">
        <f t="shared" si="80"/>
        <v>1</v>
      </c>
      <c r="L478" s="635"/>
      <c r="M478" s="21">
        <f t="shared" si="81"/>
        <v>1</v>
      </c>
      <c r="N478" s="635"/>
      <c r="O478" s="21">
        <f t="shared" si="82"/>
        <v>1</v>
      </c>
      <c r="P478" s="635"/>
      <c r="Q478" s="21">
        <f t="shared" si="83"/>
        <v>1</v>
      </c>
      <c r="R478" s="21">
        <f t="shared" si="84"/>
        <v>0</v>
      </c>
      <c r="S478" s="308">
        <f t="shared" si="75"/>
        <v>0</v>
      </c>
    </row>
    <row r="479" spans="1:19">
      <c r="A479" s="142"/>
      <c r="B479" s="52"/>
      <c r="C479" s="21">
        <f t="shared" si="76"/>
        <v>1</v>
      </c>
      <c r="D479" s="635"/>
      <c r="E479" s="21">
        <f t="shared" si="77"/>
        <v>1</v>
      </c>
      <c r="F479" s="635"/>
      <c r="G479" s="21">
        <f t="shared" si="78"/>
        <v>1</v>
      </c>
      <c r="H479" s="635"/>
      <c r="I479" s="21">
        <f t="shared" si="79"/>
        <v>1</v>
      </c>
      <c r="J479" s="635"/>
      <c r="K479" s="21">
        <f t="shared" si="80"/>
        <v>1</v>
      </c>
      <c r="L479" s="635"/>
      <c r="M479" s="21">
        <f t="shared" si="81"/>
        <v>1</v>
      </c>
      <c r="N479" s="635"/>
      <c r="O479" s="21">
        <f t="shared" si="82"/>
        <v>1</v>
      </c>
      <c r="P479" s="635"/>
      <c r="Q479" s="21">
        <f t="shared" si="83"/>
        <v>1</v>
      </c>
      <c r="R479" s="21">
        <f t="shared" si="84"/>
        <v>0</v>
      </c>
      <c r="S479" s="308">
        <f t="shared" si="75"/>
        <v>0</v>
      </c>
    </row>
    <row r="480" spans="1:19">
      <c r="A480" s="142"/>
      <c r="B480" s="52"/>
      <c r="C480" s="21">
        <f t="shared" si="76"/>
        <v>1</v>
      </c>
      <c r="D480" s="635"/>
      <c r="E480" s="21">
        <f t="shared" si="77"/>
        <v>1</v>
      </c>
      <c r="F480" s="635"/>
      <c r="G480" s="21">
        <f t="shared" si="78"/>
        <v>1</v>
      </c>
      <c r="H480" s="635"/>
      <c r="I480" s="21">
        <f t="shared" si="79"/>
        <v>1</v>
      </c>
      <c r="J480" s="635"/>
      <c r="K480" s="21">
        <f t="shared" si="80"/>
        <v>1</v>
      </c>
      <c r="L480" s="635"/>
      <c r="M480" s="21">
        <f t="shared" si="81"/>
        <v>1</v>
      </c>
      <c r="N480" s="635"/>
      <c r="O480" s="21">
        <f t="shared" si="82"/>
        <v>1</v>
      </c>
      <c r="P480" s="635"/>
      <c r="Q480" s="21">
        <f t="shared" si="83"/>
        <v>1</v>
      </c>
      <c r="R480" s="21">
        <f t="shared" si="84"/>
        <v>0</v>
      </c>
      <c r="S480" s="308">
        <f t="shared" si="75"/>
        <v>0</v>
      </c>
    </row>
    <row r="481" spans="1:19">
      <c r="A481" s="142"/>
      <c r="B481" s="52"/>
      <c r="C481" s="21">
        <f t="shared" si="76"/>
        <v>1</v>
      </c>
      <c r="D481" s="635"/>
      <c r="E481" s="21">
        <f t="shared" si="77"/>
        <v>1</v>
      </c>
      <c r="F481" s="635"/>
      <c r="G481" s="21">
        <f t="shared" si="78"/>
        <v>1</v>
      </c>
      <c r="H481" s="635"/>
      <c r="I481" s="21">
        <f t="shared" si="79"/>
        <v>1</v>
      </c>
      <c r="J481" s="635"/>
      <c r="K481" s="21">
        <f t="shared" si="80"/>
        <v>1</v>
      </c>
      <c r="L481" s="635"/>
      <c r="M481" s="21">
        <f t="shared" si="81"/>
        <v>1</v>
      </c>
      <c r="N481" s="635"/>
      <c r="O481" s="21">
        <f t="shared" si="82"/>
        <v>1</v>
      </c>
      <c r="P481" s="635"/>
      <c r="Q481" s="21">
        <f t="shared" si="83"/>
        <v>1</v>
      </c>
      <c r="R481" s="21">
        <f t="shared" si="84"/>
        <v>0</v>
      </c>
      <c r="S481" s="308">
        <f t="shared" si="75"/>
        <v>0</v>
      </c>
    </row>
    <row r="482" spans="1:19">
      <c r="A482" s="142"/>
      <c r="B482" s="52"/>
      <c r="C482" s="21">
        <f t="shared" si="76"/>
        <v>1</v>
      </c>
      <c r="D482" s="635"/>
      <c r="E482" s="21">
        <f t="shared" si="77"/>
        <v>1</v>
      </c>
      <c r="F482" s="635"/>
      <c r="G482" s="21">
        <f t="shared" si="78"/>
        <v>1</v>
      </c>
      <c r="H482" s="635"/>
      <c r="I482" s="21">
        <f t="shared" si="79"/>
        <v>1</v>
      </c>
      <c r="J482" s="635"/>
      <c r="K482" s="21">
        <f t="shared" si="80"/>
        <v>1</v>
      </c>
      <c r="L482" s="635"/>
      <c r="M482" s="21">
        <f t="shared" si="81"/>
        <v>1</v>
      </c>
      <c r="N482" s="635"/>
      <c r="O482" s="21">
        <f t="shared" si="82"/>
        <v>1</v>
      </c>
      <c r="P482" s="635"/>
      <c r="Q482" s="21">
        <f t="shared" si="83"/>
        <v>1</v>
      </c>
      <c r="R482" s="21">
        <f t="shared" si="84"/>
        <v>0</v>
      </c>
      <c r="S482" s="308">
        <f t="shared" si="75"/>
        <v>0</v>
      </c>
    </row>
    <row r="483" spans="1:19">
      <c r="A483" s="142"/>
      <c r="B483" s="52"/>
      <c r="C483" s="21">
        <f t="shared" si="76"/>
        <v>1</v>
      </c>
      <c r="D483" s="635"/>
      <c r="E483" s="21">
        <f t="shared" si="77"/>
        <v>1</v>
      </c>
      <c r="F483" s="635"/>
      <c r="G483" s="21">
        <f t="shared" si="78"/>
        <v>1</v>
      </c>
      <c r="H483" s="635"/>
      <c r="I483" s="21">
        <f t="shared" si="79"/>
        <v>1</v>
      </c>
      <c r="J483" s="635"/>
      <c r="K483" s="21">
        <f t="shared" si="80"/>
        <v>1</v>
      </c>
      <c r="L483" s="635"/>
      <c r="M483" s="21">
        <f t="shared" si="81"/>
        <v>1</v>
      </c>
      <c r="N483" s="635"/>
      <c r="O483" s="21">
        <f t="shared" si="82"/>
        <v>1</v>
      </c>
      <c r="P483" s="635"/>
      <c r="Q483" s="21">
        <f t="shared" si="83"/>
        <v>1</v>
      </c>
      <c r="R483" s="21">
        <f t="shared" si="84"/>
        <v>0</v>
      </c>
      <c r="S483" s="308">
        <f t="shared" si="75"/>
        <v>0</v>
      </c>
    </row>
    <row r="484" spans="1:19">
      <c r="A484" s="142"/>
      <c r="B484" s="52"/>
      <c r="C484" s="21">
        <f t="shared" si="76"/>
        <v>1</v>
      </c>
      <c r="D484" s="635"/>
      <c r="E484" s="21">
        <f t="shared" si="77"/>
        <v>1</v>
      </c>
      <c r="F484" s="635"/>
      <c r="G484" s="21">
        <f t="shared" si="78"/>
        <v>1</v>
      </c>
      <c r="H484" s="635"/>
      <c r="I484" s="21">
        <f t="shared" si="79"/>
        <v>1</v>
      </c>
      <c r="J484" s="635"/>
      <c r="K484" s="21">
        <f t="shared" si="80"/>
        <v>1</v>
      </c>
      <c r="L484" s="635"/>
      <c r="M484" s="21">
        <f t="shared" si="81"/>
        <v>1</v>
      </c>
      <c r="N484" s="635"/>
      <c r="O484" s="21">
        <f t="shared" si="82"/>
        <v>1</v>
      </c>
      <c r="P484" s="635"/>
      <c r="Q484" s="21">
        <f t="shared" si="83"/>
        <v>1</v>
      </c>
      <c r="R484" s="21">
        <f t="shared" si="84"/>
        <v>0</v>
      </c>
      <c r="S484" s="308">
        <f t="shared" si="75"/>
        <v>0</v>
      </c>
    </row>
    <row r="485" spans="1:19">
      <c r="A485" s="142"/>
      <c r="B485" s="52"/>
      <c r="C485" s="21">
        <f t="shared" si="76"/>
        <v>1</v>
      </c>
      <c r="D485" s="635"/>
      <c r="E485" s="21">
        <f t="shared" si="77"/>
        <v>1</v>
      </c>
      <c r="F485" s="635"/>
      <c r="G485" s="21">
        <f t="shared" si="78"/>
        <v>1</v>
      </c>
      <c r="H485" s="635"/>
      <c r="I485" s="21">
        <f t="shared" si="79"/>
        <v>1</v>
      </c>
      <c r="J485" s="635"/>
      <c r="K485" s="21">
        <f t="shared" si="80"/>
        <v>1</v>
      </c>
      <c r="L485" s="635"/>
      <c r="M485" s="21">
        <f t="shared" si="81"/>
        <v>1</v>
      </c>
      <c r="N485" s="635"/>
      <c r="O485" s="21">
        <f t="shared" si="82"/>
        <v>1</v>
      </c>
      <c r="P485" s="635"/>
      <c r="Q485" s="21">
        <f t="shared" si="83"/>
        <v>1</v>
      </c>
      <c r="R485" s="21">
        <f t="shared" si="84"/>
        <v>0</v>
      </c>
      <c r="S485" s="308">
        <f t="shared" si="75"/>
        <v>0</v>
      </c>
    </row>
    <row r="486" spans="1:19">
      <c r="A486" s="142"/>
      <c r="B486" s="52"/>
      <c r="C486" s="21">
        <f t="shared" si="76"/>
        <v>1</v>
      </c>
      <c r="D486" s="635"/>
      <c r="E486" s="21">
        <f t="shared" si="77"/>
        <v>1</v>
      </c>
      <c r="F486" s="635"/>
      <c r="G486" s="21">
        <f t="shared" si="78"/>
        <v>1</v>
      </c>
      <c r="H486" s="635"/>
      <c r="I486" s="21">
        <f t="shared" si="79"/>
        <v>1</v>
      </c>
      <c r="J486" s="635"/>
      <c r="K486" s="21">
        <f t="shared" si="80"/>
        <v>1</v>
      </c>
      <c r="L486" s="635"/>
      <c r="M486" s="21">
        <f t="shared" si="81"/>
        <v>1</v>
      </c>
      <c r="N486" s="635"/>
      <c r="O486" s="21">
        <f t="shared" si="82"/>
        <v>1</v>
      </c>
      <c r="P486" s="635"/>
      <c r="Q486" s="21">
        <f t="shared" si="83"/>
        <v>1</v>
      </c>
      <c r="R486" s="21">
        <f t="shared" si="84"/>
        <v>0</v>
      </c>
      <c r="S486" s="308">
        <f t="shared" si="75"/>
        <v>0</v>
      </c>
    </row>
    <row r="487" spans="1:19">
      <c r="A487" s="142"/>
      <c r="B487" s="52"/>
      <c r="C487" s="21">
        <f t="shared" si="76"/>
        <v>1</v>
      </c>
      <c r="D487" s="635"/>
      <c r="E487" s="21">
        <f t="shared" si="77"/>
        <v>1</v>
      </c>
      <c r="F487" s="635"/>
      <c r="G487" s="21">
        <f t="shared" si="78"/>
        <v>1</v>
      </c>
      <c r="H487" s="635"/>
      <c r="I487" s="21">
        <f t="shared" si="79"/>
        <v>1</v>
      </c>
      <c r="J487" s="635"/>
      <c r="K487" s="21">
        <f t="shared" si="80"/>
        <v>1</v>
      </c>
      <c r="L487" s="635"/>
      <c r="M487" s="21">
        <f t="shared" si="81"/>
        <v>1</v>
      </c>
      <c r="N487" s="635"/>
      <c r="O487" s="21">
        <f t="shared" si="82"/>
        <v>1</v>
      </c>
      <c r="P487" s="635"/>
      <c r="Q487" s="21">
        <f t="shared" si="83"/>
        <v>1</v>
      </c>
      <c r="R487" s="21">
        <f t="shared" si="84"/>
        <v>0</v>
      </c>
      <c r="S487" s="308">
        <f t="shared" si="75"/>
        <v>0</v>
      </c>
    </row>
    <row r="488" spans="1:19">
      <c r="A488" s="142"/>
      <c r="B488" s="52"/>
      <c r="C488" s="21">
        <f t="shared" si="76"/>
        <v>1</v>
      </c>
      <c r="D488" s="635"/>
      <c r="E488" s="21">
        <f t="shared" si="77"/>
        <v>1</v>
      </c>
      <c r="F488" s="635"/>
      <c r="G488" s="21">
        <f t="shared" si="78"/>
        <v>1</v>
      </c>
      <c r="H488" s="635"/>
      <c r="I488" s="21">
        <f t="shared" si="79"/>
        <v>1</v>
      </c>
      <c r="J488" s="635"/>
      <c r="K488" s="21">
        <f t="shared" si="80"/>
        <v>1</v>
      </c>
      <c r="L488" s="635"/>
      <c r="M488" s="21">
        <f t="shared" si="81"/>
        <v>1</v>
      </c>
      <c r="N488" s="635"/>
      <c r="O488" s="21">
        <f t="shared" si="82"/>
        <v>1</v>
      </c>
      <c r="P488" s="635"/>
      <c r="Q488" s="21">
        <f t="shared" si="83"/>
        <v>1</v>
      </c>
      <c r="R488" s="21">
        <f t="shared" si="84"/>
        <v>0</v>
      </c>
      <c r="S488" s="308">
        <f t="shared" si="75"/>
        <v>0</v>
      </c>
    </row>
    <row r="489" spans="1:19">
      <c r="A489" s="142"/>
      <c r="B489" s="52"/>
      <c r="C489" s="21">
        <f t="shared" si="76"/>
        <v>1</v>
      </c>
      <c r="D489" s="635"/>
      <c r="E489" s="21">
        <f t="shared" si="77"/>
        <v>1</v>
      </c>
      <c r="F489" s="635"/>
      <c r="G489" s="21">
        <f t="shared" si="78"/>
        <v>1</v>
      </c>
      <c r="H489" s="635"/>
      <c r="I489" s="21">
        <f t="shared" si="79"/>
        <v>1</v>
      </c>
      <c r="J489" s="635"/>
      <c r="K489" s="21">
        <f t="shared" si="80"/>
        <v>1</v>
      </c>
      <c r="L489" s="635"/>
      <c r="M489" s="21">
        <f t="shared" si="81"/>
        <v>1</v>
      </c>
      <c r="N489" s="635"/>
      <c r="O489" s="21">
        <f t="shared" si="82"/>
        <v>1</v>
      </c>
      <c r="P489" s="635"/>
      <c r="Q489" s="21">
        <f t="shared" si="83"/>
        <v>1</v>
      </c>
      <c r="R489" s="21">
        <f t="shared" si="84"/>
        <v>0</v>
      </c>
      <c r="S489" s="308">
        <f t="shared" si="75"/>
        <v>0</v>
      </c>
    </row>
    <row r="490" spans="1:19">
      <c r="A490" s="142"/>
      <c r="B490" s="52"/>
      <c r="C490" s="21">
        <f t="shared" si="76"/>
        <v>1</v>
      </c>
      <c r="D490" s="635"/>
      <c r="E490" s="21">
        <f t="shared" si="77"/>
        <v>1</v>
      </c>
      <c r="F490" s="635"/>
      <c r="G490" s="21">
        <f t="shared" si="78"/>
        <v>1</v>
      </c>
      <c r="H490" s="635"/>
      <c r="I490" s="21">
        <f t="shared" si="79"/>
        <v>1</v>
      </c>
      <c r="J490" s="635"/>
      <c r="K490" s="21">
        <f t="shared" si="80"/>
        <v>1</v>
      </c>
      <c r="L490" s="635"/>
      <c r="M490" s="21">
        <f t="shared" si="81"/>
        <v>1</v>
      </c>
      <c r="N490" s="635"/>
      <c r="O490" s="21">
        <f t="shared" si="82"/>
        <v>1</v>
      </c>
      <c r="P490" s="635"/>
      <c r="Q490" s="21">
        <f t="shared" si="83"/>
        <v>1</v>
      </c>
      <c r="R490" s="21">
        <f t="shared" si="84"/>
        <v>0</v>
      </c>
      <c r="S490" s="308">
        <f t="shared" si="75"/>
        <v>0</v>
      </c>
    </row>
    <row r="491" spans="1:19">
      <c r="A491" s="142"/>
      <c r="B491" s="52"/>
      <c r="C491" s="21">
        <f t="shared" si="76"/>
        <v>1</v>
      </c>
      <c r="D491" s="635"/>
      <c r="E491" s="21">
        <f t="shared" si="77"/>
        <v>1</v>
      </c>
      <c r="F491" s="635"/>
      <c r="G491" s="21">
        <f t="shared" si="78"/>
        <v>1</v>
      </c>
      <c r="H491" s="635"/>
      <c r="I491" s="21">
        <f t="shared" si="79"/>
        <v>1</v>
      </c>
      <c r="J491" s="635"/>
      <c r="K491" s="21">
        <f t="shared" si="80"/>
        <v>1</v>
      </c>
      <c r="L491" s="635"/>
      <c r="M491" s="21">
        <f t="shared" si="81"/>
        <v>1</v>
      </c>
      <c r="N491" s="635"/>
      <c r="O491" s="21">
        <f t="shared" si="82"/>
        <v>1</v>
      </c>
      <c r="P491" s="635"/>
      <c r="Q491" s="21">
        <f t="shared" si="83"/>
        <v>1</v>
      </c>
      <c r="R491" s="21">
        <f t="shared" si="84"/>
        <v>0</v>
      </c>
      <c r="S491" s="308">
        <f t="shared" si="75"/>
        <v>0</v>
      </c>
    </row>
    <row r="492" spans="1:19">
      <c r="A492" s="142"/>
      <c r="B492" s="52"/>
      <c r="C492" s="21">
        <f t="shared" si="76"/>
        <v>1</v>
      </c>
      <c r="D492" s="635"/>
      <c r="E492" s="21">
        <f t="shared" si="77"/>
        <v>1</v>
      </c>
      <c r="F492" s="635"/>
      <c r="G492" s="21">
        <f t="shared" si="78"/>
        <v>1</v>
      </c>
      <c r="H492" s="635"/>
      <c r="I492" s="21">
        <f t="shared" si="79"/>
        <v>1</v>
      </c>
      <c r="J492" s="635"/>
      <c r="K492" s="21">
        <f t="shared" si="80"/>
        <v>1</v>
      </c>
      <c r="L492" s="635"/>
      <c r="M492" s="21">
        <f t="shared" si="81"/>
        <v>1</v>
      </c>
      <c r="N492" s="635"/>
      <c r="O492" s="21">
        <f t="shared" si="82"/>
        <v>1</v>
      </c>
      <c r="P492" s="635"/>
      <c r="Q492" s="21">
        <f t="shared" si="83"/>
        <v>1</v>
      </c>
      <c r="R492" s="21">
        <f t="shared" si="84"/>
        <v>0</v>
      </c>
      <c r="S492" s="308">
        <f t="shared" si="75"/>
        <v>0</v>
      </c>
    </row>
    <row r="493" spans="1:19">
      <c r="A493" s="142"/>
      <c r="B493" s="52"/>
      <c r="C493" s="21">
        <f t="shared" si="76"/>
        <v>1</v>
      </c>
      <c r="D493" s="635"/>
      <c r="E493" s="21">
        <f t="shared" si="77"/>
        <v>1</v>
      </c>
      <c r="F493" s="635"/>
      <c r="G493" s="21">
        <f t="shared" si="78"/>
        <v>1</v>
      </c>
      <c r="H493" s="635"/>
      <c r="I493" s="21">
        <f t="shared" si="79"/>
        <v>1</v>
      </c>
      <c r="J493" s="635"/>
      <c r="K493" s="21">
        <f t="shared" si="80"/>
        <v>1</v>
      </c>
      <c r="L493" s="635"/>
      <c r="M493" s="21">
        <f t="shared" si="81"/>
        <v>1</v>
      </c>
      <c r="N493" s="635"/>
      <c r="O493" s="21">
        <f t="shared" si="82"/>
        <v>1</v>
      </c>
      <c r="P493" s="635"/>
      <c r="Q493" s="21">
        <f t="shared" si="83"/>
        <v>1</v>
      </c>
      <c r="R493" s="21">
        <f t="shared" si="84"/>
        <v>0</v>
      </c>
      <c r="S493" s="308">
        <f t="shared" si="75"/>
        <v>0</v>
      </c>
    </row>
    <row r="494" spans="1:19">
      <c r="A494" s="142"/>
      <c r="B494" s="52"/>
      <c r="C494" s="21">
        <f t="shared" si="76"/>
        <v>1</v>
      </c>
      <c r="D494" s="635"/>
      <c r="E494" s="21">
        <f t="shared" si="77"/>
        <v>1</v>
      </c>
      <c r="F494" s="635"/>
      <c r="G494" s="21">
        <f t="shared" si="78"/>
        <v>1</v>
      </c>
      <c r="H494" s="635"/>
      <c r="I494" s="21">
        <f t="shared" si="79"/>
        <v>1</v>
      </c>
      <c r="J494" s="635"/>
      <c r="K494" s="21">
        <f t="shared" si="80"/>
        <v>1</v>
      </c>
      <c r="L494" s="635"/>
      <c r="M494" s="21">
        <f t="shared" si="81"/>
        <v>1</v>
      </c>
      <c r="N494" s="635"/>
      <c r="O494" s="21">
        <f t="shared" si="82"/>
        <v>1</v>
      </c>
      <c r="P494" s="635"/>
      <c r="Q494" s="21">
        <f t="shared" si="83"/>
        <v>1</v>
      </c>
      <c r="R494" s="21">
        <f t="shared" si="84"/>
        <v>0</v>
      </c>
      <c r="S494" s="308">
        <f t="shared" si="75"/>
        <v>0</v>
      </c>
    </row>
    <row r="495" spans="1:19">
      <c r="A495" s="142"/>
      <c r="B495" s="52"/>
      <c r="C495" s="21">
        <f t="shared" si="76"/>
        <v>1</v>
      </c>
      <c r="D495" s="635"/>
      <c r="E495" s="21">
        <f t="shared" si="77"/>
        <v>1</v>
      </c>
      <c r="F495" s="635"/>
      <c r="G495" s="21">
        <f t="shared" si="78"/>
        <v>1</v>
      </c>
      <c r="H495" s="635"/>
      <c r="I495" s="21">
        <f t="shared" si="79"/>
        <v>1</v>
      </c>
      <c r="J495" s="635"/>
      <c r="K495" s="21">
        <f t="shared" si="80"/>
        <v>1</v>
      </c>
      <c r="L495" s="635"/>
      <c r="M495" s="21">
        <f t="shared" si="81"/>
        <v>1</v>
      </c>
      <c r="N495" s="635"/>
      <c r="O495" s="21">
        <f t="shared" si="82"/>
        <v>1</v>
      </c>
      <c r="P495" s="635"/>
      <c r="Q495" s="21">
        <f t="shared" si="83"/>
        <v>1</v>
      </c>
      <c r="R495" s="21">
        <f t="shared" si="84"/>
        <v>0</v>
      </c>
      <c r="S495" s="308">
        <f t="shared" si="75"/>
        <v>0</v>
      </c>
    </row>
    <row r="496" spans="1:19">
      <c r="A496" s="142"/>
      <c r="B496" s="52"/>
      <c r="C496" s="21">
        <f t="shared" si="76"/>
        <v>1</v>
      </c>
      <c r="D496" s="635"/>
      <c r="E496" s="21">
        <f t="shared" si="77"/>
        <v>1</v>
      </c>
      <c r="F496" s="635"/>
      <c r="G496" s="21">
        <f t="shared" si="78"/>
        <v>1</v>
      </c>
      <c r="H496" s="635"/>
      <c r="I496" s="21">
        <f t="shared" si="79"/>
        <v>1</v>
      </c>
      <c r="J496" s="635"/>
      <c r="K496" s="21">
        <f t="shared" si="80"/>
        <v>1</v>
      </c>
      <c r="L496" s="635"/>
      <c r="M496" s="21">
        <f t="shared" si="81"/>
        <v>1</v>
      </c>
      <c r="N496" s="635"/>
      <c r="O496" s="21">
        <f t="shared" si="82"/>
        <v>1</v>
      </c>
      <c r="P496" s="635"/>
      <c r="Q496" s="21">
        <f t="shared" si="83"/>
        <v>1</v>
      </c>
      <c r="R496" s="21">
        <f t="shared" si="84"/>
        <v>0</v>
      </c>
      <c r="S496" s="308">
        <f t="shared" si="75"/>
        <v>0</v>
      </c>
    </row>
    <row r="497" spans="1:19">
      <c r="A497" s="142"/>
      <c r="B497" s="52"/>
      <c r="C497" s="21">
        <f t="shared" si="76"/>
        <v>1</v>
      </c>
      <c r="D497" s="635"/>
      <c r="E497" s="21">
        <f t="shared" si="77"/>
        <v>1</v>
      </c>
      <c r="F497" s="635"/>
      <c r="G497" s="21">
        <f t="shared" si="78"/>
        <v>1</v>
      </c>
      <c r="H497" s="635"/>
      <c r="I497" s="21">
        <f t="shared" si="79"/>
        <v>1</v>
      </c>
      <c r="J497" s="635"/>
      <c r="K497" s="21">
        <f t="shared" si="80"/>
        <v>1</v>
      </c>
      <c r="L497" s="635"/>
      <c r="M497" s="21">
        <f t="shared" si="81"/>
        <v>1</v>
      </c>
      <c r="N497" s="635"/>
      <c r="O497" s="21">
        <f t="shared" si="82"/>
        <v>1</v>
      </c>
      <c r="P497" s="635"/>
      <c r="Q497" s="21">
        <f t="shared" si="83"/>
        <v>1</v>
      </c>
      <c r="R497" s="21">
        <f t="shared" si="84"/>
        <v>0</v>
      </c>
      <c r="S497" s="308">
        <f t="shared" si="75"/>
        <v>0</v>
      </c>
    </row>
    <row r="498" spans="1:19">
      <c r="A498" s="142"/>
      <c r="B498" s="52"/>
      <c r="C498" s="21">
        <f t="shared" si="76"/>
        <v>1</v>
      </c>
      <c r="D498" s="635"/>
      <c r="E498" s="21">
        <f t="shared" si="77"/>
        <v>1</v>
      </c>
      <c r="F498" s="635"/>
      <c r="G498" s="21">
        <f t="shared" si="78"/>
        <v>1</v>
      </c>
      <c r="H498" s="635"/>
      <c r="I498" s="21">
        <f t="shared" si="79"/>
        <v>1</v>
      </c>
      <c r="J498" s="635"/>
      <c r="K498" s="21">
        <f t="shared" si="80"/>
        <v>1</v>
      </c>
      <c r="L498" s="635"/>
      <c r="M498" s="21">
        <f t="shared" si="81"/>
        <v>1</v>
      </c>
      <c r="N498" s="635"/>
      <c r="O498" s="21">
        <f t="shared" si="82"/>
        <v>1</v>
      </c>
      <c r="P498" s="635"/>
      <c r="Q498" s="21">
        <f t="shared" si="83"/>
        <v>1</v>
      </c>
      <c r="R498" s="21">
        <f t="shared" si="84"/>
        <v>0</v>
      </c>
      <c r="S498" s="308">
        <f t="shared" si="75"/>
        <v>0</v>
      </c>
    </row>
    <row r="499" spans="1:19">
      <c r="A499" s="142"/>
      <c r="B499" s="52"/>
      <c r="C499" s="21">
        <f t="shared" si="76"/>
        <v>1</v>
      </c>
      <c r="D499" s="635"/>
      <c r="E499" s="21">
        <f t="shared" si="77"/>
        <v>1</v>
      </c>
      <c r="F499" s="635"/>
      <c r="G499" s="21">
        <f t="shared" si="78"/>
        <v>1</v>
      </c>
      <c r="H499" s="635"/>
      <c r="I499" s="21">
        <f t="shared" si="79"/>
        <v>1</v>
      </c>
      <c r="J499" s="635"/>
      <c r="K499" s="21">
        <f t="shared" si="80"/>
        <v>1</v>
      </c>
      <c r="L499" s="635"/>
      <c r="M499" s="21">
        <f t="shared" si="81"/>
        <v>1</v>
      </c>
      <c r="N499" s="635"/>
      <c r="O499" s="21">
        <f t="shared" si="82"/>
        <v>1</v>
      </c>
      <c r="P499" s="635"/>
      <c r="Q499" s="21">
        <f t="shared" si="83"/>
        <v>1</v>
      </c>
      <c r="R499" s="21">
        <f t="shared" si="84"/>
        <v>0</v>
      </c>
      <c r="S499" s="308">
        <f t="shared" si="75"/>
        <v>0</v>
      </c>
    </row>
    <row r="500" spans="1:19">
      <c r="A500" s="142"/>
      <c r="B500" s="52"/>
      <c r="C500" s="21">
        <f t="shared" si="76"/>
        <v>1</v>
      </c>
      <c r="D500" s="635"/>
      <c r="E500" s="21">
        <f t="shared" si="77"/>
        <v>1</v>
      </c>
      <c r="F500" s="635"/>
      <c r="G500" s="21">
        <f t="shared" si="78"/>
        <v>1</v>
      </c>
      <c r="H500" s="635"/>
      <c r="I500" s="21">
        <f t="shared" si="79"/>
        <v>1</v>
      </c>
      <c r="J500" s="635"/>
      <c r="K500" s="21">
        <f t="shared" si="80"/>
        <v>1</v>
      </c>
      <c r="L500" s="635"/>
      <c r="M500" s="21">
        <f t="shared" si="81"/>
        <v>1</v>
      </c>
      <c r="N500" s="635"/>
      <c r="O500" s="21">
        <f t="shared" si="82"/>
        <v>1</v>
      </c>
      <c r="P500" s="635"/>
      <c r="Q500" s="21">
        <f t="shared" si="83"/>
        <v>1</v>
      </c>
      <c r="R500" s="21">
        <f t="shared" si="84"/>
        <v>0</v>
      </c>
      <c r="S500" s="308">
        <f t="shared" si="75"/>
        <v>0</v>
      </c>
    </row>
    <row r="501" spans="1:19">
      <c r="A501" s="142"/>
      <c r="B501" s="52"/>
      <c r="C501" s="21">
        <f t="shared" si="76"/>
        <v>1</v>
      </c>
      <c r="D501" s="635"/>
      <c r="E501" s="21">
        <f t="shared" si="77"/>
        <v>1</v>
      </c>
      <c r="F501" s="635"/>
      <c r="G501" s="21">
        <f t="shared" si="78"/>
        <v>1</v>
      </c>
      <c r="H501" s="635"/>
      <c r="I501" s="21">
        <f t="shared" si="79"/>
        <v>1</v>
      </c>
      <c r="J501" s="635"/>
      <c r="K501" s="21">
        <f t="shared" si="80"/>
        <v>1</v>
      </c>
      <c r="L501" s="635"/>
      <c r="M501" s="21">
        <f t="shared" si="81"/>
        <v>1</v>
      </c>
      <c r="N501" s="635"/>
      <c r="O501" s="21">
        <f t="shared" si="82"/>
        <v>1</v>
      </c>
      <c r="P501" s="635"/>
      <c r="Q501" s="21">
        <f t="shared" si="83"/>
        <v>1</v>
      </c>
      <c r="R501" s="21">
        <f t="shared" si="84"/>
        <v>0</v>
      </c>
      <c r="S501" s="308">
        <f t="shared" si="75"/>
        <v>0</v>
      </c>
    </row>
    <row r="502" spans="1:19">
      <c r="A502" s="142"/>
      <c r="B502" s="52"/>
      <c r="C502" s="21">
        <f t="shared" si="76"/>
        <v>1</v>
      </c>
      <c r="D502" s="635"/>
      <c r="E502" s="21">
        <f t="shared" si="77"/>
        <v>1</v>
      </c>
      <c r="F502" s="635"/>
      <c r="G502" s="21">
        <f t="shared" si="78"/>
        <v>1</v>
      </c>
      <c r="H502" s="635"/>
      <c r="I502" s="21">
        <f t="shared" si="79"/>
        <v>1</v>
      </c>
      <c r="J502" s="635"/>
      <c r="K502" s="21">
        <f t="shared" si="80"/>
        <v>1</v>
      </c>
      <c r="L502" s="635"/>
      <c r="M502" s="21">
        <f t="shared" si="81"/>
        <v>1</v>
      </c>
      <c r="N502" s="635"/>
      <c r="O502" s="21">
        <f t="shared" si="82"/>
        <v>1</v>
      </c>
      <c r="P502" s="635"/>
      <c r="Q502" s="21">
        <f t="shared" si="83"/>
        <v>1</v>
      </c>
      <c r="R502" s="21">
        <f t="shared" si="84"/>
        <v>0</v>
      </c>
      <c r="S502" s="308">
        <f t="shared" si="75"/>
        <v>0</v>
      </c>
    </row>
    <row r="503" spans="1:19">
      <c r="A503" s="142"/>
      <c r="B503" s="52"/>
      <c r="C503" s="21">
        <f t="shared" si="76"/>
        <v>1</v>
      </c>
      <c r="D503" s="635"/>
      <c r="E503" s="21">
        <f t="shared" si="77"/>
        <v>1</v>
      </c>
      <c r="F503" s="635"/>
      <c r="G503" s="21">
        <f t="shared" si="78"/>
        <v>1</v>
      </c>
      <c r="H503" s="635"/>
      <c r="I503" s="21">
        <f t="shared" si="79"/>
        <v>1</v>
      </c>
      <c r="J503" s="635"/>
      <c r="K503" s="21">
        <f t="shared" si="80"/>
        <v>1</v>
      </c>
      <c r="L503" s="635"/>
      <c r="M503" s="21">
        <f t="shared" si="81"/>
        <v>1</v>
      </c>
      <c r="N503" s="635"/>
      <c r="O503" s="21">
        <f t="shared" si="82"/>
        <v>1</v>
      </c>
      <c r="P503" s="635"/>
      <c r="Q503" s="21">
        <f t="shared" si="83"/>
        <v>1</v>
      </c>
      <c r="R503" s="21">
        <f t="shared" si="84"/>
        <v>0</v>
      </c>
      <c r="S503" s="308">
        <f t="shared" si="75"/>
        <v>0</v>
      </c>
    </row>
    <row r="504" spans="1:19">
      <c r="A504" s="142"/>
      <c r="B504" s="52"/>
      <c r="C504" s="21">
        <f t="shared" si="76"/>
        <v>1</v>
      </c>
      <c r="D504" s="635"/>
      <c r="E504" s="21">
        <f t="shared" si="77"/>
        <v>1</v>
      </c>
      <c r="F504" s="635"/>
      <c r="G504" s="21">
        <f t="shared" si="78"/>
        <v>1</v>
      </c>
      <c r="H504" s="635"/>
      <c r="I504" s="21">
        <f t="shared" si="79"/>
        <v>1</v>
      </c>
      <c r="J504" s="635"/>
      <c r="K504" s="21">
        <f t="shared" si="80"/>
        <v>1</v>
      </c>
      <c r="L504" s="635"/>
      <c r="M504" s="21">
        <f t="shared" si="81"/>
        <v>1</v>
      </c>
      <c r="N504" s="635"/>
      <c r="O504" s="21">
        <f t="shared" si="82"/>
        <v>1</v>
      </c>
      <c r="P504" s="635"/>
      <c r="Q504" s="21">
        <f t="shared" si="83"/>
        <v>1</v>
      </c>
      <c r="R504" s="21">
        <f t="shared" si="84"/>
        <v>0</v>
      </c>
      <c r="S504" s="308">
        <f t="shared" si="75"/>
        <v>0</v>
      </c>
    </row>
    <row r="505" spans="1:19">
      <c r="A505" s="142"/>
      <c r="B505" s="52"/>
      <c r="C505" s="21">
        <f t="shared" si="76"/>
        <v>1</v>
      </c>
      <c r="D505" s="635"/>
      <c r="E505" s="21">
        <f t="shared" si="77"/>
        <v>1</v>
      </c>
      <c r="F505" s="635"/>
      <c r="G505" s="21">
        <f t="shared" si="78"/>
        <v>1</v>
      </c>
      <c r="H505" s="635"/>
      <c r="I505" s="21">
        <f t="shared" si="79"/>
        <v>1</v>
      </c>
      <c r="J505" s="635"/>
      <c r="K505" s="21">
        <f t="shared" si="80"/>
        <v>1</v>
      </c>
      <c r="L505" s="635"/>
      <c r="M505" s="21">
        <f t="shared" si="81"/>
        <v>1</v>
      </c>
      <c r="N505" s="635"/>
      <c r="O505" s="21">
        <f t="shared" si="82"/>
        <v>1</v>
      </c>
      <c r="P505" s="635"/>
      <c r="Q505" s="21">
        <f t="shared" si="83"/>
        <v>1</v>
      </c>
      <c r="R505" s="21">
        <f t="shared" si="84"/>
        <v>0</v>
      </c>
      <c r="S505" s="308">
        <f t="shared" si="75"/>
        <v>0</v>
      </c>
    </row>
    <row r="506" spans="1:19">
      <c r="A506" s="142"/>
      <c r="B506" s="52"/>
      <c r="C506" s="21">
        <f t="shared" si="76"/>
        <v>1</v>
      </c>
      <c r="D506" s="635"/>
      <c r="E506" s="21">
        <f t="shared" si="77"/>
        <v>1</v>
      </c>
      <c r="F506" s="635"/>
      <c r="G506" s="21">
        <f t="shared" si="78"/>
        <v>1</v>
      </c>
      <c r="H506" s="635"/>
      <c r="I506" s="21">
        <f t="shared" si="79"/>
        <v>1</v>
      </c>
      <c r="J506" s="635"/>
      <c r="K506" s="21">
        <f t="shared" si="80"/>
        <v>1</v>
      </c>
      <c r="L506" s="635"/>
      <c r="M506" s="21">
        <f t="shared" si="81"/>
        <v>1</v>
      </c>
      <c r="N506" s="635"/>
      <c r="O506" s="21">
        <f t="shared" si="82"/>
        <v>1</v>
      </c>
      <c r="P506" s="635"/>
      <c r="Q506" s="21">
        <f t="shared" si="83"/>
        <v>1</v>
      </c>
      <c r="R506" s="21">
        <f t="shared" si="84"/>
        <v>0</v>
      </c>
      <c r="S506" s="308">
        <f t="shared" si="75"/>
        <v>0</v>
      </c>
    </row>
    <row r="507" spans="1:19">
      <c r="A507" s="142"/>
      <c r="B507" s="52"/>
      <c r="C507" s="21">
        <f t="shared" si="76"/>
        <v>1</v>
      </c>
      <c r="D507" s="635"/>
      <c r="E507" s="21">
        <f t="shared" si="77"/>
        <v>1</v>
      </c>
      <c r="F507" s="635"/>
      <c r="G507" s="21">
        <f t="shared" si="78"/>
        <v>1</v>
      </c>
      <c r="H507" s="635"/>
      <c r="I507" s="21">
        <f t="shared" si="79"/>
        <v>1</v>
      </c>
      <c r="J507" s="635"/>
      <c r="K507" s="21">
        <f t="shared" si="80"/>
        <v>1</v>
      </c>
      <c r="L507" s="635"/>
      <c r="M507" s="21">
        <f t="shared" si="81"/>
        <v>1</v>
      </c>
      <c r="N507" s="635"/>
      <c r="O507" s="21">
        <f t="shared" si="82"/>
        <v>1</v>
      </c>
      <c r="P507" s="635"/>
      <c r="Q507" s="21">
        <f t="shared" si="83"/>
        <v>1</v>
      </c>
      <c r="R507" s="21">
        <f t="shared" si="84"/>
        <v>0</v>
      </c>
      <c r="S507" s="308">
        <f t="shared" si="75"/>
        <v>0</v>
      </c>
    </row>
    <row r="508" spans="1:19">
      <c r="A508" s="142"/>
      <c r="B508" s="52"/>
      <c r="C508" s="21">
        <f t="shared" si="76"/>
        <v>1</v>
      </c>
      <c r="D508" s="635"/>
      <c r="E508" s="21">
        <f t="shared" si="77"/>
        <v>1</v>
      </c>
      <c r="F508" s="635"/>
      <c r="G508" s="21">
        <f t="shared" si="78"/>
        <v>1</v>
      </c>
      <c r="H508" s="635"/>
      <c r="I508" s="21">
        <f t="shared" si="79"/>
        <v>1</v>
      </c>
      <c r="J508" s="635"/>
      <c r="K508" s="21">
        <f t="shared" si="80"/>
        <v>1</v>
      </c>
      <c r="L508" s="635"/>
      <c r="M508" s="21">
        <f t="shared" si="81"/>
        <v>1</v>
      </c>
      <c r="N508" s="635"/>
      <c r="O508" s="21">
        <f t="shared" si="82"/>
        <v>1</v>
      </c>
      <c r="P508" s="635"/>
      <c r="Q508" s="21">
        <f t="shared" si="83"/>
        <v>1</v>
      </c>
      <c r="R508" s="21">
        <f t="shared" si="84"/>
        <v>0</v>
      </c>
      <c r="S508" s="308">
        <f t="shared" si="75"/>
        <v>0</v>
      </c>
    </row>
    <row r="509" spans="1:19">
      <c r="A509" s="142"/>
      <c r="B509" s="52"/>
      <c r="C509" s="21">
        <f t="shared" si="76"/>
        <v>1</v>
      </c>
      <c r="D509" s="635"/>
      <c r="E509" s="21">
        <f t="shared" si="77"/>
        <v>1</v>
      </c>
      <c r="F509" s="635"/>
      <c r="G509" s="21">
        <f t="shared" si="78"/>
        <v>1</v>
      </c>
      <c r="H509" s="635"/>
      <c r="I509" s="21">
        <f t="shared" si="79"/>
        <v>1</v>
      </c>
      <c r="J509" s="635"/>
      <c r="K509" s="21">
        <f t="shared" si="80"/>
        <v>1</v>
      </c>
      <c r="L509" s="635"/>
      <c r="M509" s="21">
        <f t="shared" si="81"/>
        <v>1</v>
      </c>
      <c r="N509" s="635"/>
      <c r="O509" s="21">
        <f t="shared" si="82"/>
        <v>1</v>
      </c>
      <c r="P509" s="635"/>
      <c r="Q509" s="21">
        <f t="shared" si="83"/>
        <v>1</v>
      </c>
      <c r="R509" s="21">
        <f t="shared" si="84"/>
        <v>0</v>
      </c>
      <c r="S509" s="308">
        <f t="shared" si="75"/>
        <v>0</v>
      </c>
    </row>
    <row r="510" spans="1:19">
      <c r="A510" s="142"/>
      <c r="B510" s="52"/>
      <c r="C510" s="21">
        <f t="shared" si="76"/>
        <v>1</v>
      </c>
      <c r="D510" s="635"/>
      <c r="E510" s="21">
        <f t="shared" si="77"/>
        <v>1</v>
      </c>
      <c r="F510" s="635"/>
      <c r="G510" s="21">
        <f t="shared" si="78"/>
        <v>1</v>
      </c>
      <c r="H510" s="635"/>
      <c r="I510" s="21">
        <f t="shared" si="79"/>
        <v>1</v>
      </c>
      <c r="J510" s="635"/>
      <c r="K510" s="21">
        <f t="shared" si="80"/>
        <v>1</v>
      </c>
      <c r="L510" s="635"/>
      <c r="M510" s="21">
        <f t="shared" si="81"/>
        <v>1</v>
      </c>
      <c r="N510" s="635"/>
      <c r="O510" s="21">
        <f t="shared" si="82"/>
        <v>1</v>
      </c>
      <c r="P510" s="635"/>
      <c r="Q510" s="21">
        <f t="shared" si="83"/>
        <v>1</v>
      </c>
      <c r="R510" s="21">
        <f t="shared" si="84"/>
        <v>0</v>
      </c>
      <c r="S510" s="308">
        <f t="shared" si="75"/>
        <v>0</v>
      </c>
    </row>
    <row r="511" spans="1:19">
      <c r="A511" s="142"/>
      <c r="B511" s="52"/>
      <c r="C511" s="21">
        <f t="shared" si="76"/>
        <v>1</v>
      </c>
      <c r="D511" s="635"/>
      <c r="E511" s="21">
        <f t="shared" si="77"/>
        <v>1</v>
      </c>
      <c r="F511" s="635"/>
      <c r="G511" s="21">
        <f t="shared" si="78"/>
        <v>1</v>
      </c>
      <c r="H511" s="635"/>
      <c r="I511" s="21">
        <f t="shared" si="79"/>
        <v>1</v>
      </c>
      <c r="J511" s="635"/>
      <c r="K511" s="21">
        <f t="shared" si="80"/>
        <v>1</v>
      </c>
      <c r="L511" s="635"/>
      <c r="M511" s="21">
        <f t="shared" si="81"/>
        <v>1</v>
      </c>
      <c r="N511" s="635"/>
      <c r="O511" s="21">
        <f t="shared" si="82"/>
        <v>1</v>
      </c>
      <c r="P511" s="635"/>
      <c r="Q511" s="21">
        <f t="shared" si="83"/>
        <v>1</v>
      </c>
      <c r="R511" s="21">
        <f t="shared" si="84"/>
        <v>0</v>
      </c>
      <c r="S511" s="308">
        <f t="shared" si="75"/>
        <v>0</v>
      </c>
    </row>
    <row r="512" spans="1:19">
      <c r="A512" s="142"/>
      <c r="B512" s="52"/>
      <c r="C512" s="21">
        <f t="shared" si="76"/>
        <v>1</v>
      </c>
      <c r="D512" s="635"/>
      <c r="E512" s="21">
        <f t="shared" si="77"/>
        <v>1</v>
      </c>
      <c r="F512" s="635"/>
      <c r="G512" s="21">
        <f t="shared" si="78"/>
        <v>1</v>
      </c>
      <c r="H512" s="635"/>
      <c r="I512" s="21">
        <f t="shared" si="79"/>
        <v>1</v>
      </c>
      <c r="J512" s="635"/>
      <c r="K512" s="21">
        <f t="shared" si="80"/>
        <v>1</v>
      </c>
      <c r="L512" s="635"/>
      <c r="M512" s="21">
        <f t="shared" si="81"/>
        <v>1</v>
      </c>
      <c r="N512" s="635"/>
      <c r="O512" s="21">
        <f t="shared" si="82"/>
        <v>1</v>
      </c>
      <c r="P512" s="635"/>
      <c r="Q512" s="21">
        <f t="shared" si="83"/>
        <v>1</v>
      </c>
      <c r="R512" s="21">
        <f t="shared" si="84"/>
        <v>0</v>
      </c>
      <c r="S512" s="308">
        <f t="shared" si="75"/>
        <v>0</v>
      </c>
    </row>
    <row r="513" spans="1:19">
      <c r="A513" s="142"/>
      <c r="B513" s="52"/>
      <c r="C513" s="21">
        <f t="shared" si="76"/>
        <v>1</v>
      </c>
      <c r="D513" s="635"/>
      <c r="E513" s="21">
        <f t="shared" si="77"/>
        <v>1</v>
      </c>
      <c r="F513" s="635"/>
      <c r="G513" s="21">
        <f t="shared" si="78"/>
        <v>1</v>
      </c>
      <c r="H513" s="635"/>
      <c r="I513" s="21">
        <f t="shared" si="79"/>
        <v>1</v>
      </c>
      <c r="J513" s="635"/>
      <c r="K513" s="21">
        <f t="shared" si="80"/>
        <v>1</v>
      </c>
      <c r="L513" s="635"/>
      <c r="M513" s="21">
        <f t="shared" si="81"/>
        <v>1</v>
      </c>
      <c r="N513" s="635"/>
      <c r="O513" s="21">
        <f t="shared" si="82"/>
        <v>1</v>
      </c>
      <c r="P513" s="635"/>
      <c r="Q513" s="21">
        <f t="shared" si="83"/>
        <v>1</v>
      </c>
      <c r="R513" s="21">
        <f t="shared" si="84"/>
        <v>0</v>
      </c>
      <c r="S513" s="308">
        <f t="shared" si="75"/>
        <v>0</v>
      </c>
    </row>
    <row r="514" spans="1:19">
      <c r="A514" s="142"/>
      <c r="B514" s="52"/>
      <c r="C514" s="21">
        <f t="shared" si="76"/>
        <v>1</v>
      </c>
      <c r="D514" s="635"/>
      <c r="E514" s="21">
        <f t="shared" si="77"/>
        <v>1</v>
      </c>
      <c r="F514" s="635"/>
      <c r="G514" s="21">
        <f t="shared" si="78"/>
        <v>1</v>
      </c>
      <c r="H514" s="635"/>
      <c r="I514" s="21">
        <f t="shared" si="79"/>
        <v>1</v>
      </c>
      <c r="J514" s="635"/>
      <c r="K514" s="21">
        <f t="shared" si="80"/>
        <v>1</v>
      </c>
      <c r="L514" s="635"/>
      <c r="M514" s="21">
        <f t="shared" si="81"/>
        <v>1</v>
      </c>
      <c r="N514" s="635"/>
      <c r="O514" s="21">
        <f t="shared" si="82"/>
        <v>1</v>
      </c>
      <c r="P514" s="635"/>
      <c r="Q514" s="21">
        <f t="shared" si="83"/>
        <v>1</v>
      </c>
      <c r="R514" s="21">
        <f t="shared" si="84"/>
        <v>0</v>
      </c>
      <c r="S514" s="308">
        <f t="shared" si="75"/>
        <v>0</v>
      </c>
    </row>
    <row r="515" spans="1:19">
      <c r="A515" s="142"/>
      <c r="B515" s="52"/>
      <c r="C515" s="21">
        <f t="shared" si="76"/>
        <v>1</v>
      </c>
      <c r="D515" s="635"/>
      <c r="E515" s="21">
        <f t="shared" si="77"/>
        <v>1</v>
      </c>
      <c r="F515" s="635"/>
      <c r="G515" s="21">
        <f t="shared" si="78"/>
        <v>1</v>
      </c>
      <c r="H515" s="635"/>
      <c r="I515" s="21">
        <f t="shared" si="79"/>
        <v>1</v>
      </c>
      <c r="J515" s="635"/>
      <c r="K515" s="21">
        <f t="shared" si="80"/>
        <v>1</v>
      </c>
      <c r="L515" s="635"/>
      <c r="M515" s="21">
        <f t="shared" si="81"/>
        <v>1</v>
      </c>
      <c r="N515" s="635"/>
      <c r="O515" s="21">
        <f t="shared" si="82"/>
        <v>1</v>
      </c>
      <c r="P515" s="635"/>
      <c r="Q515" s="21">
        <f t="shared" si="83"/>
        <v>1</v>
      </c>
      <c r="R515" s="21">
        <f t="shared" si="84"/>
        <v>0</v>
      </c>
      <c r="S515" s="308">
        <f t="shared" si="75"/>
        <v>0</v>
      </c>
    </row>
    <row r="516" spans="1:19">
      <c r="A516" s="142"/>
      <c r="B516" s="52"/>
      <c r="C516" s="21">
        <f t="shared" si="76"/>
        <v>1</v>
      </c>
      <c r="D516" s="635"/>
      <c r="E516" s="21">
        <f t="shared" si="77"/>
        <v>1</v>
      </c>
      <c r="F516" s="635"/>
      <c r="G516" s="21">
        <f t="shared" si="78"/>
        <v>1</v>
      </c>
      <c r="H516" s="635"/>
      <c r="I516" s="21">
        <f t="shared" si="79"/>
        <v>1</v>
      </c>
      <c r="J516" s="635"/>
      <c r="K516" s="21">
        <f t="shared" si="80"/>
        <v>1</v>
      </c>
      <c r="L516" s="635"/>
      <c r="M516" s="21">
        <f t="shared" si="81"/>
        <v>1</v>
      </c>
      <c r="N516" s="635"/>
      <c r="O516" s="21">
        <f t="shared" si="82"/>
        <v>1</v>
      </c>
      <c r="P516" s="635"/>
      <c r="Q516" s="21">
        <f t="shared" si="83"/>
        <v>1</v>
      </c>
      <c r="R516" s="21">
        <f t="shared" si="84"/>
        <v>0</v>
      </c>
      <c r="S516" s="308">
        <f t="shared" si="75"/>
        <v>0</v>
      </c>
    </row>
    <row r="517" spans="1:19">
      <c r="A517" s="142"/>
      <c r="B517" s="52"/>
      <c r="C517" s="21">
        <f t="shared" si="76"/>
        <v>1</v>
      </c>
      <c r="D517" s="635"/>
      <c r="E517" s="21">
        <f t="shared" si="77"/>
        <v>1</v>
      </c>
      <c r="F517" s="635"/>
      <c r="G517" s="21">
        <f t="shared" si="78"/>
        <v>1</v>
      </c>
      <c r="H517" s="635"/>
      <c r="I517" s="21">
        <f t="shared" si="79"/>
        <v>1</v>
      </c>
      <c r="J517" s="635"/>
      <c r="K517" s="21">
        <f t="shared" si="80"/>
        <v>1</v>
      </c>
      <c r="L517" s="635"/>
      <c r="M517" s="21">
        <f t="shared" si="81"/>
        <v>1</v>
      </c>
      <c r="N517" s="635"/>
      <c r="O517" s="21">
        <f t="shared" si="82"/>
        <v>1</v>
      </c>
      <c r="P517" s="635"/>
      <c r="Q517" s="21">
        <f t="shared" si="83"/>
        <v>1</v>
      </c>
      <c r="R517" s="21">
        <f t="shared" si="84"/>
        <v>0</v>
      </c>
      <c r="S517" s="308">
        <f t="shared" si="75"/>
        <v>0</v>
      </c>
    </row>
    <row r="518" spans="1:19">
      <c r="A518" s="142"/>
      <c r="B518" s="52"/>
      <c r="C518" s="21">
        <f t="shared" si="76"/>
        <v>1</v>
      </c>
      <c r="D518" s="635"/>
      <c r="E518" s="21">
        <f t="shared" si="77"/>
        <v>1</v>
      </c>
      <c r="F518" s="635"/>
      <c r="G518" s="21">
        <f t="shared" si="78"/>
        <v>1</v>
      </c>
      <c r="H518" s="635"/>
      <c r="I518" s="21">
        <f t="shared" si="79"/>
        <v>1</v>
      </c>
      <c r="J518" s="635"/>
      <c r="K518" s="21">
        <f t="shared" si="80"/>
        <v>1</v>
      </c>
      <c r="L518" s="635"/>
      <c r="M518" s="21">
        <f t="shared" si="81"/>
        <v>1</v>
      </c>
      <c r="N518" s="635"/>
      <c r="O518" s="21">
        <f t="shared" si="82"/>
        <v>1</v>
      </c>
      <c r="P518" s="635"/>
      <c r="Q518" s="21">
        <f t="shared" si="83"/>
        <v>1</v>
      </c>
      <c r="R518" s="21">
        <f t="shared" si="84"/>
        <v>0</v>
      </c>
      <c r="S518" s="308">
        <f t="shared" si="75"/>
        <v>0</v>
      </c>
    </row>
    <row r="519" spans="1:19">
      <c r="A519" s="142"/>
      <c r="B519" s="52"/>
      <c r="C519" s="21">
        <f t="shared" si="76"/>
        <v>1</v>
      </c>
      <c r="D519" s="635"/>
      <c r="E519" s="21">
        <f t="shared" si="77"/>
        <v>1</v>
      </c>
      <c r="F519" s="635"/>
      <c r="G519" s="21">
        <f t="shared" si="78"/>
        <v>1</v>
      </c>
      <c r="H519" s="635"/>
      <c r="I519" s="21">
        <f t="shared" si="79"/>
        <v>1</v>
      </c>
      <c r="J519" s="635"/>
      <c r="K519" s="21">
        <f t="shared" si="80"/>
        <v>1</v>
      </c>
      <c r="L519" s="635"/>
      <c r="M519" s="21">
        <f t="shared" si="81"/>
        <v>1</v>
      </c>
      <c r="N519" s="635"/>
      <c r="O519" s="21">
        <f t="shared" si="82"/>
        <v>1</v>
      </c>
      <c r="P519" s="635"/>
      <c r="Q519" s="21">
        <f t="shared" si="83"/>
        <v>1</v>
      </c>
      <c r="R519" s="21">
        <f t="shared" si="84"/>
        <v>0</v>
      </c>
      <c r="S519" s="308">
        <f t="shared" si="75"/>
        <v>0</v>
      </c>
    </row>
    <row r="520" spans="1:19">
      <c r="A520" s="142"/>
      <c r="B520" s="52"/>
      <c r="C520" s="21">
        <f t="shared" si="76"/>
        <v>1</v>
      </c>
      <c r="D520" s="635"/>
      <c r="E520" s="21">
        <f t="shared" si="77"/>
        <v>1</v>
      </c>
      <c r="F520" s="635"/>
      <c r="G520" s="21">
        <f t="shared" si="78"/>
        <v>1</v>
      </c>
      <c r="H520" s="635"/>
      <c r="I520" s="21">
        <f t="shared" si="79"/>
        <v>1</v>
      </c>
      <c r="J520" s="635"/>
      <c r="K520" s="21">
        <f t="shared" si="80"/>
        <v>1</v>
      </c>
      <c r="L520" s="635"/>
      <c r="M520" s="21">
        <f t="shared" si="81"/>
        <v>1</v>
      </c>
      <c r="N520" s="635"/>
      <c r="O520" s="21">
        <f t="shared" si="82"/>
        <v>1</v>
      </c>
      <c r="P520" s="635"/>
      <c r="Q520" s="21">
        <f t="shared" si="83"/>
        <v>1</v>
      </c>
      <c r="R520" s="21">
        <f t="shared" si="84"/>
        <v>0</v>
      </c>
      <c r="S520" s="308">
        <f t="shared" si="75"/>
        <v>0</v>
      </c>
    </row>
    <row r="521" spans="1:19">
      <c r="A521" s="142"/>
      <c r="B521" s="52"/>
      <c r="C521" s="21">
        <f t="shared" si="76"/>
        <v>1</v>
      </c>
      <c r="D521" s="635"/>
      <c r="E521" s="21">
        <f t="shared" si="77"/>
        <v>1</v>
      </c>
      <c r="F521" s="635"/>
      <c r="G521" s="21">
        <f t="shared" si="78"/>
        <v>1</v>
      </c>
      <c r="H521" s="635"/>
      <c r="I521" s="21">
        <f t="shared" si="79"/>
        <v>1</v>
      </c>
      <c r="J521" s="635"/>
      <c r="K521" s="21">
        <f t="shared" si="80"/>
        <v>1</v>
      </c>
      <c r="L521" s="635"/>
      <c r="M521" s="21">
        <f t="shared" si="81"/>
        <v>1</v>
      </c>
      <c r="N521" s="635"/>
      <c r="O521" s="21">
        <f t="shared" si="82"/>
        <v>1</v>
      </c>
      <c r="P521" s="635"/>
      <c r="Q521" s="21">
        <f t="shared" si="83"/>
        <v>1</v>
      </c>
      <c r="R521" s="21">
        <f t="shared" si="84"/>
        <v>0</v>
      </c>
      <c r="S521" s="308">
        <f t="shared" si="75"/>
        <v>0</v>
      </c>
    </row>
    <row r="522" spans="1:19">
      <c r="A522" s="142"/>
      <c r="B522" s="52"/>
      <c r="C522" s="21">
        <f t="shared" si="76"/>
        <v>1</v>
      </c>
      <c r="D522" s="635"/>
      <c r="E522" s="21">
        <f t="shared" si="77"/>
        <v>1</v>
      </c>
      <c r="F522" s="635"/>
      <c r="G522" s="21">
        <f t="shared" si="78"/>
        <v>1</v>
      </c>
      <c r="H522" s="635"/>
      <c r="I522" s="21">
        <f t="shared" si="79"/>
        <v>1</v>
      </c>
      <c r="J522" s="635"/>
      <c r="K522" s="21">
        <f t="shared" si="80"/>
        <v>1</v>
      </c>
      <c r="L522" s="635"/>
      <c r="M522" s="21">
        <f t="shared" si="81"/>
        <v>1</v>
      </c>
      <c r="N522" s="635"/>
      <c r="O522" s="21">
        <f t="shared" si="82"/>
        <v>1</v>
      </c>
      <c r="P522" s="635"/>
      <c r="Q522" s="21">
        <f t="shared" si="83"/>
        <v>1</v>
      </c>
      <c r="R522" s="21">
        <f t="shared" si="84"/>
        <v>0</v>
      </c>
      <c r="S522" s="308">
        <f t="shared" si="75"/>
        <v>0</v>
      </c>
    </row>
    <row r="523" spans="1:19">
      <c r="A523" s="142"/>
      <c r="B523" s="52"/>
      <c r="C523" s="21">
        <f t="shared" si="76"/>
        <v>1</v>
      </c>
      <c r="D523" s="635"/>
      <c r="E523" s="21">
        <f t="shared" si="77"/>
        <v>1</v>
      </c>
      <c r="F523" s="635"/>
      <c r="G523" s="21">
        <f t="shared" si="78"/>
        <v>1</v>
      </c>
      <c r="H523" s="635"/>
      <c r="I523" s="21">
        <f t="shared" si="79"/>
        <v>1</v>
      </c>
      <c r="J523" s="635"/>
      <c r="K523" s="21">
        <f t="shared" si="80"/>
        <v>1</v>
      </c>
      <c r="L523" s="635"/>
      <c r="M523" s="21">
        <f t="shared" si="81"/>
        <v>1</v>
      </c>
      <c r="N523" s="635"/>
      <c r="O523" s="21">
        <f t="shared" si="82"/>
        <v>1</v>
      </c>
      <c r="P523" s="635"/>
      <c r="Q523" s="21">
        <f t="shared" si="83"/>
        <v>1</v>
      </c>
      <c r="R523" s="21">
        <f t="shared" si="84"/>
        <v>0</v>
      </c>
      <c r="S523" s="308">
        <f t="shared" si="75"/>
        <v>0</v>
      </c>
    </row>
    <row r="524" spans="1:19">
      <c r="A524" s="142"/>
      <c r="B524" s="52"/>
      <c r="C524" s="21">
        <f t="shared" si="76"/>
        <v>1</v>
      </c>
      <c r="D524" s="635"/>
      <c r="E524" s="21">
        <f t="shared" si="77"/>
        <v>1</v>
      </c>
      <c r="F524" s="635"/>
      <c r="G524" s="21">
        <f t="shared" si="78"/>
        <v>1</v>
      </c>
      <c r="H524" s="635"/>
      <c r="I524" s="21">
        <f t="shared" si="79"/>
        <v>1</v>
      </c>
      <c r="J524" s="635"/>
      <c r="K524" s="21">
        <f t="shared" si="80"/>
        <v>1</v>
      </c>
      <c r="L524" s="635"/>
      <c r="M524" s="21">
        <f t="shared" si="81"/>
        <v>1</v>
      </c>
      <c r="N524" s="635"/>
      <c r="O524" s="21">
        <f t="shared" si="82"/>
        <v>1</v>
      </c>
      <c r="P524" s="635"/>
      <c r="Q524" s="21">
        <f t="shared" si="83"/>
        <v>1</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xr:uid="{E7D71237-AA47-4419-B048-1AF4F6CADD69}">
      <formula1>估价方法</formula1>
    </dataValidation>
    <dataValidation type="list" allowBlank="1" showInputMessage="1" showErrorMessage="1" sqref="D20" xr:uid="{036B0160-291F-4364-A970-0FB0218D81E5}">
      <formula1>"需扣减承租人权益,——"</formula1>
    </dataValidation>
    <dataValidation type="list" allowBlank="1" showInputMessage="1" showErrorMessage="1" sqref="P24:P524" xr:uid="{6EE5684A-FC4C-4ACE-B8B6-D6E50A2F3E94}">
      <formula1>一修多修正项8</formula1>
    </dataValidation>
    <dataValidation type="list" allowBlank="1" showInputMessage="1" showErrorMessage="1" sqref="N24:N524" xr:uid="{D7081D58-2D17-4AFF-8741-275E42C996C5}">
      <formula1>一修多修正项7</formula1>
    </dataValidation>
    <dataValidation type="list" allowBlank="1" showInputMessage="1" showErrorMessage="1" sqref="L24:L524" xr:uid="{C6FEB4B7-583A-4DB3-A90B-0A8A070BCAB3}">
      <formula1>一修多修正项6</formula1>
    </dataValidation>
    <dataValidation type="list" allowBlank="1" showInputMessage="1" showErrorMessage="1" sqref="J24:J524" xr:uid="{58BE2B0A-65E3-4600-AD81-8649524C726D}">
      <formula1>一修多修正项5</formula1>
    </dataValidation>
    <dataValidation type="list" allowBlank="1" showInputMessage="1" showErrorMessage="1" sqref="H24:H524" xr:uid="{F49ED46A-4E3F-4613-B270-97027BD352E1}">
      <formula1>一修多修正项4</formula1>
    </dataValidation>
    <dataValidation type="list" allowBlank="1" showInputMessage="1" showErrorMessage="1" sqref="F24:F524" xr:uid="{ABB3E35A-C14C-469E-BB01-10C5C832A9F9}">
      <formula1>一修多修正项3</formula1>
    </dataValidation>
    <dataValidation type="list" allowBlank="1" showInputMessage="1" showErrorMessage="1" sqref="D24:D524" xr:uid="{6D4DFC86-CBA5-4373-96A4-60792D3E278A}">
      <formula1>一修多修正项2</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44" sqref="I44"/>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7" t="s">
        <v>452</v>
      </c>
      <c r="C1" s="3527"/>
      <c r="D1" s="3527"/>
      <c r="E1" s="3527"/>
      <c r="F1" s="3527"/>
      <c r="G1" s="3523" t="s">
        <v>453</v>
      </c>
      <c r="H1" s="3523"/>
      <c r="I1" s="3523"/>
      <c r="J1" s="3523"/>
      <c r="K1" s="3523"/>
      <c r="L1" s="3523"/>
      <c r="N1" s="3523" t="s">
        <v>454</v>
      </c>
      <c r="O1" s="3523"/>
      <c r="P1" s="3523"/>
      <c r="Q1" s="3523"/>
      <c r="S1" s="3523" t="s">
        <v>455</v>
      </c>
      <c r="T1" s="3523"/>
      <c r="U1" s="3523"/>
      <c r="V1" s="3523"/>
      <c r="X1" s="3522" t="s">
        <v>456</v>
      </c>
      <c r="Y1" s="3523"/>
      <c r="Z1" s="3523"/>
      <c r="AA1" s="3523"/>
      <c r="AB1" s="3523"/>
      <c r="AD1" s="3522" t="s">
        <v>457</v>
      </c>
      <c r="AE1" s="3523"/>
      <c r="AF1" s="3523"/>
      <c r="AG1" s="3523"/>
      <c r="AH1" s="3523"/>
    </row>
    <row r="2" spans="1:34" s="2010" customFormat="1" ht="14.25" thickBot="1">
      <c r="B2" s="2011" t="s">
        <v>458</v>
      </c>
      <c r="C2" s="2011" t="s">
        <v>459</v>
      </c>
      <c r="D2" s="2012" t="s">
        <v>460</v>
      </c>
      <c r="E2" s="2012" t="s">
        <v>461</v>
      </c>
      <c r="F2" s="2011" t="s">
        <v>462</v>
      </c>
      <c r="G2" s="2013"/>
      <c r="I2" s="2011" t="s">
        <v>458</v>
      </c>
      <c r="J2" s="2012" t="s">
        <v>672</v>
      </c>
      <c r="K2" s="2012" t="s">
        <v>308</v>
      </c>
      <c r="L2" s="2011" t="s">
        <v>462</v>
      </c>
      <c r="N2" s="2011" t="s">
        <v>458</v>
      </c>
      <c r="O2" s="2012" t="s">
        <v>672</v>
      </c>
      <c r="P2" s="2012" t="s">
        <v>308</v>
      </c>
      <c r="Q2" s="2011" t="s">
        <v>462</v>
      </c>
      <c r="S2" s="2011" t="s">
        <v>458</v>
      </c>
      <c r="T2" s="2012" t="s">
        <v>672</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2108</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2109</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2298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2124</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2122</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2121</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2120</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2118</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2117</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2119</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2115</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2114</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2107</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2105</v>
      </c>
      <c r="B25" s="2049">
        <v>439</v>
      </c>
      <c r="C25" s="2049">
        <v>327</v>
      </c>
      <c r="D25" s="2049">
        <f>C25</f>
        <v>327</v>
      </c>
      <c r="E25" s="2049">
        <v>627</v>
      </c>
      <c r="F25" s="2050">
        <v>283</v>
      </c>
      <c r="G25" s="352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2106</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673</v>
      </c>
      <c r="B27" s="2041">
        <f t="shared" si="232"/>
        <v>419.31181600000002</v>
      </c>
      <c r="C27" s="2041">
        <f t="shared" si="233"/>
        <v>313.95436800000004</v>
      </c>
      <c r="D27" s="2041">
        <f t="shared" si="234"/>
        <v>313.95436800000004</v>
      </c>
      <c r="E27" s="2041">
        <f t="shared" si="235"/>
        <v>596.63028431999999</v>
      </c>
      <c r="F27" s="2041">
        <f t="shared" si="236"/>
        <v>274.74220703999998</v>
      </c>
      <c r="G27" s="352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I44" sqref="I44"/>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35" t="s">
        <v>2824</v>
      </c>
      <c r="B1" s="3535"/>
      <c r="C1" s="3535"/>
      <c r="D1" s="3535"/>
      <c r="E1" s="3535"/>
      <c r="F1" s="3535"/>
      <c r="G1" s="3536"/>
      <c r="I1" s="2939" t="s">
        <v>2825</v>
      </c>
      <c r="J1" s="2940" t="s">
        <v>2826</v>
      </c>
      <c r="K1" s="2940" t="s">
        <v>2827</v>
      </c>
      <c r="L1" s="2940" t="s">
        <v>2828</v>
      </c>
      <c r="M1" s="2940" t="s">
        <v>2829</v>
      </c>
      <c r="N1" s="2940" t="s">
        <v>2830</v>
      </c>
      <c r="O1" s="2940" t="s">
        <v>2831</v>
      </c>
      <c r="P1" s="2940" t="s">
        <v>2832</v>
      </c>
      <c r="Q1" s="2940" t="s">
        <v>2833</v>
      </c>
      <c r="R1" s="2940" t="s">
        <v>2834</v>
      </c>
      <c r="S1" s="2940" t="s">
        <v>2835</v>
      </c>
      <c r="T1" s="2941" t="s">
        <v>2836</v>
      </c>
    </row>
    <row r="2" spans="1:20" ht="12" thickBot="1">
      <c r="A2" s="2942" t="s">
        <v>2837</v>
      </c>
      <c r="B2" s="2942"/>
      <c r="C2" s="2942"/>
      <c r="D2" s="2942"/>
      <c r="E2" s="2942"/>
      <c r="F2" s="2942"/>
      <c r="G2" s="2943" t="s">
        <v>2838</v>
      </c>
      <c r="I2" s="2944" t="s">
        <v>2839</v>
      </c>
      <c r="J2" s="2944" t="s">
        <v>2840</v>
      </c>
      <c r="K2" s="2944" t="s">
        <v>2841</v>
      </c>
      <c r="L2" s="2944" t="s">
        <v>2842</v>
      </c>
      <c r="M2" s="2944" t="s">
        <v>2843</v>
      </c>
      <c r="N2" s="2944" t="s">
        <v>2844</v>
      </c>
      <c r="O2" s="2944" t="s">
        <v>2845</v>
      </c>
      <c r="P2" s="2944" t="s">
        <v>2846</v>
      </c>
      <c r="Q2" s="2944" t="s">
        <v>2847</v>
      </c>
      <c r="R2" s="2944" t="s">
        <v>2848</v>
      </c>
      <c r="S2" s="2944" t="s">
        <v>2849</v>
      </c>
      <c r="T2" s="2944" t="s">
        <v>2850</v>
      </c>
    </row>
    <row r="3" spans="1:20" s="2950" customFormat="1">
      <c r="A3" s="3533" t="s">
        <v>2851</v>
      </c>
      <c r="B3" s="2945"/>
      <c r="C3" s="2946" t="s">
        <v>2796</v>
      </c>
      <c r="D3" s="2946" t="s">
        <v>2852</v>
      </c>
      <c r="E3" s="2946" t="s">
        <v>2798</v>
      </c>
      <c r="F3" s="2946" t="s">
        <v>2853</v>
      </c>
      <c r="G3" s="2946" t="s">
        <v>2616</v>
      </c>
      <c r="H3" s="2947"/>
      <c r="I3" s="2948" t="s">
        <v>2854</v>
      </c>
      <c r="J3" s="2949" t="s">
        <v>128</v>
      </c>
      <c r="K3" s="2949" t="s">
        <v>129</v>
      </c>
      <c r="L3" s="2948" t="s">
        <v>130</v>
      </c>
      <c r="M3" s="2948" t="s">
        <v>131</v>
      </c>
      <c r="N3" s="2948" t="s">
        <v>132</v>
      </c>
      <c r="O3" s="2948" t="s">
        <v>133</v>
      </c>
      <c r="P3" s="2948" t="s">
        <v>134</v>
      </c>
      <c r="Q3" s="2948" t="s">
        <v>135</v>
      </c>
      <c r="R3" s="2948" t="s">
        <v>136</v>
      </c>
      <c r="S3" s="2948" t="s">
        <v>2855</v>
      </c>
      <c r="T3" s="2948" t="s">
        <v>2856</v>
      </c>
    </row>
    <row r="4" spans="1:20" s="2950" customFormat="1" ht="12" thickBot="1">
      <c r="A4" s="3534"/>
      <c r="B4" s="2951" t="s">
        <v>2857</v>
      </c>
      <c r="C4" s="2951" t="s">
        <v>2858</v>
      </c>
      <c r="D4" s="2951" t="s">
        <v>2858</v>
      </c>
      <c r="E4" s="2951" t="s">
        <v>2858</v>
      </c>
      <c r="F4" s="2952" t="s">
        <v>2858</v>
      </c>
      <c r="G4" s="2952" t="s">
        <v>2858</v>
      </c>
      <c r="H4" s="2947"/>
      <c r="I4" s="2949" t="s">
        <v>137</v>
      </c>
      <c r="J4" s="2949" t="s">
        <v>111</v>
      </c>
      <c r="K4" s="2949" t="s">
        <v>138</v>
      </c>
      <c r="L4" s="2948" t="s">
        <v>139</v>
      </c>
      <c r="M4" s="2948" t="s">
        <v>140</v>
      </c>
      <c r="N4" s="2948" t="s">
        <v>141</v>
      </c>
      <c r="O4" s="2948" t="s">
        <v>142</v>
      </c>
      <c r="P4" s="2948" t="s">
        <v>143</v>
      </c>
      <c r="Q4" s="2948" t="s">
        <v>2859</v>
      </c>
      <c r="R4" s="2948" t="s">
        <v>2860</v>
      </c>
      <c r="S4" s="2948" t="s">
        <v>2861</v>
      </c>
      <c r="T4" s="2948" t="s">
        <v>2862</v>
      </c>
    </row>
    <row r="5" spans="1:20">
      <c r="A5" s="2953" t="s">
        <v>2825</v>
      </c>
      <c r="B5" s="2944" t="s">
        <v>2839</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2863</v>
      </c>
      <c r="R5" s="2948" t="s">
        <v>2864</v>
      </c>
      <c r="S5" s="2948" t="s">
        <v>153</v>
      </c>
      <c r="T5" s="2948" t="s">
        <v>2865</v>
      </c>
    </row>
    <row r="6" spans="1:20" ht="12" thickBot="1">
      <c r="A6" s="2948" t="s">
        <v>144</v>
      </c>
      <c r="B6" s="2948" t="s">
        <v>2854</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2866</v>
      </c>
      <c r="Q6" s="2948" t="s">
        <v>2867</v>
      </c>
      <c r="R6" s="2948" t="s">
        <v>161</v>
      </c>
      <c r="S6" s="2948" t="s">
        <v>2868</v>
      </c>
      <c r="T6" s="2948" t="s">
        <v>2869</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2870</v>
      </c>
      <c r="Q7" s="2948" t="s">
        <v>2871</v>
      </c>
      <c r="R7" s="2948" t="s">
        <v>2872</v>
      </c>
      <c r="S7" s="2948" t="s">
        <v>2873</v>
      </c>
      <c r="T7" s="2948" t="s">
        <v>2874</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2875</v>
      </c>
      <c r="Q8" s="2948" t="s">
        <v>174</v>
      </c>
      <c r="R8" s="2948" t="s">
        <v>2876</v>
      </c>
      <c r="S8" s="2948" t="s">
        <v>2877</v>
      </c>
      <c r="T8" s="2955" t="s">
        <v>2878</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2879</v>
      </c>
      <c r="Q9" s="2948" t="s">
        <v>182</v>
      </c>
      <c r="R9" s="2948" t="s">
        <v>183</v>
      </c>
      <c r="S9" s="2948" t="s">
        <v>200</v>
      </c>
    </row>
    <row r="10" spans="1:20">
      <c r="A10" s="2953" t="s">
        <v>184</v>
      </c>
      <c r="B10" s="2944" t="s">
        <v>2840</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2880</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2881</v>
      </c>
      <c r="P11" s="2948" t="s">
        <v>191</v>
      </c>
      <c r="Q11" s="2948" t="s">
        <v>199</v>
      </c>
      <c r="R11" s="2948" t="s">
        <v>2882</v>
      </c>
      <c r="S11" s="2948" t="s">
        <v>2883</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2884</v>
      </c>
      <c r="P12" s="2948" t="s">
        <v>2885</v>
      </c>
      <c r="Q12" s="2948" t="s">
        <v>2886</v>
      </c>
      <c r="R12" s="2948" t="s">
        <v>2887</v>
      </c>
      <c r="S12" s="2948" t="s">
        <v>2888</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2889</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2890</v>
      </c>
      <c r="K14" s="2949" t="s">
        <v>215</v>
      </c>
      <c r="L14" s="2948" t="s">
        <v>216</v>
      </c>
      <c r="M14" s="2948" t="s">
        <v>217</v>
      </c>
      <c r="N14" s="2948" t="s">
        <v>218</v>
      </c>
      <c r="O14" s="2948" t="s">
        <v>240</v>
      </c>
      <c r="P14" s="2948" t="s">
        <v>213</v>
      </c>
      <c r="Q14" s="2948" t="s">
        <v>2891</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2892</v>
      </c>
      <c r="P15" s="2948" t="s">
        <v>2893</v>
      </c>
      <c r="Q15" s="2948" t="s">
        <v>242</v>
      </c>
      <c r="R15" s="2948" t="s">
        <v>2894</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2895</v>
      </c>
      <c r="P16" s="2948" t="s">
        <v>227</v>
      </c>
      <c r="Q16" s="2948" t="s">
        <v>250</v>
      </c>
      <c r="R16" s="2948" t="s">
        <v>207</v>
      </c>
      <c r="S16" s="2948" t="s">
        <v>2896</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2897</v>
      </c>
      <c r="P17" s="2948" t="s">
        <v>2898</v>
      </c>
      <c r="Q17" s="2948" t="s">
        <v>256</v>
      </c>
      <c r="R17" s="2948" t="s">
        <v>2899</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2900</v>
      </c>
      <c r="P18" s="2948" t="s">
        <v>241</v>
      </c>
      <c r="Q18" s="2948" t="s">
        <v>2901</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2902</v>
      </c>
      <c r="P19" s="2948" t="s">
        <v>249</v>
      </c>
      <c r="Q19" s="2948" t="s">
        <v>2903</v>
      </c>
      <c r="R19" s="2948" t="s">
        <v>265</v>
      </c>
      <c r="S19" s="2948" t="s">
        <v>2904</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2905</v>
      </c>
      <c r="P20" s="2948" t="s">
        <v>2906</v>
      </c>
      <c r="Q20" s="2948" t="s">
        <v>290</v>
      </c>
      <c r="R20" s="2948" t="s">
        <v>2907</v>
      </c>
      <c r="S20" s="2948" t="s">
        <v>277</v>
      </c>
    </row>
    <row r="21" spans="1:19" ht="14.25" customHeight="1" thickBot="1">
      <c r="A21" s="2948" t="s">
        <v>184</v>
      </c>
      <c r="B21" s="2949" t="s">
        <v>208</v>
      </c>
      <c r="C21" s="2948">
        <v>32370</v>
      </c>
      <c r="D21" s="2948">
        <v>26730</v>
      </c>
      <c r="E21" s="2948">
        <v>26640</v>
      </c>
      <c r="F21" s="2948"/>
      <c r="G21" s="2948">
        <v>19440</v>
      </c>
      <c r="J21" s="2955" t="s">
        <v>2908</v>
      </c>
      <c r="K21" s="2949" t="s">
        <v>267</v>
      </c>
      <c r="L21" s="2948" t="s">
        <v>268</v>
      </c>
      <c r="M21" s="2948" t="s">
        <v>269</v>
      </c>
      <c r="N21" s="2948" t="s">
        <v>270</v>
      </c>
      <c r="O21" s="2948" t="s">
        <v>264</v>
      </c>
      <c r="P21" s="2948" t="s">
        <v>283</v>
      </c>
      <c r="Q21" s="2948" t="s">
        <v>293</v>
      </c>
      <c r="R21" s="2948" t="s">
        <v>2909</v>
      </c>
      <c r="S21" s="2955" t="s">
        <v>2910</v>
      </c>
    </row>
    <row r="22" spans="1:19" ht="14.25" customHeight="1">
      <c r="A22" s="2948" t="s">
        <v>184</v>
      </c>
      <c r="B22" s="2949" t="s">
        <v>2890</v>
      </c>
      <c r="C22" s="2948">
        <v>29830</v>
      </c>
      <c r="D22" s="2948">
        <v>27600</v>
      </c>
      <c r="E22" s="2948">
        <v>28150</v>
      </c>
      <c r="F22" s="2948"/>
      <c r="G22" s="2948">
        <v>20080</v>
      </c>
      <c r="K22" s="2949" t="s">
        <v>2911</v>
      </c>
      <c r="L22" s="2948" t="s">
        <v>272</v>
      </c>
      <c r="M22" s="2948" t="s">
        <v>273</v>
      </c>
      <c r="N22" s="2948" t="s">
        <v>274</v>
      </c>
      <c r="O22" s="2948" t="s">
        <v>2912</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2913</v>
      </c>
      <c r="L23" s="2948" t="s">
        <v>278</v>
      </c>
      <c r="M23" s="2948" t="s">
        <v>279</v>
      </c>
      <c r="N23" s="2948" t="s">
        <v>2914</v>
      </c>
      <c r="O23" s="2948" t="s">
        <v>2915</v>
      </c>
      <c r="P23" s="2948" t="s">
        <v>289</v>
      </c>
      <c r="Q23" s="2948" t="s">
        <v>298</v>
      </c>
      <c r="R23" s="2948" t="s">
        <v>2916</v>
      </c>
    </row>
    <row r="24" spans="1:19" ht="14.25" customHeight="1">
      <c r="A24" s="2948" t="s">
        <v>184</v>
      </c>
      <c r="B24" s="2949" t="s">
        <v>230</v>
      </c>
      <c r="C24" s="2948">
        <v>27930</v>
      </c>
      <c r="D24" s="2948">
        <v>32260</v>
      </c>
      <c r="E24" s="2948">
        <v>32120</v>
      </c>
      <c r="F24" s="2948"/>
      <c r="G24" s="2948">
        <v>23470</v>
      </c>
      <c r="K24" s="2949" t="s">
        <v>2917</v>
      </c>
      <c r="L24" s="2948" t="s">
        <v>281</v>
      </c>
      <c r="M24" s="2948" t="s">
        <v>282</v>
      </c>
      <c r="N24" s="2948" t="s">
        <v>2918</v>
      </c>
      <c r="O24" s="2948" t="s">
        <v>285</v>
      </c>
      <c r="P24" s="2948" t="s">
        <v>2919</v>
      </c>
      <c r="Q24" s="2957" t="s">
        <v>2920</v>
      </c>
      <c r="R24" s="2948" t="s">
        <v>2921</v>
      </c>
    </row>
    <row r="25" spans="1:19" ht="14.25" customHeight="1">
      <c r="A25" s="2948" t="s">
        <v>184</v>
      </c>
      <c r="B25" s="2949" t="s">
        <v>235</v>
      </c>
      <c r="C25" s="2948">
        <v>32230</v>
      </c>
      <c r="D25" s="2948">
        <v>29640</v>
      </c>
      <c r="E25" s="2948">
        <v>29510</v>
      </c>
      <c r="F25" s="2948"/>
      <c r="G25" s="2948">
        <v>21560</v>
      </c>
      <c r="K25" s="2949" t="s">
        <v>2922</v>
      </c>
      <c r="L25" s="2948" t="s">
        <v>2923</v>
      </c>
      <c r="M25" s="2948" t="s">
        <v>284</v>
      </c>
      <c r="N25" s="2948" t="s">
        <v>292</v>
      </c>
      <c r="O25" s="2948" t="s">
        <v>288</v>
      </c>
      <c r="P25" s="2948" t="s">
        <v>275</v>
      </c>
      <c r="Q25" s="2957" t="s">
        <v>271</v>
      </c>
      <c r="R25" s="2948" t="s">
        <v>2924</v>
      </c>
    </row>
    <row r="26" spans="1:19" ht="14.25" customHeight="1" thickBot="1">
      <c r="A26" s="2948" t="s">
        <v>184</v>
      </c>
      <c r="B26" s="2949" t="s">
        <v>244</v>
      </c>
      <c r="C26" s="2948">
        <v>31690</v>
      </c>
      <c r="D26" s="2948">
        <v>27650</v>
      </c>
      <c r="E26" s="2948">
        <v>28200</v>
      </c>
      <c r="F26" s="2948"/>
      <c r="G26" s="2948">
        <v>20110</v>
      </c>
      <c r="K26" s="2954" t="s">
        <v>2925</v>
      </c>
      <c r="L26" s="2948" t="s">
        <v>2926</v>
      </c>
      <c r="M26" s="2948" t="s">
        <v>287</v>
      </c>
      <c r="N26" s="2948" t="s">
        <v>294</v>
      </c>
      <c r="O26" s="2948" t="s">
        <v>2927</v>
      </c>
      <c r="P26" s="2948" t="s">
        <v>2928</v>
      </c>
      <c r="Q26" s="2957" t="s">
        <v>276</v>
      </c>
      <c r="R26" s="2948" t="s">
        <v>2929</v>
      </c>
    </row>
    <row r="27" spans="1:19" ht="14.25" customHeight="1">
      <c r="A27" s="2948" t="s">
        <v>184</v>
      </c>
      <c r="B27" s="2949" t="s">
        <v>251</v>
      </c>
      <c r="C27" s="2948">
        <v>29610</v>
      </c>
      <c r="D27" s="2948">
        <v>27770</v>
      </c>
      <c r="E27" s="2948">
        <v>28300</v>
      </c>
      <c r="F27" s="2948"/>
      <c r="G27" s="2948">
        <v>20210</v>
      </c>
      <c r="L27" s="2948" t="s">
        <v>2930</v>
      </c>
      <c r="M27" s="2948" t="s">
        <v>291</v>
      </c>
      <c r="N27" s="2948" t="s">
        <v>297</v>
      </c>
      <c r="O27" s="2948" t="s">
        <v>2931</v>
      </c>
      <c r="P27" s="2948" t="s">
        <v>2932</v>
      </c>
      <c r="Q27" s="2948" t="s">
        <v>2933</v>
      </c>
      <c r="R27" s="2948" t="s">
        <v>2934</v>
      </c>
    </row>
    <row r="28" spans="1:19" ht="14.25" customHeight="1">
      <c r="A28" s="2948" t="s">
        <v>184</v>
      </c>
      <c r="B28" s="2949" t="s">
        <v>259</v>
      </c>
      <c r="C28" s="2948"/>
      <c r="D28" s="2948">
        <v>31520</v>
      </c>
      <c r="E28" s="2948">
        <v>31410</v>
      </c>
      <c r="F28" s="2948"/>
      <c r="G28" s="2948">
        <v>22940</v>
      </c>
      <c r="L28" s="2948" t="s">
        <v>2935</v>
      </c>
      <c r="M28" s="2948" t="s">
        <v>2936</v>
      </c>
      <c r="N28" s="2948" t="s">
        <v>2937</v>
      </c>
      <c r="O28" s="2948" t="s">
        <v>2938</v>
      </c>
      <c r="P28" s="2948" t="s">
        <v>2939</v>
      </c>
      <c r="Q28" s="2948" t="s">
        <v>2940</v>
      </c>
      <c r="R28" s="2948" t="s">
        <v>2941</v>
      </c>
    </row>
    <row r="29" spans="1:19" ht="14.25" customHeight="1" thickBot="1">
      <c r="A29" s="2956" t="s">
        <v>184</v>
      </c>
      <c r="B29" s="2958" t="s">
        <v>2908</v>
      </c>
      <c r="C29" s="2959"/>
      <c r="D29" s="2959">
        <v>29460</v>
      </c>
      <c r="E29" s="2959">
        <v>28640</v>
      </c>
      <c r="F29" s="2959"/>
      <c r="G29" s="2959">
        <v>21430</v>
      </c>
      <c r="L29" s="2948" t="s">
        <v>2942</v>
      </c>
      <c r="M29" s="2948" t="s">
        <v>2943</v>
      </c>
      <c r="N29" s="2948" t="s">
        <v>2944</v>
      </c>
      <c r="O29" s="2948" t="s">
        <v>2945</v>
      </c>
      <c r="P29" s="2948" t="s">
        <v>2946</v>
      </c>
      <c r="Q29" s="2948" t="s">
        <v>2947</v>
      </c>
      <c r="R29" s="2948" t="s">
        <v>280</v>
      </c>
    </row>
    <row r="30" spans="1:19" ht="14.25" customHeight="1">
      <c r="A30" s="2953" t="s">
        <v>296</v>
      </c>
      <c r="B30" s="2944" t="s">
        <v>2841</v>
      </c>
      <c r="C30" s="2944">
        <v>26890</v>
      </c>
      <c r="D30" s="2944">
        <v>26770</v>
      </c>
      <c r="E30" s="2944">
        <v>25700</v>
      </c>
      <c r="F30" s="2944">
        <v>8180</v>
      </c>
      <c r="G30" s="2960">
        <v>18740</v>
      </c>
      <c r="L30" s="2948" t="s">
        <v>2948</v>
      </c>
      <c r="M30" s="2948" t="s">
        <v>2949</v>
      </c>
      <c r="N30" s="2948" t="s">
        <v>2950</v>
      </c>
      <c r="O30" s="2948" t="s">
        <v>2951</v>
      </c>
      <c r="P30" s="2948" t="s">
        <v>2952</v>
      </c>
      <c r="Q30" s="2948" t="s">
        <v>2953</v>
      </c>
      <c r="R30" s="2948" t="s">
        <v>2954</v>
      </c>
    </row>
    <row r="31" spans="1:19" ht="14.25" customHeight="1">
      <c r="A31" s="2948" t="s">
        <v>296</v>
      </c>
      <c r="B31" s="2949" t="s">
        <v>129</v>
      </c>
      <c r="C31" s="2948">
        <v>24550</v>
      </c>
      <c r="D31" s="2948">
        <v>23990</v>
      </c>
      <c r="E31" s="2948">
        <v>22930</v>
      </c>
      <c r="F31" s="2948">
        <v>7470</v>
      </c>
      <c r="G31" s="2961">
        <v>16790</v>
      </c>
      <c r="L31" s="2948" t="s">
        <v>2955</v>
      </c>
      <c r="M31" s="2948" t="s">
        <v>2956</v>
      </c>
      <c r="N31" s="2948" t="s">
        <v>2957</v>
      </c>
      <c r="O31" s="2948" t="s">
        <v>2958</v>
      </c>
      <c r="P31" s="2948" t="s">
        <v>2959</v>
      </c>
      <c r="Q31" s="2948" t="s">
        <v>2960</v>
      </c>
      <c r="R31" s="2948" t="s">
        <v>2961</v>
      </c>
    </row>
    <row r="32" spans="1:19" ht="14.25" customHeight="1" thickBot="1">
      <c r="A32" s="2948" t="s">
        <v>296</v>
      </c>
      <c r="B32" s="2949" t="s">
        <v>138</v>
      </c>
      <c r="C32" s="2948">
        <v>27210</v>
      </c>
      <c r="D32" s="2948">
        <v>23240</v>
      </c>
      <c r="E32" s="2948">
        <v>23260</v>
      </c>
      <c r="F32" s="2948">
        <v>7130</v>
      </c>
      <c r="G32" s="2961">
        <v>16270</v>
      </c>
      <c r="L32" s="2948" t="s">
        <v>2962</v>
      </c>
      <c r="M32" s="2948" t="s">
        <v>2963</v>
      </c>
      <c r="N32" s="2948" t="s">
        <v>300</v>
      </c>
      <c r="O32" s="2948" t="s">
        <v>2964</v>
      </c>
      <c r="P32" s="2948" t="s">
        <v>299</v>
      </c>
      <c r="Q32" s="2948" t="s">
        <v>2965</v>
      </c>
      <c r="R32" s="2955" t="s">
        <v>2966</v>
      </c>
    </row>
    <row r="33" spans="1:17" ht="14.25" customHeight="1" thickBot="1">
      <c r="A33" s="2948" t="s">
        <v>296</v>
      </c>
      <c r="B33" s="2949" t="s">
        <v>147</v>
      </c>
      <c r="C33" s="2948">
        <v>27300</v>
      </c>
      <c r="D33" s="2948">
        <v>22980</v>
      </c>
      <c r="E33" s="2948">
        <v>24260</v>
      </c>
      <c r="F33" s="2948">
        <v>5860</v>
      </c>
      <c r="G33" s="2961">
        <v>16090</v>
      </c>
      <c r="L33" s="2955" t="s">
        <v>2967</v>
      </c>
      <c r="M33" s="2948" t="s">
        <v>2968</v>
      </c>
      <c r="N33" s="2948" t="s">
        <v>301</v>
      </c>
      <c r="O33" s="2948" t="s">
        <v>2969</v>
      </c>
      <c r="P33" s="2948" t="s">
        <v>2970</v>
      </c>
      <c r="Q33" s="2948" t="s">
        <v>2971</v>
      </c>
    </row>
    <row r="34" spans="1:17" ht="14.25" customHeight="1">
      <c r="A34" s="2948" t="s">
        <v>296</v>
      </c>
      <c r="B34" s="2949" t="s">
        <v>156</v>
      </c>
      <c r="C34" s="2948">
        <v>23090</v>
      </c>
      <c r="D34" s="2948">
        <v>23390</v>
      </c>
      <c r="E34" s="2948">
        <v>23510</v>
      </c>
      <c r="F34" s="2948">
        <v>6700</v>
      </c>
      <c r="G34" s="2961">
        <v>16370</v>
      </c>
      <c r="M34" s="2948" t="s">
        <v>2972</v>
      </c>
      <c r="N34" s="2948" t="s">
        <v>302</v>
      </c>
      <c r="O34" s="2948" t="s">
        <v>2973</v>
      </c>
      <c r="P34" s="2948" t="s">
        <v>2974</v>
      </c>
      <c r="Q34" s="2948" t="s">
        <v>2975</v>
      </c>
    </row>
    <row r="35" spans="1:17" ht="14.25" customHeight="1">
      <c r="A35" s="2948" t="s">
        <v>296</v>
      </c>
      <c r="B35" s="2949" t="s">
        <v>163</v>
      </c>
      <c r="C35" s="2948">
        <v>27270</v>
      </c>
      <c r="D35" s="2948">
        <v>24270</v>
      </c>
      <c r="E35" s="2948">
        <v>24950</v>
      </c>
      <c r="F35" s="2948">
        <v>6600</v>
      </c>
      <c r="G35" s="2961">
        <v>16990</v>
      </c>
      <c r="M35" s="2948" t="s">
        <v>2976</v>
      </c>
      <c r="N35" s="2948" t="s">
        <v>2977</v>
      </c>
      <c r="O35" s="2948" t="s">
        <v>2978</v>
      </c>
      <c r="P35" s="2948" t="s">
        <v>2979</v>
      </c>
      <c r="Q35" s="2948" t="s">
        <v>2980</v>
      </c>
    </row>
    <row r="36" spans="1:17" ht="14.25" customHeight="1">
      <c r="A36" s="2948" t="s">
        <v>296</v>
      </c>
      <c r="B36" s="2949" t="s">
        <v>169</v>
      </c>
      <c r="C36" s="2948">
        <v>23490</v>
      </c>
      <c r="D36" s="2948">
        <v>23020</v>
      </c>
      <c r="E36" s="2948">
        <v>25230</v>
      </c>
      <c r="F36" s="2948">
        <v>6780</v>
      </c>
      <c r="G36" s="2961">
        <v>16120</v>
      </c>
      <c r="M36" s="2948" t="s">
        <v>2981</v>
      </c>
      <c r="N36" s="2948" t="s">
        <v>2982</v>
      </c>
      <c r="O36" s="2948" t="s">
        <v>2983</v>
      </c>
      <c r="P36" s="2948" t="s">
        <v>2984</v>
      </c>
      <c r="Q36" s="2948" t="s">
        <v>2985</v>
      </c>
    </row>
    <row r="37" spans="1:17" ht="14.25" customHeight="1">
      <c r="A37" s="2948" t="s">
        <v>296</v>
      </c>
      <c r="B37" s="2949" t="s">
        <v>176</v>
      </c>
      <c r="C37" s="2948">
        <v>24380</v>
      </c>
      <c r="D37" s="2948">
        <v>22240</v>
      </c>
      <c r="E37" s="2948">
        <v>25980</v>
      </c>
      <c r="F37" s="2948">
        <v>8160</v>
      </c>
      <c r="G37" s="2961">
        <v>15570</v>
      </c>
      <c r="M37" s="2948" t="s">
        <v>2986</v>
      </c>
      <c r="N37" s="2948" t="s">
        <v>2987</v>
      </c>
      <c r="O37" s="2948" t="s">
        <v>2988</v>
      </c>
      <c r="P37" s="2948" t="s">
        <v>2989</v>
      </c>
      <c r="Q37" s="2948" t="s">
        <v>2990</v>
      </c>
    </row>
    <row r="38" spans="1:17" ht="14.25" customHeight="1">
      <c r="A38" s="2948" t="s">
        <v>296</v>
      </c>
      <c r="B38" s="2949" t="s">
        <v>186</v>
      </c>
      <c r="C38" s="2948">
        <v>23120</v>
      </c>
      <c r="D38" s="2948">
        <v>24630</v>
      </c>
      <c r="E38" s="2948">
        <v>25030</v>
      </c>
      <c r="F38" s="2948">
        <v>7710</v>
      </c>
      <c r="G38" s="2961">
        <v>17240</v>
      </c>
      <c r="M38" s="2948" t="s">
        <v>2991</v>
      </c>
      <c r="N38" s="2948" t="s">
        <v>2992</v>
      </c>
      <c r="O38" s="2948" t="s">
        <v>2993</v>
      </c>
      <c r="P38" s="2948" t="s">
        <v>2994</v>
      </c>
      <c r="Q38" s="2948" t="s">
        <v>2995</v>
      </c>
    </row>
    <row r="39" spans="1:17" ht="14.25" customHeight="1">
      <c r="A39" s="2948" t="s">
        <v>296</v>
      </c>
      <c r="B39" s="2949" t="s">
        <v>195</v>
      </c>
      <c r="C39" s="2948">
        <v>22330</v>
      </c>
      <c r="D39" s="2948">
        <v>21140</v>
      </c>
      <c r="E39" s="2948">
        <v>23970</v>
      </c>
      <c r="F39" s="2948">
        <v>7940</v>
      </c>
      <c r="G39" s="2961">
        <v>14790</v>
      </c>
      <c r="M39" s="2948" t="s">
        <v>2996</v>
      </c>
      <c r="N39" s="2948" t="s">
        <v>2997</v>
      </c>
      <c r="O39" s="2948" t="s">
        <v>2998</v>
      </c>
      <c r="P39" s="2948" t="s">
        <v>2999</v>
      </c>
      <c r="Q39" s="2948" t="s">
        <v>3000</v>
      </c>
    </row>
    <row r="40" spans="1:17" ht="14.25" customHeight="1">
      <c r="A40" s="2948" t="s">
        <v>296</v>
      </c>
      <c r="B40" s="2949" t="s">
        <v>202</v>
      </c>
      <c r="C40" s="2948">
        <v>24740</v>
      </c>
      <c r="D40" s="2948">
        <v>24690</v>
      </c>
      <c r="E40" s="2948">
        <v>22610</v>
      </c>
      <c r="F40" s="2948"/>
      <c r="G40" s="2961">
        <v>17280</v>
      </c>
      <c r="M40" s="2948" t="s">
        <v>3001</v>
      </c>
      <c r="N40" s="2948" t="s">
        <v>3002</v>
      </c>
      <c r="O40" s="2948" t="s">
        <v>3003</v>
      </c>
      <c r="P40" s="2948" t="s">
        <v>3004</v>
      </c>
      <c r="Q40" s="2948" t="s">
        <v>3005</v>
      </c>
    </row>
    <row r="41" spans="1:17" ht="14.25" customHeight="1" thickBot="1">
      <c r="A41" s="2948" t="s">
        <v>296</v>
      </c>
      <c r="B41" s="2949" t="s">
        <v>209</v>
      </c>
      <c r="C41" s="2948">
        <v>21220</v>
      </c>
      <c r="D41" s="2948">
        <v>21120</v>
      </c>
      <c r="E41" s="2948">
        <v>22590</v>
      </c>
      <c r="F41" s="2948"/>
      <c r="G41" s="2961">
        <v>14780</v>
      </c>
      <c r="M41" s="2955" t="s">
        <v>3006</v>
      </c>
      <c r="N41" s="2948" t="s">
        <v>3007</v>
      </c>
      <c r="O41" s="2948" t="s">
        <v>3008</v>
      </c>
      <c r="P41" s="2948" t="s">
        <v>3009</v>
      </c>
      <c r="Q41" s="2948" t="s">
        <v>3010</v>
      </c>
    </row>
    <row r="42" spans="1:17" ht="14.25" customHeight="1">
      <c r="A42" s="2948" t="s">
        <v>296</v>
      </c>
      <c r="B42" s="2949" t="s">
        <v>215</v>
      </c>
      <c r="C42" s="2948">
        <v>24800</v>
      </c>
      <c r="D42" s="2948">
        <v>22280</v>
      </c>
      <c r="E42" s="2948">
        <v>24350</v>
      </c>
      <c r="F42" s="2948"/>
      <c r="G42" s="2961">
        <v>15590</v>
      </c>
      <c r="N42" s="2948" t="s">
        <v>3011</v>
      </c>
      <c r="O42" s="2948" t="s">
        <v>3012</v>
      </c>
      <c r="P42" s="2948" t="s">
        <v>3013</v>
      </c>
      <c r="Q42" s="2948" t="s">
        <v>3014</v>
      </c>
    </row>
    <row r="43" spans="1:17" ht="14.25" customHeight="1">
      <c r="A43" s="2948" t="s">
        <v>3015</v>
      </c>
      <c r="B43" s="2949" t="s">
        <v>223</v>
      </c>
      <c r="C43" s="2948">
        <v>21210</v>
      </c>
      <c r="D43" s="2948">
        <v>21160</v>
      </c>
      <c r="E43" s="2948">
        <v>22650</v>
      </c>
      <c r="F43" s="2948"/>
      <c r="G43" s="2961">
        <v>14800</v>
      </c>
      <c r="N43" s="2948" t="s">
        <v>3016</v>
      </c>
      <c r="O43" s="2948" t="s">
        <v>3017</v>
      </c>
      <c r="P43" s="2948" t="s">
        <v>3018</v>
      </c>
      <c r="Q43" s="2948" t="s">
        <v>3019</v>
      </c>
    </row>
    <row r="44" spans="1:17" ht="14.25" customHeight="1" thickBot="1">
      <c r="A44" s="2948" t="s">
        <v>296</v>
      </c>
      <c r="B44" s="2949" t="s">
        <v>231</v>
      </c>
      <c r="C44" s="2948">
        <v>22370</v>
      </c>
      <c r="D44" s="2948">
        <v>23140</v>
      </c>
      <c r="E44" s="2948">
        <v>25090</v>
      </c>
      <c r="F44" s="2948"/>
      <c r="G44" s="2961">
        <v>16190</v>
      </c>
      <c r="N44" s="2948" t="s">
        <v>3020</v>
      </c>
      <c r="O44" s="2948" t="s">
        <v>3021</v>
      </c>
      <c r="P44" s="2955" t="s">
        <v>3022</v>
      </c>
      <c r="Q44" s="2948" t="s">
        <v>3023</v>
      </c>
    </row>
    <row r="45" spans="1:17" ht="14.25" customHeight="1" thickBot="1">
      <c r="A45" s="2948" t="s">
        <v>296</v>
      </c>
      <c r="B45" s="2949" t="s">
        <v>236</v>
      </c>
      <c r="C45" s="2948">
        <v>21240</v>
      </c>
      <c r="D45" s="2948">
        <v>27050</v>
      </c>
      <c r="E45" s="2948">
        <v>28000</v>
      </c>
      <c r="F45" s="2948"/>
      <c r="G45" s="2961">
        <v>18940</v>
      </c>
      <c r="N45" s="2948" t="s">
        <v>3024</v>
      </c>
      <c r="O45" s="2955" t="s">
        <v>3025</v>
      </c>
      <c r="Q45" s="2948" t="s">
        <v>3026</v>
      </c>
    </row>
    <row r="46" spans="1:17" ht="14.25" customHeight="1">
      <c r="A46" s="2948" t="s">
        <v>296</v>
      </c>
      <c r="B46" s="2949" t="s">
        <v>245</v>
      </c>
      <c r="C46" s="2948">
        <v>23240</v>
      </c>
      <c r="D46" s="2948">
        <v>23000</v>
      </c>
      <c r="E46" s="2948">
        <v>24980</v>
      </c>
      <c r="F46" s="2948"/>
      <c r="G46" s="2961">
        <v>16100</v>
      </c>
      <c r="N46" s="2948" t="s">
        <v>3027</v>
      </c>
      <c r="Q46" s="2948" t="s">
        <v>3028</v>
      </c>
    </row>
    <row r="47" spans="1:17" ht="14.25" customHeight="1">
      <c r="A47" s="2948" t="s">
        <v>296</v>
      </c>
      <c r="B47" s="2949" t="s">
        <v>252</v>
      </c>
      <c r="C47" s="2948">
        <v>27150</v>
      </c>
      <c r="D47" s="2948">
        <v>23310</v>
      </c>
      <c r="E47" s="2948">
        <v>25150</v>
      </c>
      <c r="F47" s="2948"/>
      <c r="G47" s="2961">
        <v>16310</v>
      </c>
      <c r="N47" s="2948" t="s">
        <v>3029</v>
      </c>
      <c r="Q47" s="2948" t="s">
        <v>3030</v>
      </c>
    </row>
    <row r="48" spans="1:17" ht="14.25" customHeight="1">
      <c r="A48" s="2948" t="s">
        <v>296</v>
      </c>
      <c r="B48" s="2949" t="s">
        <v>260</v>
      </c>
      <c r="C48" s="2948">
        <v>23100</v>
      </c>
      <c r="D48" s="2948">
        <v>21110</v>
      </c>
      <c r="E48" s="2948">
        <v>23080</v>
      </c>
      <c r="F48" s="2948"/>
      <c r="G48" s="2961">
        <v>14780</v>
      </c>
      <c r="N48" s="2948" t="s">
        <v>3031</v>
      </c>
      <c r="Q48" s="2948" t="s">
        <v>3032</v>
      </c>
    </row>
    <row r="49" spans="1:17" ht="14.25" customHeight="1">
      <c r="A49" s="2948" t="s">
        <v>296</v>
      </c>
      <c r="B49" s="2949" t="s">
        <v>267</v>
      </c>
      <c r="C49" s="2948">
        <v>23400</v>
      </c>
      <c r="D49" s="2948">
        <v>22920</v>
      </c>
      <c r="E49" s="2948">
        <v>24900</v>
      </c>
      <c r="F49" s="2948"/>
      <c r="G49" s="2961">
        <v>16040</v>
      </c>
      <c r="N49" s="2948" t="s">
        <v>3033</v>
      </c>
      <c r="Q49" s="2948" t="s">
        <v>3034</v>
      </c>
    </row>
    <row r="50" spans="1:17" ht="14.25" customHeight="1">
      <c r="A50" s="2948" t="s">
        <v>296</v>
      </c>
      <c r="B50" s="2949" t="s">
        <v>2911</v>
      </c>
      <c r="C50" s="2948">
        <v>21200</v>
      </c>
      <c r="D50" s="2948">
        <v>26540</v>
      </c>
      <c r="E50" s="2948">
        <v>23200</v>
      </c>
      <c r="F50" s="2948"/>
      <c r="G50" s="2961">
        <v>18580</v>
      </c>
      <c r="N50" s="2948" t="s">
        <v>3035</v>
      </c>
      <c r="Q50" s="2949" t="s">
        <v>3036</v>
      </c>
    </row>
    <row r="51" spans="1:17" ht="14.25" customHeight="1" thickBot="1">
      <c r="A51" s="2948" t="s">
        <v>296</v>
      </c>
      <c r="B51" s="2949" t="s">
        <v>2913</v>
      </c>
      <c r="C51" s="2948">
        <v>23000</v>
      </c>
      <c r="D51" s="2948">
        <v>23460</v>
      </c>
      <c r="E51" s="2948">
        <v>25290</v>
      </c>
      <c r="F51" s="2948"/>
      <c r="G51" s="2961">
        <v>16420</v>
      </c>
      <c r="N51" s="2948" t="s">
        <v>3037</v>
      </c>
      <c r="Q51" s="2955" t="s">
        <v>3038</v>
      </c>
    </row>
    <row r="52" spans="1:17" ht="14.25" customHeight="1">
      <c r="A52" s="2948" t="s">
        <v>296</v>
      </c>
      <c r="B52" s="2949" t="s">
        <v>2917</v>
      </c>
      <c r="C52" s="2948">
        <v>26660</v>
      </c>
      <c r="D52" s="2948">
        <v>22350</v>
      </c>
      <c r="E52" s="2948">
        <v>22920</v>
      </c>
      <c r="F52" s="2948"/>
      <c r="G52" s="2961">
        <v>15640</v>
      </c>
      <c r="N52" s="2948" t="s">
        <v>3039</v>
      </c>
    </row>
    <row r="53" spans="1:17" ht="14.25" customHeight="1">
      <c r="A53" s="2948" t="s">
        <v>296</v>
      </c>
      <c r="B53" s="2949" t="s">
        <v>2922</v>
      </c>
      <c r="C53" s="2948">
        <v>23580</v>
      </c>
      <c r="D53" s="2948"/>
      <c r="E53" s="2948">
        <v>24280</v>
      </c>
      <c r="F53" s="2948"/>
      <c r="G53" s="2961"/>
      <c r="N53" s="2948" t="s">
        <v>3040</v>
      </c>
    </row>
    <row r="54" spans="1:17" ht="14.25" customHeight="1" thickBot="1">
      <c r="A54" s="2962" t="s">
        <v>296</v>
      </c>
      <c r="B54" s="2954" t="s">
        <v>2925</v>
      </c>
      <c r="C54" s="2955">
        <v>22460</v>
      </c>
      <c r="D54" s="2955"/>
      <c r="E54" s="2955"/>
      <c r="F54" s="2955"/>
      <c r="G54" s="2963"/>
      <c r="N54" s="2948" t="s">
        <v>3041</v>
      </c>
    </row>
    <row r="55" spans="1:17" ht="14.25" customHeight="1">
      <c r="A55" s="2953" t="s">
        <v>110</v>
      </c>
      <c r="B55" s="2944" t="s">
        <v>3042</v>
      </c>
      <c r="C55" s="2948">
        <v>21970</v>
      </c>
      <c r="D55" s="2948">
        <v>20370</v>
      </c>
      <c r="E55" s="2948">
        <v>20180</v>
      </c>
      <c r="F55" s="2948">
        <v>5730</v>
      </c>
      <c r="G55" s="2948">
        <v>13820</v>
      </c>
      <c r="N55" s="2948" t="s">
        <v>3043</v>
      </c>
    </row>
    <row r="56" spans="1:17" ht="14.25" customHeight="1">
      <c r="A56" s="2948" t="s">
        <v>110</v>
      </c>
      <c r="B56" s="2948" t="s">
        <v>130</v>
      </c>
      <c r="C56" s="2948">
        <v>20470</v>
      </c>
      <c r="D56" s="2948">
        <v>20700</v>
      </c>
      <c r="E56" s="2948">
        <v>20380</v>
      </c>
      <c r="F56" s="2948">
        <v>4760</v>
      </c>
      <c r="G56" s="2948">
        <v>14050</v>
      </c>
      <c r="N56" s="2948" t="s">
        <v>3044</v>
      </c>
    </row>
    <row r="57" spans="1:17" ht="14.25" customHeight="1">
      <c r="A57" s="2948" t="s">
        <v>110</v>
      </c>
      <c r="B57" s="2948" t="s">
        <v>139</v>
      </c>
      <c r="C57" s="2948">
        <v>20790</v>
      </c>
      <c r="D57" s="2948">
        <v>21370</v>
      </c>
      <c r="E57" s="2948">
        <v>20890</v>
      </c>
      <c r="F57" s="2948">
        <v>4910</v>
      </c>
      <c r="G57" s="2948">
        <v>14510</v>
      </c>
      <c r="N57" s="2948" t="s">
        <v>3045</v>
      </c>
    </row>
    <row r="58" spans="1:17" ht="14.25" customHeight="1">
      <c r="A58" s="2948" t="s">
        <v>110</v>
      </c>
      <c r="B58" s="2948" t="s">
        <v>148</v>
      </c>
      <c r="C58" s="2948">
        <v>21460</v>
      </c>
      <c r="D58" s="2948">
        <v>20920</v>
      </c>
      <c r="E58" s="2948">
        <v>23410</v>
      </c>
      <c r="F58" s="2948">
        <v>5100</v>
      </c>
      <c r="G58" s="2948">
        <v>14200</v>
      </c>
      <c r="N58" s="2948" t="s">
        <v>3046</v>
      </c>
    </row>
    <row r="59" spans="1:17" ht="14.25" customHeight="1">
      <c r="A59" s="2948" t="s">
        <v>110</v>
      </c>
      <c r="B59" s="2948" t="s">
        <v>157</v>
      </c>
      <c r="C59" s="2948">
        <v>21000</v>
      </c>
      <c r="D59" s="2948">
        <v>21550</v>
      </c>
      <c r="E59" s="2948">
        <v>21150</v>
      </c>
      <c r="F59" s="2948">
        <v>5250</v>
      </c>
      <c r="G59" s="2948">
        <v>14630</v>
      </c>
      <c r="N59" s="2948" t="s">
        <v>3047</v>
      </c>
    </row>
    <row r="60" spans="1:17" ht="14.25" customHeight="1">
      <c r="A60" s="2948" t="s">
        <v>110</v>
      </c>
      <c r="B60" s="2948" t="s">
        <v>164</v>
      </c>
      <c r="C60" s="2948">
        <v>21640</v>
      </c>
      <c r="D60" s="2948">
        <v>21260</v>
      </c>
      <c r="E60" s="2948">
        <v>24040</v>
      </c>
      <c r="F60" s="2948">
        <v>4470</v>
      </c>
      <c r="G60" s="2948">
        <v>14430</v>
      </c>
      <c r="N60" s="2948" t="s">
        <v>3048</v>
      </c>
    </row>
    <row r="61" spans="1:17" ht="14.25" customHeight="1">
      <c r="A61" s="2948" t="s">
        <v>110</v>
      </c>
      <c r="B61" s="2948" t="s">
        <v>170</v>
      </c>
      <c r="C61" s="2948">
        <v>21330</v>
      </c>
      <c r="D61" s="2948">
        <v>18640</v>
      </c>
      <c r="E61" s="2948">
        <v>21190</v>
      </c>
      <c r="F61" s="2948">
        <v>4180</v>
      </c>
      <c r="G61" s="2948">
        <v>12650</v>
      </c>
      <c r="N61" s="2948" t="s">
        <v>3049</v>
      </c>
    </row>
    <row r="62" spans="1:17" ht="14.25" customHeight="1">
      <c r="A62" s="2948" t="s">
        <v>110</v>
      </c>
      <c r="B62" s="2948" t="s">
        <v>177</v>
      </c>
      <c r="C62" s="2948">
        <v>18710</v>
      </c>
      <c r="D62" s="2948">
        <v>19400</v>
      </c>
      <c r="E62" s="2948">
        <v>23750</v>
      </c>
      <c r="F62" s="2948">
        <v>4860</v>
      </c>
      <c r="G62" s="2948">
        <v>13170</v>
      </c>
      <c r="N62" s="2948" t="s">
        <v>3050</v>
      </c>
    </row>
    <row r="63" spans="1:17" ht="14.25" customHeight="1">
      <c r="A63" s="2948" t="s">
        <v>110</v>
      </c>
      <c r="B63" s="2948" t="s">
        <v>187</v>
      </c>
      <c r="C63" s="2948">
        <v>19480</v>
      </c>
      <c r="D63" s="2948">
        <v>16830</v>
      </c>
      <c r="E63" s="2948">
        <v>21590</v>
      </c>
      <c r="F63" s="2948">
        <v>4560</v>
      </c>
      <c r="G63" s="2948">
        <v>11420</v>
      </c>
      <c r="N63" s="2948" t="s">
        <v>3051</v>
      </c>
    </row>
    <row r="64" spans="1:17" ht="14.25" customHeight="1" thickBot="1">
      <c r="A64" s="2948" t="s">
        <v>110</v>
      </c>
      <c r="B64" s="2948" t="s">
        <v>196</v>
      </c>
      <c r="C64" s="2948">
        <v>16920</v>
      </c>
      <c r="D64" s="2948">
        <v>19190</v>
      </c>
      <c r="E64" s="2948">
        <v>22200</v>
      </c>
      <c r="F64" s="2948">
        <v>4390</v>
      </c>
      <c r="G64" s="2948">
        <v>13030</v>
      </c>
      <c r="N64" s="2955" t="s">
        <v>3052</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2923</v>
      </c>
      <c r="C78" s="2948">
        <v>19820</v>
      </c>
      <c r="D78" s="2948">
        <v>19780</v>
      </c>
      <c r="E78" s="2948">
        <v>18560</v>
      </c>
      <c r="F78" s="2948"/>
      <c r="G78" s="2948">
        <v>13430</v>
      </c>
    </row>
    <row r="79" spans="1:7" s="2782" customFormat="1" ht="14.25" customHeight="1">
      <c r="A79" s="2948" t="s">
        <v>110</v>
      </c>
      <c r="B79" s="2948" t="s">
        <v>2926</v>
      </c>
      <c r="C79" s="2948">
        <v>21660</v>
      </c>
      <c r="D79" s="2948">
        <v>18000</v>
      </c>
      <c r="E79" s="2948">
        <v>22570</v>
      </c>
      <c r="F79" s="2948"/>
      <c r="G79" s="2948">
        <v>12220</v>
      </c>
    </row>
    <row r="80" spans="1:7" s="2782" customFormat="1" ht="14.25" customHeight="1">
      <c r="A80" s="2948" t="s">
        <v>110</v>
      </c>
      <c r="B80" s="2948" t="s">
        <v>2930</v>
      </c>
      <c r="C80" s="2948">
        <v>19850</v>
      </c>
      <c r="D80" s="2948"/>
      <c r="E80" s="2948">
        <v>21700</v>
      </c>
      <c r="F80" s="2948"/>
      <c r="G80" s="2948"/>
    </row>
    <row r="81" spans="1:7" s="2782" customFormat="1" ht="14.25" customHeight="1">
      <c r="A81" s="2948" t="s">
        <v>110</v>
      </c>
      <c r="B81" s="2948" t="s">
        <v>2935</v>
      </c>
      <c r="C81" s="2948">
        <v>18080</v>
      </c>
      <c r="D81" s="2948"/>
      <c r="E81" s="2948">
        <v>20900</v>
      </c>
      <c r="F81" s="2948"/>
      <c r="G81" s="2948"/>
    </row>
    <row r="82" spans="1:7" s="2782" customFormat="1" ht="14.25" customHeight="1">
      <c r="A82" s="2948" t="s">
        <v>110</v>
      </c>
      <c r="B82" s="2948" t="s">
        <v>2942</v>
      </c>
      <c r="C82" s="2948"/>
      <c r="D82" s="2948"/>
      <c r="E82" s="2948">
        <v>20840</v>
      </c>
      <c r="F82" s="2948"/>
      <c r="G82" s="2948"/>
    </row>
    <row r="83" spans="1:7" s="2782" customFormat="1" ht="14.25" customHeight="1">
      <c r="A83" s="2948" t="s">
        <v>110</v>
      </c>
      <c r="B83" s="2948" t="s">
        <v>3053</v>
      </c>
      <c r="C83" s="2948"/>
      <c r="D83" s="2948"/>
      <c r="E83" s="2948"/>
      <c r="F83" s="2948">
        <v>4770</v>
      </c>
      <c r="G83" s="2948"/>
    </row>
    <row r="84" spans="1:7" s="2782" customFormat="1" ht="14.25" customHeight="1">
      <c r="A84" s="2948" t="s">
        <v>110</v>
      </c>
      <c r="B84" s="2948" t="s">
        <v>3054</v>
      </c>
      <c r="C84" s="2948"/>
      <c r="D84" s="2948"/>
      <c r="E84" s="2948"/>
      <c r="F84" s="2948">
        <v>4600</v>
      </c>
      <c r="G84" s="2948"/>
    </row>
    <row r="85" spans="1:7" s="2782" customFormat="1" ht="14.25" customHeight="1">
      <c r="A85" s="2948" t="s">
        <v>110</v>
      </c>
      <c r="B85" s="2948" t="s">
        <v>3055</v>
      </c>
      <c r="C85" s="2948"/>
      <c r="D85" s="2948"/>
      <c r="E85" s="2948"/>
      <c r="F85" s="2948">
        <v>4680</v>
      </c>
      <c r="G85" s="2948"/>
    </row>
    <row r="86" spans="1:7" s="2782" customFormat="1" ht="14.25" customHeight="1" thickBot="1">
      <c r="A86" s="2956" t="s">
        <v>110</v>
      </c>
      <c r="B86" s="2958" t="s">
        <v>3056</v>
      </c>
      <c r="C86" s="2959">
        <v>16610</v>
      </c>
      <c r="D86" s="2959">
        <v>16540</v>
      </c>
      <c r="E86" s="2959">
        <v>18850</v>
      </c>
      <c r="F86" s="2959"/>
      <c r="G86" s="2959">
        <v>11220</v>
      </c>
    </row>
    <row r="87" spans="1:7" s="2782" customFormat="1" ht="14.25" customHeight="1">
      <c r="A87" s="2953" t="s">
        <v>303</v>
      </c>
      <c r="B87" s="2944" t="s">
        <v>3057</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2936</v>
      </c>
      <c r="C113" s="2948">
        <v>15520</v>
      </c>
      <c r="D113" s="2948">
        <v>15450</v>
      </c>
      <c r="E113" s="2948"/>
      <c r="F113" s="2948"/>
      <c r="G113" s="2961">
        <v>10210</v>
      </c>
    </row>
    <row r="114" spans="1:7" s="2782" customFormat="1" ht="14.25" customHeight="1">
      <c r="A114" s="2948" t="s">
        <v>303</v>
      </c>
      <c r="B114" s="2948" t="s">
        <v>2943</v>
      </c>
      <c r="C114" s="2948">
        <v>13110</v>
      </c>
      <c r="D114" s="2948">
        <v>13050</v>
      </c>
      <c r="E114" s="2948"/>
      <c r="F114" s="2948"/>
      <c r="G114" s="2961">
        <v>8620</v>
      </c>
    </row>
    <row r="115" spans="1:7" s="2782" customFormat="1" ht="14.25" customHeight="1">
      <c r="A115" s="2948" t="s">
        <v>303</v>
      </c>
      <c r="B115" s="2948" t="s">
        <v>2949</v>
      </c>
      <c r="C115" s="2948">
        <v>12460</v>
      </c>
      <c r="D115" s="2948">
        <v>12390</v>
      </c>
      <c r="E115" s="2948"/>
      <c r="F115" s="2948"/>
      <c r="G115" s="2961">
        <v>8190</v>
      </c>
    </row>
    <row r="116" spans="1:7" s="2782" customFormat="1" ht="14.25" customHeight="1">
      <c r="A116" s="2948" t="s">
        <v>303</v>
      </c>
      <c r="B116" s="2948" t="s">
        <v>2956</v>
      </c>
      <c r="C116" s="2948">
        <v>13580</v>
      </c>
      <c r="D116" s="2948">
        <v>13520</v>
      </c>
      <c r="E116" s="2948"/>
      <c r="F116" s="2948"/>
      <c r="G116" s="2961">
        <v>8930</v>
      </c>
    </row>
    <row r="117" spans="1:7" s="2782" customFormat="1" ht="14.25" customHeight="1">
      <c r="A117" s="2948" t="s">
        <v>303</v>
      </c>
      <c r="B117" s="2948" t="s">
        <v>2963</v>
      </c>
      <c r="C117" s="2948">
        <v>17120</v>
      </c>
      <c r="D117" s="2948">
        <v>17040</v>
      </c>
      <c r="E117" s="2948"/>
      <c r="F117" s="2948"/>
      <c r="G117" s="2961">
        <v>11260</v>
      </c>
    </row>
    <row r="118" spans="1:7" s="2782" customFormat="1" ht="14.25" customHeight="1">
      <c r="A118" s="2948" t="s">
        <v>303</v>
      </c>
      <c r="B118" s="2948" t="s">
        <v>2968</v>
      </c>
      <c r="C118" s="2948">
        <v>14860</v>
      </c>
      <c r="D118" s="2948">
        <v>14790</v>
      </c>
      <c r="E118" s="2948"/>
      <c r="F118" s="2948"/>
      <c r="G118" s="2961">
        <v>9780</v>
      </c>
    </row>
    <row r="119" spans="1:7" s="2782" customFormat="1" ht="14.25" customHeight="1">
      <c r="A119" s="2948" t="s">
        <v>303</v>
      </c>
      <c r="B119" s="2948" t="s">
        <v>2972</v>
      </c>
      <c r="C119" s="2948">
        <v>16470</v>
      </c>
      <c r="D119" s="2948">
        <v>16400</v>
      </c>
      <c r="E119" s="2948"/>
      <c r="F119" s="2948"/>
      <c r="G119" s="2961">
        <v>10840</v>
      </c>
    </row>
    <row r="120" spans="1:7" s="2782" customFormat="1" ht="14.25" customHeight="1">
      <c r="A120" s="2948" t="s">
        <v>303</v>
      </c>
      <c r="B120" s="2948" t="s">
        <v>3058</v>
      </c>
      <c r="C120" s="2948"/>
      <c r="D120" s="2948"/>
      <c r="E120" s="2948"/>
      <c r="F120" s="2948">
        <v>4160</v>
      </c>
      <c r="G120" s="2961"/>
    </row>
    <row r="121" spans="1:7" s="2782" customFormat="1" ht="14.25" customHeight="1">
      <c r="A121" s="2948" t="s">
        <v>303</v>
      </c>
      <c r="B121" s="2948" t="s">
        <v>3059</v>
      </c>
      <c r="C121" s="2948"/>
      <c r="D121" s="2948"/>
      <c r="E121" s="2948"/>
      <c r="F121" s="2948">
        <v>3880</v>
      </c>
      <c r="G121" s="2961"/>
    </row>
    <row r="122" spans="1:7" s="2782" customFormat="1" ht="14.25" customHeight="1">
      <c r="A122" s="2948" t="s">
        <v>303</v>
      </c>
      <c r="B122" s="2948" t="s">
        <v>3060</v>
      </c>
      <c r="C122" s="2948">
        <v>13750</v>
      </c>
      <c r="D122" s="2948">
        <v>13680</v>
      </c>
      <c r="E122" s="2948">
        <v>16460</v>
      </c>
      <c r="F122" s="2948">
        <v>2880</v>
      </c>
      <c r="G122" s="2961">
        <v>9040</v>
      </c>
    </row>
    <row r="123" spans="1:7" s="2782" customFormat="1" ht="14.25" customHeight="1">
      <c r="A123" s="2948" t="s">
        <v>303</v>
      </c>
      <c r="B123" s="2948" t="s">
        <v>2991</v>
      </c>
      <c r="C123" s="2948">
        <v>13590</v>
      </c>
      <c r="D123" s="2948">
        <v>13520</v>
      </c>
      <c r="E123" s="2948">
        <v>16290</v>
      </c>
      <c r="F123" s="2948">
        <v>2790</v>
      </c>
      <c r="G123" s="2961">
        <v>8930</v>
      </c>
    </row>
    <row r="124" spans="1:7" s="2782" customFormat="1" ht="14.25" customHeight="1">
      <c r="A124" s="2948" t="s">
        <v>303</v>
      </c>
      <c r="B124" s="2948" t="s">
        <v>2996</v>
      </c>
      <c r="C124" s="2948">
        <v>13400</v>
      </c>
      <c r="D124" s="2948">
        <v>13320</v>
      </c>
      <c r="E124" s="2948">
        <v>16100</v>
      </c>
      <c r="F124" s="2948">
        <v>2320</v>
      </c>
      <c r="G124" s="2961">
        <v>8800</v>
      </c>
    </row>
    <row r="125" spans="1:7" s="2782" customFormat="1" ht="14.25" customHeight="1">
      <c r="A125" s="2948" t="s">
        <v>303</v>
      </c>
      <c r="B125" s="2948" t="s">
        <v>3001</v>
      </c>
      <c r="C125" s="2948">
        <v>12860</v>
      </c>
      <c r="D125" s="2948">
        <v>12790</v>
      </c>
      <c r="E125" s="2948">
        <v>15370</v>
      </c>
      <c r="F125" s="2948">
        <v>2280</v>
      </c>
      <c r="G125" s="2961">
        <v>8450</v>
      </c>
    </row>
    <row r="126" spans="1:7" s="2782" customFormat="1" ht="14.25" customHeight="1" thickBot="1">
      <c r="A126" s="2962" t="s">
        <v>303</v>
      </c>
      <c r="B126" s="2955" t="s">
        <v>3006</v>
      </c>
      <c r="C126" s="2955">
        <v>12960</v>
      </c>
      <c r="D126" s="2955">
        <v>12890</v>
      </c>
      <c r="E126" s="2955">
        <v>15530</v>
      </c>
      <c r="F126" s="2955">
        <v>2910</v>
      </c>
      <c r="G126" s="2963">
        <v>8520</v>
      </c>
    </row>
    <row r="127" spans="1:7" s="2782" customFormat="1" ht="14.25" customHeight="1">
      <c r="A127" s="2953" t="s">
        <v>29</v>
      </c>
      <c r="B127" s="2944" t="s">
        <v>3061</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3062</v>
      </c>
      <c r="C148" s="2948">
        <v>10370</v>
      </c>
      <c r="D148" s="2948">
        <v>10310</v>
      </c>
      <c r="E148" s="2948">
        <v>12970</v>
      </c>
      <c r="F148" s="2948"/>
      <c r="G148" s="2948">
        <v>6630</v>
      </c>
    </row>
    <row r="149" spans="1:7" s="2782" customFormat="1" ht="14.25" customHeight="1">
      <c r="A149" s="2948" t="s">
        <v>29</v>
      </c>
      <c r="B149" s="2948" t="s">
        <v>3063</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2937</v>
      </c>
      <c r="C153" s="2948">
        <v>10880</v>
      </c>
      <c r="D153" s="2948">
        <v>10820</v>
      </c>
      <c r="E153" s="2948">
        <v>13660</v>
      </c>
      <c r="F153" s="2948">
        <v>2260</v>
      </c>
      <c r="G153" s="2948">
        <v>6970</v>
      </c>
    </row>
    <row r="154" spans="1:7" s="2782" customFormat="1" ht="14.25" customHeight="1">
      <c r="A154" s="2948" t="s">
        <v>29</v>
      </c>
      <c r="B154" s="2948" t="s">
        <v>3064</v>
      </c>
      <c r="C154" s="2948">
        <v>11220</v>
      </c>
      <c r="D154" s="2948">
        <v>11160</v>
      </c>
      <c r="E154" s="2948">
        <v>14130</v>
      </c>
      <c r="F154" s="2948">
        <v>2230</v>
      </c>
      <c r="G154" s="2948">
        <v>7180</v>
      </c>
    </row>
    <row r="155" spans="1:7" s="2782" customFormat="1" ht="14.25" customHeight="1">
      <c r="A155" s="2948" t="s">
        <v>29</v>
      </c>
      <c r="B155" s="2948" t="s">
        <v>2950</v>
      </c>
      <c r="C155" s="2948">
        <v>10430</v>
      </c>
      <c r="D155" s="2948">
        <v>10380</v>
      </c>
      <c r="E155" s="2948">
        <v>13140</v>
      </c>
      <c r="F155" s="2948">
        <v>2080</v>
      </c>
      <c r="G155" s="2948">
        <v>6650</v>
      </c>
    </row>
    <row r="156" spans="1:7" s="2782" customFormat="1" ht="14.25" customHeight="1">
      <c r="A156" s="2948" t="s">
        <v>29</v>
      </c>
      <c r="B156" s="2948" t="s">
        <v>3065</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3066</v>
      </c>
      <c r="C160" s="2948">
        <v>11180</v>
      </c>
      <c r="D160" s="2948">
        <v>11140</v>
      </c>
      <c r="E160" s="2948">
        <v>14050</v>
      </c>
      <c r="F160" s="2948">
        <v>2270</v>
      </c>
      <c r="G160" s="2948">
        <v>7170</v>
      </c>
    </row>
    <row r="161" spans="1:7" s="2782" customFormat="1" ht="14.25" customHeight="1">
      <c r="A161" s="2948" t="s">
        <v>29</v>
      </c>
      <c r="B161" s="2948" t="s">
        <v>2982</v>
      </c>
      <c r="C161" s="2948">
        <v>11160</v>
      </c>
      <c r="D161" s="2948">
        <v>11120</v>
      </c>
      <c r="E161" s="2948">
        <v>14020</v>
      </c>
      <c r="F161" s="2948">
        <v>2150</v>
      </c>
      <c r="G161" s="2948">
        <v>7160</v>
      </c>
    </row>
    <row r="162" spans="1:7" s="2782" customFormat="1" ht="14.25" customHeight="1">
      <c r="A162" s="2948" t="s">
        <v>29</v>
      </c>
      <c r="B162" s="2948" t="s">
        <v>2987</v>
      </c>
      <c r="C162" s="2948">
        <v>9620</v>
      </c>
      <c r="D162" s="2948">
        <v>9570</v>
      </c>
      <c r="E162" s="2948">
        <v>12320</v>
      </c>
      <c r="F162" s="2948">
        <v>2010</v>
      </c>
      <c r="G162" s="2948">
        <v>6160</v>
      </c>
    </row>
    <row r="163" spans="1:7" s="2782" customFormat="1" ht="14.25" customHeight="1">
      <c r="A163" s="2948" t="s">
        <v>29</v>
      </c>
      <c r="B163" s="2948" t="s">
        <v>2992</v>
      </c>
      <c r="C163" s="2948">
        <v>9320</v>
      </c>
      <c r="D163" s="2948">
        <v>9270</v>
      </c>
      <c r="E163" s="2948">
        <v>11790</v>
      </c>
      <c r="F163" s="2948">
        <v>1920</v>
      </c>
      <c r="G163" s="2948">
        <v>5960</v>
      </c>
    </row>
    <row r="164" spans="1:7" s="2782" customFormat="1" ht="14.25" customHeight="1">
      <c r="A164" s="2948" t="s">
        <v>29</v>
      </c>
      <c r="B164" s="2948" t="s">
        <v>2997</v>
      </c>
      <c r="C164" s="2948"/>
      <c r="D164" s="2948"/>
      <c r="E164" s="2948"/>
      <c r="F164" s="2948">
        <v>1980</v>
      </c>
      <c r="G164" s="2948"/>
    </row>
    <row r="165" spans="1:7" s="2782" customFormat="1" ht="14.25" customHeight="1">
      <c r="A165" s="2948" t="s">
        <v>29</v>
      </c>
      <c r="B165" s="2948" t="s">
        <v>3067</v>
      </c>
      <c r="C165" s="2948">
        <v>11060</v>
      </c>
      <c r="D165" s="2948">
        <v>11030</v>
      </c>
      <c r="E165" s="2948">
        <v>13850</v>
      </c>
      <c r="F165" s="2948">
        <v>2170</v>
      </c>
      <c r="G165" s="2948">
        <v>7090</v>
      </c>
    </row>
    <row r="166" spans="1:7" s="2782" customFormat="1" ht="14.25" customHeight="1">
      <c r="A166" s="2948" t="s">
        <v>29</v>
      </c>
      <c r="B166" s="2948" t="s">
        <v>3007</v>
      </c>
      <c r="C166" s="2948">
        <v>11050</v>
      </c>
      <c r="D166" s="2948">
        <v>11010</v>
      </c>
      <c r="E166" s="2948">
        <v>13920</v>
      </c>
      <c r="F166" s="2948">
        <v>2140</v>
      </c>
      <c r="G166" s="2948">
        <v>7080</v>
      </c>
    </row>
    <row r="167" spans="1:7" s="2782" customFormat="1" ht="14.25" customHeight="1">
      <c r="A167" s="2948" t="s">
        <v>29</v>
      </c>
      <c r="B167" s="2948" t="s">
        <v>3011</v>
      </c>
      <c r="C167" s="2948">
        <v>10930</v>
      </c>
      <c r="D167" s="2948">
        <v>10890</v>
      </c>
      <c r="E167" s="2948">
        <v>13790</v>
      </c>
      <c r="F167" s="2948">
        <v>2010</v>
      </c>
      <c r="G167" s="2948">
        <v>7000</v>
      </c>
    </row>
    <row r="168" spans="1:7" s="2782" customFormat="1" ht="14.25" customHeight="1">
      <c r="A168" s="2948" t="s">
        <v>29</v>
      </c>
      <c r="B168" s="2948" t="s">
        <v>3016</v>
      </c>
      <c r="C168" s="2948">
        <v>9420</v>
      </c>
      <c r="D168" s="2948">
        <v>9380</v>
      </c>
      <c r="E168" s="2948">
        <v>11970</v>
      </c>
      <c r="F168" s="2948"/>
      <c r="G168" s="2948">
        <v>6040</v>
      </c>
    </row>
    <row r="169" spans="1:7" s="2782" customFormat="1" ht="14.25" customHeight="1">
      <c r="A169" s="2948" t="s">
        <v>29</v>
      </c>
      <c r="B169" s="2948" t="s">
        <v>3068</v>
      </c>
      <c r="C169" s="2948"/>
      <c r="D169" s="2948"/>
      <c r="E169" s="2948"/>
      <c r="F169" s="2948">
        <v>2880</v>
      </c>
      <c r="G169" s="2948"/>
    </row>
    <row r="170" spans="1:7" s="2782" customFormat="1" ht="14.25" customHeight="1">
      <c r="A170" s="2948" t="s">
        <v>29</v>
      </c>
      <c r="B170" s="2948" t="s">
        <v>3024</v>
      </c>
      <c r="C170" s="2948"/>
      <c r="D170" s="2948"/>
      <c r="E170" s="2948"/>
      <c r="F170" s="2948">
        <v>2880</v>
      </c>
      <c r="G170" s="2948"/>
    </row>
    <row r="171" spans="1:7" s="2782" customFormat="1" ht="14.25" customHeight="1">
      <c r="A171" s="2948" t="s">
        <v>29</v>
      </c>
      <c r="B171" s="2948" t="s">
        <v>3027</v>
      </c>
      <c r="C171" s="2948"/>
      <c r="D171" s="2948"/>
      <c r="E171" s="2948"/>
      <c r="F171" s="2948">
        <v>2880</v>
      </c>
      <c r="G171" s="2948"/>
    </row>
    <row r="172" spans="1:7" s="2782" customFormat="1" ht="14.25" customHeight="1">
      <c r="A172" s="2948" t="s">
        <v>29</v>
      </c>
      <c r="B172" s="2948" t="s">
        <v>3029</v>
      </c>
      <c r="C172" s="2948"/>
      <c r="D172" s="2948"/>
      <c r="E172" s="2948"/>
      <c r="F172" s="2948">
        <v>2880</v>
      </c>
      <c r="G172" s="2948"/>
    </row>
    <row r="173" spans="1:7" s="2782" customFormat="1" ht="14.25" customHeight="1">
      <c r="A173" s="2948" t="s">
        <v>29</v>
      </c>
      <c r="B173" s="2948" t="s">
        <v>3031</v>
      </c>
      <c r="C173" s="2948"/>
      <c r="D173" s="2948"/>
      <c r="E173" s="2948"/>
      <c r="F173" s="2948">
        <v>2150</v>
      </c>
      <c r="G173" s="2948"/>
    </row>
    <row r="174" spans="1:7" s="2782" customFormat="1" ht="14.25" customHeight="1">
      <c r="A174" s="2948" t="s">
        <v>29</v>
      </c>
      <c r="B174" s="2948" t="s">
        <v>3033</v>
      </c>
      <c r="C174" s="2948"/>
      <c r="D174" s="2948"/>
      <c r="E174" s="2948"/>
      <c r="F174" s="2948">
        <v>2030</v>
      </c>
      <c r="G174" s="2948"/>
    </row>
    <row r="175" spans="1:7" s="2782" customFormat="1" ht="14.25" customHeight="1">
      <c r="A175" s="2948" t="s">
        <v>29</v>
      </c>
      <c r="B175" s="2948" t="s">
        <v>3035</v>
      </c>
      <c r="C175" s="2948"/>
      <c r="D175" s="2948"/>
      <c r="E175" s="2948"/>
      <c r="F175" s="2948">
        <v>2780</v>
      </c>
      <c r="G175" s="2948"/>
    </row>
    <row r="176" spans="1:7" s="2782" customFormat="1" ht="14.25" customHeight="1">
      <c r="A176" s="2948" t="s">
        <v>29</v>
      </c>
      <c r="B176" s="2948" t="s">
        <v>3037</v>
      </c>
      <c r="C176" s="2948"/>
      <c r="D176" s="2948"/>
      <c r="E176" s="2948"/>
      <c r="F176" s="2948">
        <v>2780</v>
      </c>
      <c r="G176" s="2948"/>
    </row>
    <row r="177" spans="1:7" s="2782" customFormat="1" ht="14.25" customHeight="1">
      <c r="A177" s="2948" t="s">
        <v>29</v>
      </c>
      <c r="B177" s="2948" t="s">
        <v>3069</v>
      </c>
      <c r="C177" s="2948"/>
      <c r="D177" s="2948"/>
      <c r="E177" s="2948"/>
      <c r="F177" s="2948">
        <v>2780</v>
      </c>
      <c r="G177" s="2948"/>
    </row>
    <row r="178" spans="1:7" s="2782" customFormat="1" ht="14.25" customHeight="1">
      <c r="A178" s="2948" t="s">
        <v>29</v>
      </c>
      <c r="B178" s="2948" t="s">
        <v>3070</v>
      </c>
      <c r="C178" s="2948"/>
      <c r="D178" s="2948"/>
      <c r="E178" s="2948"/>
      <c r="F178" s="2948">
        <v>2060</v>
      </c>
      <c r="G178" s="2948"/>
    </row>
    <row r="179" spans="1:7" s="2782" customFormat="1" ht="14.25" customHeight="1">
      <c r="A179" s="2948" t="s">
        <v>29</v>
      </c>
      <c r="B179" s="2948" t="s">
        <v>3071</v>
      </c>
      <c r="C179" s="2948"/>
      <c r="D179" s="2948"/>
      <c r="E179" s="2948"/>
      <c r="F179" s="2948">
        <v>2120</v>
      </c>
      <c r="G179" s="2948"/>
    </row>
    <row r="180" spans="1:7" s="2782" customFormat="1" ht="14.25" customHeight="1">
      <c r="A180" s="2948" t="s">
        <v>29</v>
      </c>
      <c r="B180" s="2948" t="s">
        <v>3043</v>
      </c>
      <c r="C180" s="2948"/>
      <c r="D180" s="2948"/>
      <c r="E180" s="2948"/>
      <c r="F180" s="2948">
        <v>2340</v>
      </c>
      <c r="G180" s="2948"/>
    </row>
    <row r="181" spans="1:7" s="2782" customFormat="1" ht="14.25" customHeight="1">
      <c r="A181" s="2948" t="s">
        <v>29</v>
      </c>
      <c r="B181" s="2948" t="s">
        <v>3044</v>
      </c>
      <c r="C181" s="2948"/>
      <c r="D181" s="2948"/>
      <c r="E181" s="2948"/>
      <c r="F181" s="2948">
        <v>2340</v>
      </c>
      <c r="G181" s="2948"/>
    </row>
    <row r="182" spans="1:7" s="2782" customFormat="1" ht="14.25" customHeight="1">
      <c r="A182" s="2948" t="s">
        <v>29</v>
      </c>
      <c r="B182" s="2948" t="s">
        <v>3045</v>
      </c>
      <c r="C182" s="2948"/>
      <c r="D182" s="2948"/>
      <c r="E182" s="2948"/>
      <c r="F182" s="2948">
        <v>2340</v>
      </c>
      <c r="G182" s="2948"/>
    </row>
    <row r="183" spans="1:7" s="2782" customFormat="1" ht="14.25" customHeight="1">
      <c r="A183" s="2948" t="s">
        <v>29</v>
      </c>
      <c r="B183" s="2948" t="s">
        <v>3046</v>
      </c>
      <c r="C183" s="2948"/>
      <c r="D183" s="2948"/>
      <c r="E183" s="2948"/>
      <c r="F183" s="2948">
        <v>2340</v>
      </c>
      <c r="G183" s="2948"/>
    </row>
    <row r="184" spans="1:7" s="2782" customFormat="1" ht="14.25" customHeight="1">
      <c r="A184" s="2948" t="s">
        <v>29</v>
      </c>
      <c r="B184" s="2948" t="s">
        <v>3047</v>
      </c>
      <c r="C184" s="2948"/>
      <c r="D184" s="2948"/>
      <c r="E184" s="2948"/>
      <c r="F184" s="2948">
        <v>2340</v>
      </c>
      <c r="G184" s="2948"/>
    </row>
    <row r="185" spans="1:7" s="2782" customFormat="1" ht="14.25" customHeight="1">
      <c r="A185" s="2948" t="s">
        <v>29</v>
      </c>
      <c r="B185" s="2948" t="s">
        <v>3048</v>
      </c>
      <c r="C185" s="2948"/>
      <c r="D185" s="2948"/>
      <c r="E185" s="2948"/>
      <c r="F185" s="2948">
        <v>2530</v>
      </c>
      <c r="G185" s="2948"/>
    </row>
    <row r="186" spans="1:7" s="2782" customFormat="1" ht="14.25" customHeight="1">
      <c r="A186" s="2948" t="s">
        <v>29</v>
      </c>
      <c r="B186" s="2948" t="s">
        <v>3049</v>
      </c>
      <c r="C186" s="2948"/>
      <c r="D186" s="2948"/>
      <c r="E186" s="2948"/>
      <c r="F186" s="2948">
        <v>2550</v>
      </c>
      <c r="G186" s="2948"/>
    </row>
    <row r="187" spans="1:7" s="2782" customFormat="1" ht="14.25" customHeight="1">
      <c r="A187" s="2948" t="s">
        <v>29</v>
      </c>
      <c r="B187" s="2948" t="s">
        <v>3050</v>
      </c>
      <c r="C187" s="2948"/>
      <c r="D187" s="2948"/>
      <c r="E187" s="2948"/>
      <c r="F187" s="2948">
        <v>2070</v>
      </c>
      <c r="G187" s="2948"/>
    </row>
    <row r="188" spans="1:7" s="2782" customFormat="1" ht="14.25" customHeight="1">
      <c r="A188" s="2948" t="s">
        <v>29</v>
      </c>
      <c r="B188" s="2948" t="s">
        <v>3051</v>
      </c>
      <c r="C188" s="2948"/>
      <c r="D188" s="2948"/>
      <c r="E188" s="2948"/>
      <c r="F188" s="2948">
        <v>2340</v>
      </c>
      <c r="G188" s="2948"/>
    </row>
    <row r="189" spans="1:7" s="2782" customFormat="1" ht="14.25" customHeight="1" thickBot="1">
      <c r="A189" s="2956" t="s">
        <v>29</v>
      </c>
      <c r="B189" s="2959" t="s">
        <v>3052</v>
      </c>
      <c r="C189" s="2959"/>
      <c r="D189" s="2959"/>
      <c r="E189" s="2959"/>
      <c r="F189" s="2959">
        <v>2050</v>
      </c>
      <c r="G189" s="2959"/>
    </row>
    <row r="190" spans="1:7" s="2782" customFormat="1" ht="14.25" customHeight="1">
      <c r="A190" s="2953" t="s">
        <v>304</v>
      </c>
      <c r="B190" s="2944" t="s">
        <v>3072</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3073</v>
      </c>
      <c r="C199" s="2948">
        <v>8690</v>
      </c>
      <c r="D199" s="2948">
        <v>8630</v>
      </c>
      <c r="E199" s="2948">
        <v>11350</v>
      </c>
      <c r="F199" s="2948">
        <v>1600</v>
      </c>
      <c r="G199" s="2961">
        <v>5450</v>
      </c>
    </row>
    <row r="200" spans="1:7" s="2782" customFormat="1" ht="14.25" customHeight="1">
      <c r="A200" s="2948" t="s">
        <v>304</v>
      </c>
      <c r="B200" s="2948" t="s">
        <v>2884</v>
      </c>
      <c r="C200" s="2948"/>
      <c r="D200" s="2948"/>
      <c r="E200" s="2948"/>
      <c r="F200" s="2948">
        <v>1510</v>
      </c>
      <c r="G200" s="2961"/>
    </row>
    <row r="201" spans="1:7" s="2782" customFormat="1" ht="14.25" customHeight="1">
      <c r="A201" s="2948" t="s">
        <v>304</v>
      </c>
      <c r="B201" s="2948" t="s">
        <v>3074</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3075</v>
      </c>
      <c r="C203" s="2948">
        <v>8130</v>
      </c>
      <c r="D203" s="2948">
        <v>8070</v>
      </c>
      <c r="E203" s="2948">
        <v>10820</v>
      </c>
      <c r="F203" s="2948">
        <v>1690</v>
      </c>
      <c r="G203" s="2961">
        <v>5100</v>
      </c>
    </row>
    <row r="204" spans="1:7" s="2782" customFormat="1" ht="14.25" customHeight="1">
      <c r="A204" s="2948" t="s">
        <v>304</v>
      </c>
      <c r="B204" s="2948" t="s">
        <v>2895</v>
      </c>
      <c r="C204" s="2948">
        <v>8350</v>
      </c>
      <c r="D204" s="2948">
        <v>8290</v>
      </c>
      <c r="E204" s="2948">
        <v>11080</v>
      </c>
      <c r="F204" s="2948">
        <v>1450</v>
      </c>
      <c r="G204" s="2961">
        <v>5240</v>
      </c>
    </row>
    <row r="205" spans="1:7" s="2782" customFormat="1" ht="14.25" customHeight="1">
      <c r="A205" s="2948" t="s">
        <v>304</v>
      </c>
      <c r="B205" s="2948" t="s">
        <v>2897</v>
      </c>
      <c r="C205" s="2948">
        <v>7190</v>
      </c>
      <c r="D205" s="2948">
        <v>7130</v>
      </c>
      <c r="E205" s="2948">
        <v>9490</v>
      </c>
      <c r="F205" s="2948">
        <v>1470</v>
      </c>
      <c r="G205" s="2961">
        <v>4510</v>
      </c>
    </row>
    <row r="206" spans="1:7" s="2782" customFormat="1" ht="14.25" customHeight="1">
      <c r="A206" s="2948" t="s">
        <v>304</v>
      </c>
      <c r="B206" s="2948" t="s">
        <v>2900</v>
      </c>
      <c r="C206" s="2948">
        <v>7000</v>
      </c>
      <c r="D206" s="2948">
        <v>6950</v>
      </c>
      <c r="E206" s="2948">
        <v>9170</v>
      </c>
      <c r="F206" s="2948">
        <v>1400</v>
      </c>
      <c r="G206" s="2961">
        <v>4380</v>
      </c>
    </row>
    <row r="207" spans="1:7" s="2782" customFormat="1" ht="14.25" customHeight="1">
      <c r="A207" s="2948" t="s">
        <v>304</v>
      </c>
      <c r="B207" s="2948" t="s">
        <v>2902</v>
      </c>
      <c r="C207" s="2948">
        <v>6950</v>
      </c>
      <c r="D207" s="2948">
        <v>6900</v>
      </c>
      <c r="E207" s="2948">
        <v>9110</v>
      </c>
      <c r="F207" s="2948">
        <v>1790</v>
      </c>
      <c r="G207" s="2961">
        <v>4360</v>
      </c>
    </row>
    <row r="208" spans="1:7" s="2782" customFormat="1" ht="14.25" customHeight="1">
      <c r="A208" s="2948" t="s">
        <v>304</v>
      </c>
      <c r="B208" s="2948" t="s">
        <v>3076</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2912</v>
      </c>
      <c r="C210" s="2948">
        <v>8710</v>
      </c>
      <c r="D210" s="2948">
        <v>8660</v>
      </c>
      <c r="E210" s="2948">
        <v>11440</v>
      </c>
      <c r="F210" s="2948">
        <v>1740</v>
      </c>
      <c r="G210" s="2961">
        <v>5470</v>
      </c>
    </row>
    <row r="211" spans="1:7" s="2782" customFormat="1" ht="14.25" customHeight="1">
      <c r="A211" s="2948" t="s">
        <v>304</v>
      </c>
      <c r="B211" s="2948" t="s">
        <v>3077</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3078</v>
      </c>
      <c r="C214" s="2948">
        <v>8090</v>
      </c>
      <c r="D214" s="2948">
        <v>8030</v>
      </c>
      <c r="E214" s="2948">
        <v>10780</v>
      </c>
      <c r="F214" s="2948">
        <v>1570</v>
      </c>
      <c r="G214" s="2961">
        <v>5070</v>
      </c>
    </row>
    <row r="215" spans="1:7" s="2782" customFormat="1" ht="14.25" customHeight="1">
      <c r="A215" s="2948" t="s">
        <v>304</v>
      </c>
      <c r="B215" s="2948" t="s">
        <v>3079</v>
      </c>
      <c r="C215" s="2948">
        <v>7950</v>
      </c>
      <c r="D215" s="2948">
        <v>7900</v>
      </c>
      <c r="E215" s="2948">
        <v>10560</v>
      </c>
      <c r="F215" s="2948">
        <v>1630</v>
      </c>
      <c r="G215" s="2961">
        <v>4990</v>
      </c>
    </row>
    <row r="216" spans="1:7" s="2782" customFormat="1" ht="14.25" customHeight="1">
      <c r="A216" s="2948" t="s">
        <v>304</v>
      </c>
      <c r="B216" s="2948" t="s">
        <v>3080</v>
      </c>
      <c r="C216" s="2948">
        <v>8490</v>
      </c>
      <c r="D216" s="2948">
        <v>8440</v>
      </c>
      <c r="E216" s="2948">
        <v>11260</v>
      </c>
      <c r="F216" s="2948">
        <v>1690</v>
      </c>
      <c r="G216" s="2961">
        <v>5330</v>
      </c>
    </row>
    <row r="217" spans="1:7" s="2782" customFormat="1" ht="14.25" customHeight="1">
      <c r="A217" s="2948" t="s">
        <v>304</v>
      </c>
      <c r="B217" s="2948" t="s">
        <v>2945</v>
      </c>
      <c r="C217" s="2948">
        <v>8200</v>
      </c>
      <c r="D217" s="2948">
        <v>8150</v>
      </c>
      <c r="E217" s="2948">
        <v>10910</v>
      </c>
      <c r="F217" s="2948">
        <v>1670</v>
      </c>
      <c r="G217" s="2961">
        <v>5150</v>
      </c>
    </row>
    <row r="218" spans="1:7" s="2782" customFormat="1" ht="14.25" customHeight="1">
      <c r="A218" s="2948" t="s">
        <v>304</v>
      </c>
      <c r="B218" s="2948" t="s">
        <v>3081</v>
      </c>
      <c r="C218" s="2948"/>
      <c r="D218" s="2948"/>
      <c r="E218" s="2948"/>
      <c r="F218" s="2948">
        <v>2040</v>
      </c>
      <c r="G218" s="2961"/>
    </row>
    <row r="219" spans="1:7" s="2782" customFormat="1" ht="14.25" customHeight="1">
      <c r="A219" s="2948" t="s">
        <v>304</v>
      </c>
      <c r="B219" s="2948" t="s">
        <v>3082</v>
      </c>
      <c r="C219" s="2948"/>
      <c r="D219" s="2948"/>
      <c r="E219" s="2948"/>
      <c r="F219" s="2948">
        <v>2040</v>
      </c>
      <c r="G219" s="2961"/>
    </row>
    <row r="220" spans="1:7" s="2782" customFormat="1" ht="14.25" customHeight="1">
      <c r="A220" s="2948" t="s">
        <v>304</v>
      </c>
      <c r="B220" s="2948" t="s">
        <v>3083</v>
      </c>
      <c r="C220" s="2948"/>
      <c r="D220" s="2948"/>
      <c r="E220" s="2948"/>
      <c r="F220" s="2948">
        <v>2040</v>
      </c>
      <c r="G220" s="2961"/>
    </row>
    <row r="221" spans="1:7" s="2782" customFormat="1" ht="14.25" customHeight="1">
      <c r="A221" s="2948" t="s">
        <v>304</v>
      </c>
      <c r="B221" s="2948" t="s">
        <v>3084</v>
      </c>
      <c r="C221" s="2948"/>
      <c r="D221" s="2948"/>
      <c r="E221" s="2948"/>
      <c r="F221" s="2948">
        <v>2040</v>
      </c>
      <c r="G221" s="2961"/>
    </row>
    <row r="222" spans="1:7" s="2782" customFormat="1" ht="14.25" customHeight="1">
      <c r="A222" s="2948" t="s">
        <v>304</v>
      </c>
      <c r="B222" s="2948" t="s">
        <v>3085</v>
      </c>
      <c r="C222" s="2948"/>
      <c r="D222" s="2948"/>
      <c r="E222" s="2948"/>
      <c r="F222" s="2948">
        <v>2040</v>
      </c>
      <c r="G222" s="2961"/>
    </row>
    <row r="223" spans="1:7" s="2782" customFormat="1" ht="14.25" customHeight="1">
      <c r="A223" s="2948" t="s">
        <v>304</v>
      </c>
      <c r="B223" s="2948" t="s">
        <v>3086</v>
      </c>
      <c r="C223" s="2948"/>
      <c r="D223" s="2948"/>
      <c r="E223" s="2948"/>
      <c r="F223" s="2948">
        <v>1930</v>
      </c>
      <c r="G223" s="2961"/>
    </row>
    <row r="224" spans="1:7" s="2782" customFormat="1" ht="14.25" customHeight="1">
      <c r="A224" s="2948" t="s">
        <v>304</v>
      </c>
      <c r="B224" s="2948" t="s">
        <v>3087</v>
      </c>
      <c r="C224" s="2948"/>
      <c r="D224" s="2948"/>
      <c r="E224" s="2948"/>
      <c r="F224" s="2948">
        <v>1930</v>
      </c>
      <c r="G224" s="2961"/>
    </row>
    <row r="225" spans="1:7" s="2782" customFormat="1" ht="14.25" customHeight="1">
      <c r="A225" s="2948" t="s">
        <v>304</v>
      </c>
      <c r="B225" s="2948" t="s">
        <v>3088</v>
      </c>
      <c r="C225" s="2948"/>
      <c r="D225" s="2948"/>
      <c r="E225" s="2948"/>
      <c r="F225" s="2948">
        <v>1930</v>
      </c>
      <c r="G225" s="2961"/>
    </row>
    <row r="226" spans="1:7" s="2782" customFormat="1" ht="14.25" customHeight="1">
      <c r="A226" s="2948" t="s">
        <v>304</v>
      </c>
      <c r="B226" s="2948" t="s">
        <v>3089</v>
      </c>
      <c r="C226" s="2948"/>
      <c r="D226" s="2948"/>
      <c r="E226" s="2948"/>
      <c r="F226" s="2948">
        <v>1700</v>
      </c>
      <c r="G226" s="2961"/>
    </row>
    <row r="227" spans="1:7" s="2782" customFormat="1" ht="14.25" customHeight="1">
      <c r="A227" s="2948" t="s">
        <v>304</v>
      </c>
      <c r="B227" s="2948" t="s">
        <v>3090</v>
      </c>
      <c r="C227" s="2948"/>
      <c r="D227" s="2948"/>
      <c r="E227" s="2948"/>
      <c r="F227" s="2948">
        <v>1520</v>
      </c>
      <c r="G227" s="2961"/>
    </row>
    <row r="228" spans="1:7" s="2782" customFormat="1" ht="14.25" customHeight="1">
      <c r="A228" s="2948" t="s">
        <v>304</v>
      </c>
      <c r="B228" s="2948" t="s">
        <v>3091</v>
      </c>
      <c r="C228" s="2948"/>
      <c r="D228" s="2948"/>
      <c r="E228" s="2948"/>
      <c r="F228" s="2948">
        <v>1520</v>
      </c>
      <c r="G228" s="2961"/>
    </row>
    <row r="229" spans="1:7" s="2782" customFormat="1" ht="14.25" customHeight="1">
      <c r="A229" s="2948" t="s">
        <v>304</v>
      </c>
      <c r="B229" s="2948" t="s">
        <v>3008</v>
      </c>
      <c r="C229" s="2948"/>
      <c r="D229" s="2948"/>
      <c r="E229" s="2948"/>
      <c r="F229" s="2948">
        <v>1520</v>
      </c>
      <c r="G229" s="2961"/>
    </row>
    <row r="230" spans="1:7" s="2782" customFormat="1" ht="14.25" customHeight="1">
      <c r="A230" s="2948" t="s">
        <v>304</v>
      </c>
      <c r="B230" s="2948" t="s">
        <v>3092</v>
      </c>
      <c r="C230" s="2948"/>
      <c r="D230" s="2948"/>
      <c r="E230" s="2948"/>
      <c r="F230" s="2948">
        <v>1820</v>
      </c>
      <c r="G230" s="2961"/>
    </row>
    <row r="231" spans="1:7" s="2782" customFormat="1" ht="14.25" customHeight="1">
      <c r="A231" s="2948" t="s">
        <v>304</v>
      </c>
      <c r="B231" s="2948" t="s">
        <v>3093</v>
      </c>
      <c r="C231" s="2948"/>
      <c r="D231" s="2948"/>
      <c r="E231" s="2948"/>
      <c r="F231" s="2948">
        <v>1760</v>
      </c>
      <c r="G231" s="2961"/>
    </row>
    <row r="232" spans="1:7" s="2782" customFormat="1" ht="14.25" customHeight="1">
      <c r="A232" s="2948" t="s">
        <v>304</v>
      </c>
      <c r="B232" s="2948" t="s">
        <v>3094</v>
      </c>
      <c r="C232" s="2948"/>
      <c r="D232" s="2948"/>
      <c r="E232" s="2948"/>
      <c r="F232" s="2948">
        <v>1840</v>
      </c>
      <c r="G232" s="2961"/>
    </row>
    <row r="233" spans="1:7" s="2782" customFormat="1" ht="14.25" customHeight="1" thickBot="1">
      <c r="A233" s="2962" t="s">
        <v>304</v>
      </c>
      <c r="B233" s="2955" t="s">
        <v>3025</v>
      </c>
      <c r="C233" s="2955"/>
      <c r="D233" s="2955"/>
      <c r="E233" s="2955"/>
      <c r="F233" s="2955">
        <v>1770</v>
      </c>
      <c r="G233" s="2963"/>
    </row>
    <row r="234" spans="1:7" s="2782" customFormat="1" ht="14.25" customHeight="1">
      <c r="A234" s="2953" t="s">
        <v>305</v>
      </c>
      <c r="B234" s="2944" t="s">
        <v>3095</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2866</v>
      </c>
      <c r="C238" s="2948">
        <v>6920</v>
      </c>
      <c r="D238" s="2948">
        <v>6890</v>
      </c>
      <c r="E238" s="2948">
        <v>8640</v>
      </c>
      <c r="F238" s="2948">
        <v>1310</v>
      </c>
      <c r="G238" s="2948">
        <v>4230</v>
      </c>
    </row>
    <row r="239" spans="1:7" s="2782" customFormat="1" ht="14.25" customHeight="1">
      <c r="A239" s="2948" t="s">
        <v>305</v>
      </c>
      <c r="B239" s="2948" t="s">
        <v>3096</v>
      </c>
      <c r="C239" s="2948">
        <v>6780</v>
      </c>
      <c r="D239" s="2948">
        <v>6750</v>
      </c>
      <c r="E239" s="2948">
        <v>8440</v>
      </c>
      <c r="F239" s="2948">
        <v>1160</v>
      </c>
      <c r="G239" s="2948">
        <v>4140</v>
      </c>
    </row>
    <row r="240" spans="1:7" s="2782" customFormat="1" ht="14.25" customHeight="1">
      <c r="A240" s="2948" t="s">
        <v>305</v>
      </c>
      <c r="B240" s="2948" t="s">
        <v>3097</v>
      </c>
      <c r="C240" s="2948">
        <v>5420</v>
      </c>
      <c r="D240" s="2948">
        <v>5380</v>
      </c>
      <c r="E240" s="2948">
        <v>6640</v>
      </c>
      <c r="F240" s="2948">
        <v>1020</v>
      </c>
      <c r="G240" s="2948">
        <v>3300</v>
      </c>
    </row>
    <row r="241" spans="1:7" s="2782" customFormat="1" ht="14.25" customHeight="1">
      <c r="A241" s="2948" t="s">
        <v>305</v>
      </c>
      <c r="B241" s="2948" t="s">
        <v>3098</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3099</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3100</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3101</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3102</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3103</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2928</v>
      </c>
      <c r="C258" s="2948">
        <v>6190</v>
      </c>
      <c r="D258" s="2948">
        <v>6160</v>
      </c>
      <c r="E258" s="2948">
        <v>7680</v>
      </c>
      <c r="F258" s="2948">
        <v>1170</v>
      </c>
      <c r="G258" s="2948">
        <v>3780</v>
      </c>
    </row>
    <row r="259" spans="1:7" s="2782" customFormat="1" ht="14.25" customHeight="1">
      <c r="A259" s="2948" t="s">
        <v>305</v>
      </c>
      <c r="B259" s="2948" t="s">
        <v>3104</v>
      </c>
      <c r="C259" s="2948">
        <v>7610</v>
      </c>
      <c r="D259" s="2948">
        <v>7570</v>
      </c>
      <c r="E259" s="2948">
        <v>9350</v>
      </c>
      <c r="F259" s="2948">
        <v>1350</v>
      </c>
      <c r="G259" s="2948">
        <v>4650</v>
      </c>
    </row>
    <row r="260" spans="1:7" s="2782" customFormat="1" ht="14.25" customHeight="1">
      <c r="A260" s="2948" t="s">
        <v>305</v>
      </c>
      <c r="B260" s="2948" t="s">
        <v>3105</v>
      </c>
      <c r="C260" s="2948">
        <v>6920</v>
      </c>
      <c r="D260" s="2948">
        <v>6880</v>
      </c>
      <c r="E260" s="2948">
        <v>8380</v>
      </c>
      <c r="F260" s="2948">
        <v>1160</v>
      </c>
      <c r="G260" s="2948">
        <v>4220</v>
      </c>
    </row>
    <row r="261" spans="1:7" s="2782" customFormat="1" ht="14.25" customHeight="1">
      <c r="A261" s="2948" t="s">
        <v>305</v>
      </c>
      <c r="B261" s="2948" t="s">
        <v>3106</v>
      </c>
      <c r="C261" s="2948">
        <v>6850</v>
      </c>
      <c r="D261" s="2948">
        <v>6810</v>
      </c>
      <c r="E261" s="2948">
        <v>8290</v>
      </c>
      <c r="F261" s="2948">
        <v>1130</v>
      </c>
      <c r="G261" s="2948">
        <v>4180</v>
      </c>
    </row>
    <row r="262" spans="1:7" s="2782" customFormat="1" ht="14.25" customHeight="1">
      <c r="A262" s="2948" t="s">
        <v>305</v>
      </c>
      <c r="B262" s="2948" t="s">
        <v>3107</v>
      </c>
      <c r="C262" s="2948">
        <v>5860</v>
      </c>
      <c r="D262" s="2948">
        <v>5820</v>
      </c>
      <c r="E262" s="2948">
        <v>7640</v>
      </c>
      <c r="F262" s="2948">
        <v>1070</v>
      </c>
      <c r="G262" s="2948">
        <v>3570</v>
      </c>
    </row>
    <row r="263" spans="1:7" s="2782" customFormat="1" ht="14.25" customHeight="1">
      <c r="A263" s="2948" t="s">
        <v>305</v>
      </c>
      <c r="B263" s="2948" t="s">
        <v>3108</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3109</v>
      </c>
      <c r="C265" s="2948"/>
      <c r="D265" s="2948"/>
      <c r="E265" s="2948"/>
      <c r="F265" s="2948">
        <v>1500</v>
      </c>
      <c r="G265" s="2948"/>
    </row>
    <row r="266" spans="1:7" s="2782" customFormat="1" ht="14.25" customHeight="1">
      <c r="A266" s="2948" t="s">
        <v>305</v>
      </c>
      <c r="B266" s="2948" t="s">
        <v>3110</v>
      </c>
      <c r="C266" s="2948"/>
      <c r="D266" s="2948"/>
      <c r="E266" s="2948"/>
      <c r="F266" s="2948">
        <v>1500</v>
      </c>
      <c r="G266" s="2948"/>
    </row>
    <row r="267" spans="1:7" s="2782" customFormat="1" ht="14.25" customHeight="1">
      <c r="A267" s="2948" t="s">
        <v>305</v>
      </c>
      <c r="B267" s="2948" t="s">
        <v>3111</v>
      </c>
      <c r="C267" s="2948"/>
      <c r="D267" s="2948"/>
      <c r="E267" s="2948"/>
      <c r="F267" s="2948">
        <v>1500</v>
      </c>
      <c r="G267" s="2948"/>
    </row>
    <row r="268" spans="1:7" s="2782" customFormat="1" ht="14.25" customHeight="1">
      <c r="A268" s="2948" t="s">
        <v>305</v>
      </c>
      <c r="B268" s="2948" t="s">
        <v>3112</v>
      </c>
      <c r="C268" s="2948"/>
      <c r="D268" s="2948"/>
      <c r="E268" s="2948"/>
      <c r="F268" s="2948">
        <v>1290</v>
      </c>
      <c r="G268" s="2948"/>
    </row>
    <row r="269" spans="1:7" s="2782" customFormat="1" ht="14.25" customHeight="1">
      <c r="A269" s="2948" t="s">
        <v>305</v>
      </c>
      <c r="B269" s="2948" t="s">
        <v>3113</v>
      </c>
      <c r="C269" s="2948"/>
      <c r="D269" s="2948"/>
      <c r="E269" s="2948"/>
      <c r="F269" s="2948">
        <v>1150</v>
      </c>
      <c r="G269" s="2948"/>
    </row>
    <row r="270" spans="1:7" s="2782" customFormat="1" ht="14.25" customHeight="1">
      <c r="A270" s="2948" t="s">
        <v>305</v>
      </c>
      <c r="B270" s="2948" t="s">
        <v>3114</v>
      </c>
      <c r="C270" s="2948"/>
      <c r="D270" s="2948"/>
      <c r="E270" s="2948"/>
      <c r="F270" s="2948">
        <v>1380</v>
      </c>
      <c r="G270" s="2948"/>
    </row>
    <row r="271" spans="1:7" s="2782" customFormat="1" ht="14.25" customHeight="1">
      <c r="A271" s="2948" t="s">
        <v>305</v>
      </c>
      <c r="B271" s="2948" t="s">
        <v>3115</v>
      </c>
      <c r="C271" s="2948"/>
      <c r="D271" s="2948"/>
      <c r="E271" s="2948"/>
      <c r="F271" s="2948">
        <v>1460</v>
      </c>
      <c r="G271" s="2948"/>
    </row>
    <row r="272" spans="1:7" s="2782" customFormat="1" ht="14.25" customHeight="1">
      <c r="A272" s="2948" t="s">
        <v>305</v>
      </c>
      <c r="B272" s="2948" t="s">
        <v>3116</v>
      </c>
      <c r="C272" s="2948"/>
      <c r="D272" s="2948"/>
      <c r="E272" s="2948"/>
      <c r="F272" s="2948">
        <v>1460</v>
      </c>
      <c r="G272" s="2948"/>
    </row>
    <row r="273" spans="1:7" s="2782" customFormat="1" ht="14.25" customHeight="1">
      <c r="A273" s="2948" t="s">
        <v>305</v>
      </c>
      <c r="B273" s="2948" t="s">
        <v>3009</v>
      </c>
      <c r="C273" s="2948"/>
      <c r="D273" s="2948"/>
      <c r="E273" s="2948"/>
      <c r="F273" s="2948">
        <v>1490</v>
      </c>
      <c r="G273" s="2948"/>
    </row>
    <row r="274" spans="1:7" s="2782" customFormat="1" ht="14.25" customHeight="1">
      <c r="A274" s="2948" t="s">
        <v>305</v>
      </c>
      <c r="B274" s="2948" t="s">
        <v>3117</v>
      </c>
      <c r="C274" s="2948"/>
      <c r="D274" s="2948"/>
      <c r="E274" s="2948"/>
      <c r="F274" s="2948">
        <v>1490</v>
      </c>
      <c r="G274" s="2948"/>
    </row>
    <row r="275" spans="1:7" s="2782" customFormat="1" ht="14.25" customHeight="1">
      <c r="A275" s="2948" t="s">
        <v>305</v>
      </c>
      <c r="B275" s="2948" t="s">
        <v>3118</v>
      </c>
      <c r="C275" s="2948"/>
      <c r="D275" s="2948"/>
      <c r="E275" s="2948"/>
      <c r="F275" s="2948">
        <v>1220</v>
      </c>
      <c r="G275" s="2948"/>
    </row>
    <row r="276" spans="1:7" s="2782" customFormat="1" ht="14.25" customHeight="1" thickBot="1">
      <c r="A276" s="2956" t="s">
        <v>305</v>
      </c>
      <c r="B276" s="2958" t="s">
        <v>3119</v>
      </c>
      <c r="C276" s="2959"/>
      <c r="D276" s="2959"/>
      <c r="E276" s="2959"/>
      <c r="F276" s="2959">
        <v>1380</v>
      </c>
      <c r="G276" s="2959"/>
    </row>
    <row r="277" spans="1:7" s="2782" customFormat="1" ht="14.25" customHeight="1">
      <c r="A277" s="2953" t="s">
        <v>306</v>
      </c>
      <c r="B277" s="2944" t="s">
        <v>3120</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3121</v>
      </c>
      <c r="C279" s="2948">
        <v>4760</v>
      </c>
      <c r="D279" s="2948">
        <v>4720</v>
      </c>
      <c r="E279" s="2948">
        <v>5540</v>
      </c>
      <c r="F279" s="2948">
        <v>810</v>
      </c>
      <c r="G279" s="2961">
        <v>2850</v>
      </c>
    </row>
    <row r="280" spans="1:7" s="2782" customFormat="1" ht="14.25" customHeight="1">
      <c r="A280" s="2948" t="s">
        <v>306</v>
      </c>
      <c r="B280" s="2948" t="s">
        <v>3122</v>
      </c>
      <c r="C280" s="2948">
        <v>4010</v>
      </c>
      <c r="D280" s="2948">
        <v>3950</v>
      </c>
      <c r="E280" s="2948">
        <v>4710</v>
      </c>
      <c r="F280" s="2948">
        <v>800</v>
      </c>
      <c r="G280" s="2961">
        <v>2390</v>
      </c>
    </row>
    <row r="281" spans="1:7" s="2782" customFormat="1" ht="14.25" customHeight="1">
      <c r="A281" s="2948" t="s">
        <v>306</v>
      </c>
      <c r="B281" s="2948" t="s">
        <v>3123</v>
      </c>
      <c r="C281" s="2948">
        <v>4480</v>
      </c>
      <c r="D281" s="2948">
        <v>4420</v>
      </c>
      <c r="E281" s="2948">
        <v>5230</v>
      </c>
      <c r="F281" s="2948">
        <v>870</v>
      </c>
      <c r="G281" s="2961">
        <v>2660</v>
      </c>
    </row>
    <row r="282" spans="1:7" s="2782" customFormat="1" ht="14.25" customHeight="1">
      <c r="A282" s="2948" t="s">
        <v>306</v>
      </c>
      <c r="B282" s="2948" t="s">
        <v>3124</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3125</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3126</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2901</v>
      </c>
      <c r="C293" s="2948">
        <v>5320</v>
      </c>
      <c r="D293" s="2948">
        <v>5270</v>
      </c>
      <c r="E293" s="2948">
        <v>6160</v>
      </c>
      <c r="F293" s="2948">
        <v>990</v>
      </c>
      <c r="G293" s="2961">
        <v>3170</v>
      </c>
    </row>
    <row r="294" spans="1:7" s="2782" customFormat="1" ht="14.25" customHeight="1">
      <c r="A294" s="2948" t="s">
        <v>306</v>
      </c>
      <c r="B294" s="2948" t="s">
        <v>3127</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2920</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3128</v>
      </c>
      <c r="C302" s="2948">
        <v>5520</v>
      </c>
      <c r="D302" s="2948">
        <v>5470</v>
      </c>
      <c r="E302" s="2948">
        <v>6410</v>
      </c>
      <c r="F302" s="2948">
        <v>950</v>
      </c>
      <c r="G302" s="2961">
        <v>3300</v>
      </c>
    </row>
    <row r="303" spans="1:7" s="2782" customFormat="1" ht="14.25" customHeight="1">
      <c r="A303" s="2948" t="s">
        <v>306</v>
      </c>
      <c r="B303" s="2948" t="s">
        <v>2940</v>
      </c>
      <c r="C303" s="2948">
        <v>5630</v>
      </c>
      <c r="D303" s="2948">
        <v>5590</v>
      </c>
      <c r="E303" s="2948">
        <v>6550</v>
      </c>
      <c r="F303" s="2948">
        <v>1010</v>
      </c>
      <c r="G303" s="2961">
        <v>3370</v>
      </c>
    </row>
    <row r="304" spans="1:7" s="2782" customFormat="1" ht="14.25" customHeight="1">
      <c r="A304" s="2948" t="s">
        <v>306</v>
      </c>
      <c r="B304" s="2948" t="s">
        <v>2947</v>
      </c>
      <c r="C304" s="2948">
        <v>5680</v>
      </c>
      <c r="D304" s="2948">
        <v>5620</v>
      </c>
      <c r="E304" s="2948">
        <v>6620</v>
      </c>
      <c r="F304" s="2948">
        <v>1050</v>
      </c>
      <c r="G304" s="2961">
        <v>3390</v>
      </c>
    </row>
    <row r="305" spans="1:7" s="2782" customFormat="1" ht="14.25" customHeight="1">
      <c r="A305" s="2948" t="s">
        <v>306</v>
      </c>
      <c r="B305" s="2948" t="s">
        <v>2953</v>
      </c>
      <c r="C305" s="2948">
        <v>5590</v>
      </c>
      <c r="D305" s="2948">
        <v>5530</v>
      </c>
      <c r="E305" s="2948">
        <v>6460</v>
      </c>
      <c r="F305" s="2948">
        <v>900</v>
      </c>
      <c r="G305" s="2961">
        <v>3340</v>
      </c>
    </row>
    <row r="306" spans="1:7" s="2782" customFormat="1" ht="14.25" customHeight="1">
      <c r="A306" s="2948" t="s">
        <v>306</v>
      </c>
      <c r="B306" s="2948" t="s">
        <v>3129</v>
      </c>
      <c r="C306" s="2948">
        <v>5560</v>
      </c>
      <c r="D306" s="2948">
        <v>5510</v>
      </c>
      <c r="E306" s="2948">
        <v>6440</v>
      </c>
      <c r="F306" s="2948">
        <v>900</v>
      </c>
      <c r="G306" s="2961">
        <v>3320</v>
      </c>
    </row>
    <row r="307" spans="1:7" s="2782" customFormat="1" ht="14.25" customHeight="1">
      <c r="A307" s="2948" t="s">
        <v>306</v>
      </c>
      <c r="B307" s="2948" t="s">
        <v>2965</v>
      </c>
      <c r="C307" s="2948">
        <v>5650</v>
      </c>
      <c r="D307" s="2948">
        <v>5600</v>
      </c>
      <c r="E307" s="2948">
        <v>6590</v>
      </c>
      <c r="F307" s="2948">
        <v>930</v>
      </c>
      <c r="G307" s="2961">
        <v>3380</v>
      </c>
    </row>
    <row r="308" spans="1:7" s="2782" customFormat="1" ht="14.25" customHeight="1">
      <c r="A308" s="2948" t="s">
        <v>306</v>
      </c>
      <c r="B308" s="2948" t="s">
        <v>3130</v>
      </c>
      <c r="C308" s="2948">
        <v>5620</v>
      </c>
      <c r="D308" s="2948">
        <v>5580</v>
      </c>
      <c r="E308" s="2948">
        <v>6540</v>
      </c>
      <c r="F308" s="2948">
        <v>910</v>
      </c>
      <c r="G308" s="2961">
        <v>3370</v>
      </c>
    </row>
    <row r="309" spans="1:7" s="2782" customFormat="1" ht="14.25" customHeight="1">
      <c r="A309" s="2948" t="s">
        <v>306</v>
      </c>
      <c r="B309" s="2948" t="s">
        <v>3131</v>
      </c>
      <c r="C309" s="2948">
        <v>5060</v>
      </c>
      <c r="D309" s="2948">
        <v>5020</v>
      </c>
      <c r="E309" s="2948">
        <v>6370</v>
      </c>
      <c r="F309" s="2948">
        <v>800</v>
      </c>
      <c r="G309" s="2961">
        <v>3020</v>
      </c>
    </row>
    <row r="310" spans="1:7" s="2782" customFormat="1" ht="14.25" customHeight="1">
      <c r="A310" s="2948" t="s">
        <v>306</v>
      </c>
      <c r="B310" s="2948" t="s">
        <v>2980</v>
      </c>
      <c r="C310" s="2948">
        <v>5150</v>
      </c>
      <c r="D310" s="2948">
        <v>5110</v>
      </c>
      <c r="E310" s="2948">
        <v>6500</v>
      </c>
      <c r="F310" s="2948">
        <v>880</v>
      </c>
      <c r="G310" s="2961">
        <v>3080</v>
      </c>
    </row>
    <row r="311" spans="1:7" s="2782" customFormat="1" ht="14.25" customHeight="1">
      <c r="A311" s="2948" t="s">
        <v>306</v>
      </c>
      <c r="B311" s="2948" t="s">
        <v>3132</v>
      </c>
      <c r="C311" s="2948">
        <v>4750</v>
      </c>
      <c r="D311" s="2948">
        <v>4710</v>
      </c>
      <c r="E311" s="2948">
        <v>5510</v>
      </c>
      <c r="F311" s="2948">
        <v>880</v>
      </c>
      <c r="G311" s="2961">
        <v>2840</v>
      </c>
    </row>
    <row r="312" spans="1:7" s="2782" customFormat="1" ht="14.25" customHeight="1">
      <c r="A312" s="2948" t="s">
        <v>306</v>
      </c>
      <c r="B312" s="2948" t="s">
        <v>2990</v>
      </c>
      <c r="C312" s="2948">
        <v>4690</v>
      </c>
      <c r="D312" s="2948">
        <v>4640</v>
      </c>
      <c r="E312" s="2948">
        <v>5420</v>
      </c>
      <c r="F312" s="2948">
        <v>800</v>
      </c>
      <c r="G312" s="2961">
        <v>2800</v>
      </c>
    </row>
    <row r="313" spans="1:7" s="2782" customFormat="1" ht="14.25" customHeight="1">
      <c r="A313" s="2948" t="s">
        <v>306</v>
      </c>
      <c r="B313" s="2948" t="s">
        <v>2995</v>
      </c>
      <c r="C313" s="2948">
        <v>4810</v>
      </c>
      <c r="D313" s="2948">
        <v>4760</v>
      </c>
      <c r="E313" s="2948">
        <v>5550</v>
      </c>
      <c r="F313" s="2948">
        <v>920</v>
      </c>
      <c r="G313" s="2961">
        <v>2870</v>
      </c>
    </row>
    <row r="314" spans="1:7" s="2782" customFormat="1" ht="14.25" customHeight="1">
      <c r="A314" s="2948" t="s">
        <v>306</v>
      </c>
      <c r="B314" s="2948" t="s">
        <v>3133</v>
      </c>
      <c r="C314" s="2948"/>
      <c r="D314" s="2948"/>
      <c r="E314" s="2948"/>
      <c r="F314" s="2948">
        <v>1020</v>
      </c>
      <c r="G314" s="2961"/>
    </row>
    <row r="315" spans="1:7" s="2782" customFormat="1" ht="14.25" customHeight="1">
      <c r="A315" s="2948" t="s">
        <v>306</v>
      </c>
      <c r="B315" s="2948" t="s">
        <v>3134</v>
      </c>
      <c r="C315" s="2948"/>
      <c r="D315" s="2948"/>
      <c r="E315" s="2948"/>
      <c r="F315" s="2948">
        <v>1050</v>
      </c>
      <c r="G315" s="2961"/>
    </row>
    <row r="316" spans="1:7" s="2782" customFormat="1" ht="14.25" customHeight="1">
      <c r="A316" s="2948" t="s">
        <v>306</v>
      </c>
      <c r="B316" s="2948" t="s">
        <v>3010</v>
      </c>
      <c r="C316" s="2948"/>
      <c r="D316" s="2948"/>
      <c r="E316" s="2948"/>
      <c r="F316" s="2948">
        <v>900</v>
      </c>
      <c r="G316" s="2961"/>
    </row>
    <row r="317" spans="1:7" s="2782" customFormat="1" ht="14.25" customHeight="1">
      <c r="A317" s="2948" t="s">
        <v>306</v>
      </c>
      <c r="B317" s="2948" t="s">
        <v>3135</v>
      </c>
      <c r="C317" s="2948"/>
      <c r="D317" s="2948"/>
      <c r="E317" s="2948"/>
      <c r="F317" s="2948">
        <v>920</v>
      </c>
      <c r="G317" s="2961"/>
    </row>
    <row r="318" spans="1:7" s="2782" customFormat="1" ht="14.25" customHeight="1">
      <c r="A318" s="2948" t="s">
        <v>306</v>
      </c>
      <c r="B318" s="2948" t="s">
        <v>3136</v>
      </c>
      <c r="C318" s="2948"/>
      <c r="D318" s="2948"/>
      <c r="E318" s="2948"/>
      <c r="F318" s="2948">
        <v>1080</v>
      </c>
      <c r="G318" s="2961"/>
    </row>
    <row r="319" spans="1:7" s="2782" customFormat="1" ht="14.25" customHeight="1">
      <c r="A319" s="2948" t="s">
        <v>306</v>
      </c>
      <c r="B319" s="2948" t="s">
        <v>3023</v>
      </c>
      <c r="C319" s="2948"/>
      <c r="D319" s="2948"/>
      <c r="E319" s="2948"/>
      <c r="F319" s="2948">
        <v>1020</v>
      </c>
      <c r="G319" s="2961"/>
    </row>
    <row r="320" spans="1:7" s="2782" customFormat="1" ht="14.25" customHeight="1">
      <c r="A320" s="2948" t="s">
        <v>306</v>
      </c>
      <c r="B320" s="2948" t="s">
        <v>3026</v>
      </c>
      <c r="C320" s="2948"/>
      <c r="D320" s="2948"/>
      <c r="E320" s="2948"/>
      <c r="F320" s="2948">
        <v>1050</v>
      </c>
      <c r="G320" s="2961"/>
    </row>
    <row r="321" spans="1:7" s="2782" customFormat="1" ht="14.25" customHeight="1">
      <c r="A321" s="2948" t="s">
        <v>306</v>
      </c>
      <c r="B321" s="2948" t="s">
        <v>3028</v>
      </c>
      <c r="C321" s="2948"/>
      <c r="D321" s="2948"/>
      <c r="E321" s="2948"/>
      <c r="F321" s="2948">
        <v>960</v>
      </c>
      <c r="G321" s="2961"/>
    </row>
    <row r="322" spans="1:7" s="2782" customFormat="1" ht="14.25" customHeight="1">
      <c r="A322" s="2948" t="s">
        <v>306</v>
      </c>
      <c r="B322" s="2948" t="s">
        <v>3030</v>
      </c>
      <c r="C322" s="2948"/>
      <c r="D322" s="2948"/>
      <c r="E322" s="2948"/>
      <c r="F322" s="2948">
        <v>960</v>
      </c>
      <c r="G322" s="2961"/>
    </row>
    <row r="323" spans="1:7" s="2782" customFormat="1" ht="14.25" customHeight="1">
      <c r="A323" s="2948" t="s">
        <v>306</v>
      </c>
      <c r="B323" s="2948" t="s">
        <v>3032</v>
      </c>
      <c r="C323" s="2948"/>
      <c r="D323" s="2948"/>
      <c r="E323" s="2948"/>
      <c r="F323" s="2948">
        <v>880</v>
      </c>
      <c r="G323" s="2961"/>
    </row>
    <row r="324" spans="1:7" s="2782" customFormat="1" ht="14.25" customHeight="1">
      <c r="A324" s="2948" t="s">
        <v>306</v>
      </c>
      <c r="B324" s="2948" t="s">
        <v>3034</v>
      </c>
      <c r="C324" s="2948"/>
      <c r="D324" s="2948"/>
      <c r="E324" s="2948"/>
      <c r="F324" s="2948">
        <v>930</v>
      </c>
      <c r="G324" s="2961"/>
    </row>
    <row r="325" spans="1:7" s="2782" customFormat="1" ht="14.25" customHeight="1">
      <c r="A325" s="2948" t="s">
        <v>306</v>
      </c>
      <c r="B325" s="2949" t="s">
        <v>3036</v>
      </c>
      <c r="C325" s="2948"/>
      <c r="D325" s="2948"/>
      <c r="E325" s="2948"/>
      <c r="F325" s="2948">
        <v>900</v>
      </c>
      <c r="G325" s="2961"/>
    </row>
    <row r="326" spans="1:7" s="2782" customFormat="1" ht="14.25" customHeight="1" thickBot="1">
      <c r="A326" s="2962" t="s">
        <v>306</v>
      </c>
      <c r="B326" s="2955" t="s">
        <v>3038</v>
      </c>
      <c r="C326" s="2955"/>
      <c r="D326" s="2955"/>
      <c r="E326" s="2955"/>
      <c r="F326" s="2955">
        <v>790</v>
      </c>
      <c r="G326" s="2963"/>
    </row>
    <row r="327" spans="1:7" s="2782" customFormat="1" ht="14.25" customHeight="1">
      <c r="A327" s="2953" t="s">
        <v>307</v>
      </c>
      <c r="B327" s="2944" t="s">
        <v>3137</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3138</v>
      </c>
      <c r="C329" s="2948">
        <v>2730</v>
      </c>
      <c r="D329" s="2948">
        <v>2690</v>
      </c>
      <c r="E329" s="2948">
        <v>3100</v>
      </c>
      <c r="F329" s="2948">
        <v>660</v>
      </c>
      <c r="G329" s="2948">
        <v>1610</v>
      </c>
    </row>
    <row r="330" spans="1:7" s="2782" customFormat="1" ht="14.25" customHeight="1">
      <c r="A330" s="2948" t="s">
        <v>307</v>
      </c>
      <c r="B330" s="2948" t="s">
        <v>3139</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2872</v>
      </c>
      <c r="C332" s="2948">
        <v>3520</v>
      </c>
      <c r="D332" s="2948">
        <v>3480</v>
      </c>
      <c r="E332" s="2948">
        <v>3830</v>
      </c>
      <c r="F332" s="2948">
        <v>720</v>
      </c>
      <c r="G332" s="2948">
        <v>2090</v>
      </c>
    </row>
    <row r="333" spans="1:7" s="2782" customFormat="1" ht="14.25" customHeight="1">
      <c r="A333" s="2948" t="s">
        <v>307</v>
      </c>
      <c r="B333" s="2948" t="s">
        <v>3140</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2882</v>
      </c>
      <c r="C336" s="2948">
        <v>3570</v>
      </c>
      <c r="D336" s="2948">
        <v>3530</v>
      </c>
      <c r="E336" s="2948">
        <v>3880</v>
      </c>
      <c r="F336" s="2948">
        <v>770</v>
      </c>
      <c r="G336" s="2948">
        <v>2110</v>
      </c>
    </row>
    <row r="337" spans="1:10" s="2782" customFormat="1" ht="14.25" customHeight="1">
      <c r="A337" s="2948" t="s">
        <v>307</v>
      </c>
      <c r="B337" s="2948" t="s">
        <v>3141</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3142</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3143</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2907</v>
      </c>
      <c r="C345" s="2948">
        <v>3190</v>
      </c>
      <c r="D345" s="2948">
        <v>3140</v>
      </c>
      <c r="E345" s="2948">
        <v>3450</v>
      </c>
      <c r="F345" s="2948">
        <v>720</v>
      </c>
      <c r="G345" s="2948">
        <v>1880</v>
      </c>
      <c r="J345" s="2782"/>
    </row>
    <row r="346" spans="1:10">
      <c r="A346" s="2948" t="s">
        <v>307</v>
      </c>
      <c r="B346" s="2948" t="s">
        <v>3144</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2916</v>
      </c>
      <c r="C348" s="2948">
        <v>4000</v>
      </c>
      <c r="D348" s="2948">
        <v>3950</v>
      </c>
      <c r="E348" s="2948">
        <v>4430</v>
      </c>
      <c r="F348" s="2948">
        <v>760</v>
      </c>
      <c r="G348" s="2948">
        <v>2360</v>
      </c>
      <c r="J348" s="2782"/>
    </row>
    <row r="349" spans="1:10">
      <c r="A349" s="2948" t="s">
        <v>307</v>
      </c>
      <c r="B349" s="2948" t="s">
        <v>2921</v>
      </c>
      <c r="C349" s="2948">
        <v>3820</v>
      </c>
      <c r="D349" s="2948">
        <v>3780</v>
      </c>
      <c r="E349" s="2948">
        <v>4170</v>
      </c>
      <c r="F349" s="2948">
        <v>710</v>
      </c>
      <c r="G349" s="2948">
        <v>2260</v>
      </c>
      <c r="J349" s="2782"/>
    </row>
    <row r="350" spans="1:10">
      <c r="A350" s="2948" t="s">
        <v>307</v>
      </c>
      <c r="B350" s="2948" t="s">
        <v>3145</v>
      </c>
      <c r="C350" s="2948">
        <v>3760</v>
      </c>
      <c r="D350" s="2948">
        <v>3730</v>
      </c>
      <c r="E350" s="2948">
        <v>4100</v>
      </c>
      <c r="F350" s="2948">
        <v>800</v>
      </c>
      <c r="G350" s="2948">
        <v>2230</v>
      </c>
      <c r="J350" s="2782"/>
    </row>
    <row r="351" spans="1:10">
      <c r="A351" s="2948" t="s">
        <v>307</v>
      </c>
      <c r="B351" s="2948" t="s">
        <v>2929</v>
      </c>
      <c r="C351" s="2948">
        <v>3610</v>
      </c>
      <c r="D351" s="2948">
        <v>3580</v>
      </c>
      <c r="E351" s="2948">
        <v>3930</v>
      </c>
      <c r="F351" s="2948">
        <v>700</v>
      </c>
      <c r="G351" s="2948">
        <v>2140</v>
      </c>
      <c r="J351" s="2782"/>
    </row>
    <row r="352" spans="1:10">
      <c r="A352" s="2948" t="s">
        <v>307</v>
      </c>
      <c r="B352" s="2948" t="s">
        <v>2934</v>
      </c>
      <c r="C352" s="2948">
        <v>3670</v>
      </c>
      <c r="D352" s="2948">
        <v>3630</v>
      </c>
      <c r="E352" s="2948">
        <v>4000</v>
      </c>
      <c r="F352" s="2948">
        <v>750</v>
      </c>
      <c r="G352" s="2948">
        <v>2180</v>
      </c>
    </row>
    <row r="353" spans="1:7" s="2783" customFormat="1">
      <c r="A353" s="2948" t="s">
        <v>307</v>
      </c>
      <c r="B353" s="2948" t="s">
        <v>3146</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2954</v>
      </c>
      <c r="C355" s="2948">
        <v>3650</v>
      </c>
      <c r="D355" s="2948">
        <v>3610</v>
      </c>
      <c r="E355" s="2948">
        <v>4200</v>
      </c>
      <c r="F355" s="2948">
        <v>640</v>
      </c>
      <c r="G355" s="2948">
        <v>2160</v>
      </c>
    </row>
    <row r="356" spans="1:7" s="2783" customFormat="1">
      <c r="A356" s="2948" t="s">
        <v>307</v>
      </c>
      <c r="B356" s="2948" t="s">
        <v>2961</v>
      </c>
      <c r="C356" s="2948">
        <v>3260</v>
      </c>
      <c r="D356" s="2948">
        <v>3230</v>
      </c>
      <c r="E356" s="2948">
        <v>3740</v>
      </c>
      <c r="F356" s="2948">
        <v>600</v>
      </c>
      <c r="G356" s="2948">
        <v>1930</v>
      </c>
    </row>
    <row r="357" spans="1:7" s="2783" customFormat="1" ht="12" thickBot="1">
      <c r="A357" s="2956" t="s">
        <v>307</v>
      </c>
      <c r="B357" s="2959" t="s">
        <v>3147</v>
      </c>
      <c r="C357" s="2959">
        <v>3690</v>
      </c>
      <c r="D357" s="2959">
        <v>3650</v>
      </c>
      <c r="E357" s="2959">
        <v>4020</v>
      </c>
      <c r="F357" s="2959">
        <v>700</v>
      </c>
      <c r="G357" s="2959">
        <v>2190</v>
      </c>
    </row>
    <row r="358" spans="1:7" s="2783" customFormat="1">
      <c r="A358" s="2953" t="s">
        <v>3148</v>
      </c>
      <c r="B358" s="2944" t="s">
        <v>3149</v>
      </c>
      <c r="C358" s="2944">
        <v>2080</v>
      </c>
      <c r="D358" s="2944">
        <v>2040</v>
      </c>
      <c r="E358" s="2944">
        <v>2010</v>
      </c>
      <c r="F358" s="2944">
        <v>530</v>
      </c>
      <c r="G358" s="2960">
        <v>1230</v>
      </c>
    </row>
    <row r="359" spans="1:7" s="2783" customFormat="1">
      <c r="A359" s="2948" t="s">
        <v>3148</v>
      </c>
      <c r="B359" s="2948" t="s">
        <v>3150</v>
      </c>
      <c r="C359" s="2948">
        <v>1850</v>
      </c>
      <c r="D359" s="2948">
        <v>1820</v>
      </c>
      <c r="E359" s="2948">
        <v>1780</v>
      </c>
      <c r="F359" s="2948">
        <v>520</v>
      </c>
      <c r="G359" s="2961">
        <v>1100</v>
      </c>
    </row>
    <row r="360" spans="1:7" s="2783" customFormat="1">
      <c r="A360" s="2948" t="s">
        <v>3148</v>
      </c>
      <c r="B360" s="2948" t="s">
        <v>3151</v>
      </c>
      <c r="C360" s="2948">
        <v>2020</v>
      </c>
      <c r="D360" s="2948">
        <v>1990</v>
      </c>
      <c r="E360" s="2948">
        <v>1950</v>
      </c>
      <c r="F360" s="2948">
        <v>500</v>
      </c>
      <c r="G360" s="2961">
        <v>1200</v>
      </c>
    </row>
    <row r="361" spans="1:7" s="2783" customFormat="1">
      <c r="A361" s="2948" t="s">
        <v>3148</v>
      </c>
      <c r="B361" s="2948" t="s">
        <v>153</v>
      </c>
      <c r="C361" s="2948">
        <v>2260</v>
      </c>
      <c r="D361" s="2948">
        <v>2220</v>
      </c>
      <c r="E361" s="2948">
        <v>2180</v>
      </c>
      <c r="F361" s="2948">
        <v>580</v>
      </c>
      <c r="G361" s="2961">
        <v>1340</v>
      </c>
    </row>
    <row r="362" spans="1:7" s="2783" customFormat="1">
      <c r="A362" s="2948" t="s">
        <v>3148</v>
      </c>
      <c r="B362" s="2948" t="s">
        <v>3152</v>
      </c>
      <c r="C362" s="2948">
        <v>2650</v>
      </c>
      <c r="D362" s="2948">
        <v>2610</v>
      </c>
      <c r="E362" s="2948">
        <v>2570</v>
      </c>
      <c r="F362" s="2948">
        <v>630</v>
      </c>
      <c r="G362" s="2961">
        <v>1570</v>
      </c>
    </row>
    <row r="363" spans="1:7" s="2783" customFormat="1">
      <c r="A363" s="2948" t="s">
        <v>3148</v>
      </c>
      <c r="B363" s="2948" t="s">
        <v>2873</v>
      </c>
      <c r="C363" s="2948">
        <v>2390</v>
      </c>
      <c r="D363" s="2948">
        <v>2360</v>
      </c>
      <c r="E363" s="2948">
        <v>2320</v>
      </c>
      <c r="F363" s="2948">
        <v>600</v>
      </c>
      <c r="G363" s="2961">
        <v>1420</v>
      </c>
    </row>
    <row r="364" spans="1:7" s="2783" customFormat="1">
      <c r="A364" s="2948" t="s">
        <v>3148</v>
      </c>
      <c r="B364" s="2948" t="s">
        <v>3153</v>
      </c>
      <c r="C364" s="2948">
        <v>2050</v>
      </c>
      <c r="D364" s="2948">
        <v>2030</v>
      </c>
      <c r="E364" s="2948">
        <v>1990</v>
      </c>
      <c r="F364" s="2948">
        <v>550</v>
      </c>
      <c r="G364" s="2961">
        <v>1220</v>
      </c>
    </row>
    <row r="365" spans="1:7" s="2783" customFormat="1">
      <c r="A365" s="2948" t="s">
        <v>3148</v>
      </c>
      <c r="B365" s="2948" t="s">
        <v>200</v>
      </c>
      <c r="C365" s="2948">
        <v>2140</v>
      </c>
      <c r="D365" s="2948">
        <v>2100</v>
      </c>
      <c r="E365" s="2948">
        <v>2060</v>
      </c>
      <c r="F365" s="2948">
        <v>540</v>
      </c>
      <c r="G365" s="2961">
        <v>1270</v>
      </c>
    </row>
    <row r="366" spans="1:7" s="2783" customFormat="1">
      <c r="A366" s="2948" t="s">
        <v>3148</v>
      </c>
      <c r="B366" s="2948" t="s">
        <v>2880</v>
      </c>
      <c r="C366" s="2948">
        <v>2410</v>
      </c>
      <c r="D366" s="2948">
        <v>2370</v>
      </c>
      <c r="E366" s="2948">
        <v>2330</v>
      </c>
      <c r="F366" s="2948">
        <v>570</v>
      </c>
      <c r="G366" s="2961">
        <v>1440</v>
      </c>
    </row>
    <row r="367" spans="1:7" s="2783" customFormat="1">
      <c r="A367" s="2948" t="s">
        <v>3148</v>
      </c>
      <c r="B367" s="2948" t="s">
        <v>3154</v>
      </c>
      <c r="C367" s="2948">
        <v>2300</v>
      </c>
      <c r="D367" s="2948">
        <v>2260</v>
      </c>
      <c r="E367" s="2948">
        <v>2220</v>
      </c>
      <c r="F367" s="2948">
        <v>560</v>
      </c>
      <c r="G367" s="2961">
        <v>1370</v>
      </c>
    </row>
    <row r="368" spans="1:7" s="2783" customFormat="1">
      <c r="A368" s="2948" t="s">
        <v>3148</v>
      </c>
      <c r="B368" s="2948" t="s">
        <v>3155</v>
      </c>
      <c r="C368" s="2948">
        <v>2430</v>
      </c>
      <c r="D368" s="2948">
        <v>2390</v>
      </c>
      <c r="E368" s="2948">
        <v>2350</v>
      </c>
      <c r="F368" s="2948">
        <v>570</v>
      </c>
      <c r="G368" s="2961">
        <v>1450</v>
      </c>
    </row>
    <row r="369" spans="1:7" s="2783" customFormat="1">
      <c r="A369" s="2948" t="s">
        <v>3148</v>
      </c>
      <c r="B369" s="2948" t="s">
        <v>214</v>
      </c>
      <c r="C369" s="2948">
        <v>2320</v>
      </c>
      <c r="D369" s="2948">
        <v>2290</v>
      </c>
      <c r="E369" s="2948">
        <v>2250</v>
      </c>
      <c r="F369" s="2948">
        <v>550</v>
      </c>
      <c r="G369" s="2961">
        <v>1380</v>
      </c>
    </row>
    <row r="370" spans="1:7" s="2783" customFormat="1">
      <c r="A370" s="2948" t="s">
        <v>3148</v>
      </c>
      <c r="B370" s="2948" t="s">
        <v>221</v>
      </c>
      <c r="C370" s="2948">
        <v>2190</v>
      </c>
      <c r="D370" s="2948">
        <v>2170</v>
      </c>
      <c r="E370" s="2948">
        <v>2130</v>
      </c>
      <c r="F370" s="2948">
        <v>530</v>
      </c>
      <c r="G370" s="2961">
        <v>1310</v>
      </c>
    </row>
    <row r="371" spans="1:7" s="2783" customFormat="1">
      <c r="A371" s="2948" t="s">
        <v>3148</v>
      </c>
      <c r="B371" s="2948" t="s">
        <v>229</v>
      </c>
      <c r="C371" s="2948">
        <v>2460</v>
      </c>
      <c r="D371" s="2948">
        <v>2420</v>
      </c>
      <c r="E371" s="2948">
        <v>2370</v>
      </c>
      <c r="F371" s="2948">
        <v>560</v>
      </c>
      <c r="G371" s="2961">
        <v>1470</v>
      </c>
    </row>
    <row r="372" spans="1:7" s="2783" customFormat="1">
      <c r="A372" s="2948" t="s">
        <v>3148</v>
      </c>
      <c r="B372" s="2948" t="s">
        <v>3156</v>
      </c>
      <c r="C372" s="2948">
        <v>2250</v>
      </c>
      <c r="D372" s="2948">
        <v>2210</v>
      </c>
      <c r="E372" s="2948">
        <v>2180</v>
      </c>
      <c r="F372" s="2948">
        <v>550</v>
      </c>
      <c r="G372" s="2961">
        <v>1340</v>
      </c>
    </row>
    <row r="373" spans="1:7" s="2783" customFormat="1">
      <c r="A373" s="2948" t="s">
        <v>3148</v>
      </c>
      <c r="B373" s="2948" t="s">
        <v>258</v>
      </c>
      <c r="C373" s="2948">
        <v>2210</v>
      </c>
      <c r="D373" s="2948">
        <v>2190</v>
      </c>
      <c r="E373" s="2948">
        <v>2150</v>
      </c>
      <c r="F373" s="2948">
        <v>530</v>
      </c>
      <c r="G373" s="2961">
        <v>1320</v>
      </c>
    </row>
    <row r="374" spans="1:7" s="2783" customFormat="1">
      <c r="A374" s="2948" t="s">
        <v>3148</v>
      </c>
      <c r="B374" s="2948" t="s">
        <v>266</v>
      </c>
      <c r="C374" s="2948">
        <v>2320</v>
      </c>
      <c r="D374" s="2948">
        <v>2280</v>
      </c>
      <c r="E374" s="2948">
        <v>2230</v>
      </c>
      <c r="F374" s="2948">
        <v>580</v>
      </c>
      <c r="G374" s="2961">
        <v>1380</v>
      </c>
    </row>
    <row r="375" spans="1:7" s="2783" customFormat="1">
      <c r="A375" s="2948" t="s">
        <v>3148</v>
      </c>
      <c r="B375" s="2948" t="s">
        <v>3157</v>
      </c>
      <c r="C375" s="2948">
        <v>2090</v>
      </c>
      <c r="D375" s="2948">
        <v>2050</v>
      </c>
      <c r="E375" s="2948">
        <v>2020</v>
      </c>
      <c r="F375" s="2948">
        <v>520</v>
      </c>
      <c r="G375" s="2961">
        <v>1240</v>
      </c>
    </row>
    <row r="376" spans="1:7" s="2783" customFormat="1">
      <c r="A376" s="2948" t="s">
        <v>3148</v>
      </c>
      <c r="B376" s="2948" t="s">
        <v>277</v>
      </c>
      <c r="C376" s="2948">
        <v>2010</v>
      </c>
      <c r="D376" s="2948">
        <v>1980</v>
      </c>
      <c r="E376" s="2948">
        <v>1940</v>
      </c>
      <c r="F376" s="2948">
        <v>540</v>
      </c>
      <c r="G376" s="2961">
        <v>1190</v>
      </c>
    </row>
    <row r="377" spans="1:7" s="2783" customFormat="1" ht="12" thickBot="1">
      <c r="A377" s="2956" t="s">
        <v>3148</v>
      </c>
      <c r="B377" s="2959" t="s">
        <v>2910</v>
      </c>
      <c r="C377" s="2959">
        <v>1930</v>
      </c>
      <c r="D377" s="2959">
        <v>1890</v>
      </c>
      <c r="E377" s="2959">
        <v>1860</v>
      </c>
      <c r="F377" s="2959">
        <v>530</v>
      </c>
      <c r="G377" s="2964">
        <v>1150</v>
      </c>
    </row>
    <row r="378" spans="1:7" s="2783" customFormat="1">
      <c r="A378" s="2965" t="s">
        <v>3158</v>
      </c>
      <c r="B378" s="2944" t="s">
        <v>3159</v>
      </c>
      <c r="C378" s="2944">
        <v>1520</v>
      </c>
      <c r="D378" s="2944">
        <v>1490</v>
      </c>
      <c r="E378" s="2944">
        <v>1460</v>
      </c>
      <c r="F378" s="2944">
        <v>460</v>
      </c>
      <c r="G378" s="2960">
        <v>940</v>
      </c>
    </row>
    <row r="379" spans="1:7" s="2783" customFormat="1">
      <c r="A379" s="2966" t="s">
        <v>3158</v>
      </c>
      <c r="B379" s="2948" t="s">
        <v>3160</v>
      </c>
      <c r="C379" s="2948">
        <v>1500</v>
      </c>
      <c r="D379" s="2948">
        <v>1470</v>
      </c>
      <c r="E379" s="2948">
        <v>1430</v>
      </c>
      <c r="F379" s="2948">
        <v>460</v>
      </c>
      <c r="G379" s="2961">
        <v>920</v>
      </c>
    </row>
    <row r="380" spans="1:7" s="2783" customFormat="1">
      <c r="A380" s="2966" t="s">
        <v>3158</v>
      </c>
      <c r="B380" s="2948" t="s">
        <v>3161</v>
      </c>
      <c r="C380" s="2948">
        <v>1620</v>
      </c>
      <c r="D380" s="2948">
        <v>1590</v>
      </c>
      <c r="E380" s="2948">
        <v>1560</v>
      </c>
      <c r="F380" s="2948">
        <v>480</v>
      </c>
      <c r="G380" s="2961">
        <v>1000</v>
      </c>
    </row>
    <row r="381" spans="1:7" s="2783" customFormat="1">
      <c r="A381" s="2966" t="s">
        <v>3158</v>
      </c>
      <c r="B381" s="2948" t="s">
        <v>3162</v>
      </c>
      <c r="C381" s="2948">
        <v>1460</v>
      </c>
      <c r="D381" s="2948">
        <v>1430</v>
      </c>
      <c r="E381" s="2948">
        <v>1390</v>
      </c>
      <c r="F381" s="2948">
        <v>450</v>
      </c>
      <c r="G381" s="2961">
        <v>900</v>
      </c>
    </row>
    <row r="382" spans="1:7" s="2783" customFormat="1">
      <c r="A382" s="2966" t="s">
        <v>3158</v>
      </c>
      <c r="B382" s="2948" t="s">
        <v>3163</v>
      </c>
      <c r="C382" s="2948">
        <v>1310</v>
      </c>
      <c r="D382" s="2948">
        <v>1280</v>
      </c>
      <c r="E382" s="2948">
        <v>1250</v>
      </c>
      <c r="F382" s="2948">
        <v>440</v>
      </c>
      <c r="G382" s="2961">
        <v>800</v>
      </c>
    </row>
    <row r="383" spans="1:7" s="2783" customFormat="1">
      <c r="A383" s="2966" t="s">
        <v>3158</v>
      </c>
      <c r="B383" s="2948" t="s">
        <v>3164</v>
      </c>
      <c r="C383" s="2948">
        <v>1260</v>
      </c>
      <c r="D383" s="2948">
        <v>1230</v>
      </c>
      <c r="E383" s="2948">
        <v>1200</v>
      </c>
      <c r="F383" s="2948">
        <v>420</v>
      </c>
      <c r="G383" s="2961">
        <v>770</v>
      </c>
    </row>
    <row r="384" spans="1:7" s="2783" customFormat="1" ht="12" thickBot="1">
      <c r="A384" s="2967" t="s">
        <v>3158</v>
      </c>
      <c r="B384" s="2955" t="s">
        <v>3165</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46014</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2294</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3" t="s">
        <v>945</v>
      </c>
      <c r="B1" s="3213"/>
      <c r="C1" s="3213"/>
      <c r="D1" s="3213"/>
    </row>
    <row r="2" spans="1:4" ht="18">
      <c r="A2" s="3214" t="s">
        <v>929</v>
      </c>
      <c r="B2" s="3214"/>
      <c r="C2" s="3214"/>
      <c r="D2" s="3214"/>
    </row>
    <row r="3" spans="1:4" ht="18.75">
      <c r="A3" s="1407" t="s">
        <v>930</v>
      </c>
      <c r="B3" s="1407" t="s">
        <v>931</v>
      </c>
      <c r="C3" s="1407" t="s">
        <v>932</v>
      </c>
      <c r="D3" s="1407" t="s">
        <v>933</v>
      </c>
    </row>
    <row r="4" spans="1:4" ht="56.25" customHeight="1">
      <c r="A4" s="1408">
        <f>项目基本情况!B4</f>
        <v>0</v>
      </c>
      <c r="B4" s="1409">
        <f>项目基本情况!C4</f>
        <v>0</v>
      </c>
      <c r="C4" s="1410"/>
      <c r="D4" s="1411" t="s">
        <v>934</v>
      </c>
    </row>
    <row r="5" spans="1:4" ht="56.25" customHeight="1">
      <c r="A5" s="1408">
        <f>项目基本情况!D4</f>
        <v>0</v>
      </c>
      <c r="B5" s="1409">
        <f>项目基本情况!E4</f>
        <v>0</v>
      </c>
      <c r="C5" s="1412"/>
      <c r="D5" s="1411" t="s">
        <v>934</v>
      </c>
    </row>
    <row r="6" spans="1:4" ht="18">
      <c r="A6" s="3214" t="s">
        <v>935</v>
      </c>
      <c r="B6" s="3214"/>
      <c r="C6" s="3214"/>
      <c r="D6" s="3214"/>
    </row>
    <row r="7" spans="1:4" ht="18.75">
      <c r="A7" s="1407" t="s">
        <v>930</v>
      </c>
      <c r="B7" s="1409" t="s">
        <v>936</v>
      </c>
      <c r="C7" s="1407" t="s">
        <v>932</v>
      </c>
      <c r="D7" s="1407" t="s">
        <v>933</v>
      </c>
    </row>
    <row r="8" spans="1:4" ht="56.25" customHeight="1">
      <c r="A8" s="1413" t="s">
        <v>390</v>
      </c>
      <c r="B8" s="1413" t="s">
        <v>0</v>
      </c>
      <c r="C8" s="1410"/>
      <c r="D8" s="1411" t="s">
        <v>934</v>
      </c>
    </row>
    <row r="10" spans="1:4" ht="18.75">
      <c r="A10" s="1414" t="s">
        <v>937</v>
      </c>
    </row>
    <row r="11" spans="1:4" ht="30" customHeight="1">
      <c r="A11" s="3215" t="s">
        <v>938</v>
      </c>
      <c r="B11" s="3216"/>
      <c r="C11" s="3216"/>
      <c r="D11" s="3216"/>
    </row>
    <row r="12" spans="1:4" ht="15.75">
      <c r="A12" s="32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7"/>
      <c r="C12" s="3217"/>
      <c r="D12" s="3217"/>
    </row>
    <row r="13" spans="1:4" ht="30" customHeight="1">
      <c r="A13" s="32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7"/>
      <c r="C13" s="3217"/>
      <c r="D13" s="3217"/>
    </row>
    <row r="14" spans="1:4" ht="15.75" customHeight="1">
      <c r="A14" s="3216" t="str">
        <f>IF(项目基本情况!B8="抵押","4.本次评估估价师所知悉的法定优先受偿款情况说明如下：","——")</f>
        <v>4.本次评估估价师所知悉的法定优先受偿款情况说明如下：</v>
      </c>
      <c r="B14" s="3217"/>
      <c r="C14" s="3217"/>
      <c r="D14" s="3217"/>
    </row>
    <row r="15" spans="1:4" ht="42" customHeight="1">
      <c r="A15" s="32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6"/>
      <c r="C15" s="3216"/>
      <c r="D15" s="3216"/>
    </row>
    <row r="16" spans="1:4" ht="30" customHeight="1">
      <c r="A16" s="3219" t="s">
        <v>939</v>
      </c>
      <c r="B16" s="3219"/>
      <c r="C16" s="3219"/>
      <c r="D16" s="3219"/>
    </row>
    <row r="17" spans="1:4" ht="144" customHeight="1">
      <c r="A17" s="3219" t="s">
        <v>940</v>
      </c>
      <c r="B17" s="3219"/>
      <c r="C17" s="3219"/>
      <c r="D17" s="3219"/>
    </row>
    <row r="18" spans="1:4" ht="15.75" customHeight="1">
      <c r="A18" s="3216" t="str">
        <f>IF(项目基本情况!B8="抵押",'结果表-地下仓储'!K120,"——")</f>
        <v>故，本次评估不存在估价师知悉的法定优先受偿款</v>
      </c>
      <c r="B18" s="3216"/>
      <c r="C18" s="3216"/>
      <c r="D18" s="3216"/>
    </row>
    <row r="19" spans="1:4" ht="46.5" customHeight="1">
      <c r="A19" s="32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spans="1:4" ht="57.75" customHeight="1">
      <c r="A20" s="3216" t="str">
        <f>IF('结果表-地下仓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6"/>
      <c r="C20" s="3216"/>
      <c r="D20" s="3216"/>
    </row>
    <row r="21" spans="1:4" ht="57.75" customHeight="1">
      <c r="A21" s="3220" t="str">
        <f>IF('结果表-地下仓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0"/>
      <c r="C21" s="3220"/>
      <c r="D21" s="3220"/>
    </row>
    <row r="22" spans="1:4" ht="18.75" customHeight="1">
      <c r="A22" s="3221" t="s">
        <v>941</v>
      </c>
      <c r="B22" s="3221"/>
      <c r="C22" s="3221"/>
      <c r="D22" s="3221"/>
    </row>
    <row r="23" spans="1:4">
      <c r="A23" s="1415"/>
      <c r="B23" s="459"/>
      <c r="C23" s="459"/>
      <c r="D23" s="459"/>
    </row>
    <row r="24" spans="1:4">
      <c r="A24" s="1415"/>
      <c r="B24" s="459"/>
      <c r="C24" s="459"/>
      <c r="D24" s="459"/>
    </row>
    <row r="25" spans="1:4" ht="18.75">
      <c r="A25" s="1416" t="s">
        <v>942</v>
      </c>
    </row>
    <row r="26" spans="1:4" ht="18">
      <c r="A26" s="1387"/>
    </row>
    <row r="27" spans="1:4" ht="18.75">
      <c r="A27" s="1387" t="s">
        <v>943</v>
      </c>
    </row>
    <row r="30" spans="1:4" ht="18.75">
      <c r="D30" s="1416" t="s">
        <v>944</v>
      </c>
    </row>
    <row r="31" spans="1:4" ht="13.5" customHeight="1">
      <c r="C31" s="3218">
        <v>42551</v>
      </c>
      <c r="D31" s="32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946</v>
      </c>
    </row>
    <row r="3" spans="1:7">
      <c r="A3" s="1420" t="s">
        <v>55</v>
      </c>
      <c r="B3" s="1405" t="s">
        <v>947</v>
      </c>
      <c r="G3" s="1421"/>
    </row>
    <row r="4" spans="1:7">
      <c r="G4" s="1421"/>
    </row>
    <row r="5" spans="1:7">
      <c r="A5" s="1423" t="s">
        <v>46</v>
      </c>
      <c r="B5" s="1405" t="s">
        <v>948</v>
      </c>
      <c r="G5" s="1421"/>
    </row>
    <row r="6" spans="1:7">
      <c r="G6" s="1421"/>
    </row>
    <row r="7" spans="1:7">
      <c r="A7" s="1424" t="s">
        <v>108</v>
      </c>
      <c r="B7" s="1405" t="s">
        <v>949</v>
      </c>
      <c r="G7" s="1421"/>
    </row>
    <row r="8" spans="1:7">
      <c r="G8" s="1421"/>
    </row>
    <row r="9" spans="1:7">
      <c r="A9" s="1425" t="s">
        <v>47</v>
      </c>
      <c r="B9" s="1405" t="s">
        <v>950</v>
      </c>
    </row>
    <row r="11" spans="1:7">
      <c r="A11" s="1426" t="s">
        <v>48</v>
      </c>
      <c r="B11" s="1427" t="s">
        <v>45</v>
      </c>
    </row>
    <row r="13" spans="1:7">
      <c r="A13" s="1428" t="s">
        <v>951</v>
      </c>
    </row>
    <row r="15" spans="1:7" ht="13.5">
      <c r="A15" s="3227" t="s">
        <v>952</v>
      </c>
      <c r="B15" s="3222" t="s">
        <v>109</v>
      </c>
      <c r="C15" s="3223"/>
    </row>
    <row r="16" spans="1:7" ht="13.5">
      <c r="A16" s="3228"/>
      <c r="B16" s="3222" t="s">
        <v>42</v>
      </c>
      <c r="C16" s="3223"/>
    </row>
    <row r="17" spans="1:3" ht="13.5">
      <c r="A17" s="3228"/>
      <c r="B17" s="3225" t="s">
        <v>953</v>
      </c>
      <c r="C17" s="1429" t="s">
        <v>952</v>
      </c>
    </row>
    <row r="18" spans="1:3" ht="13.5">
      <c r="A18" s="3228"/>
      <c r="B18" s="3225"/>
      <c r="C18" s="1429" t="s">
        <v>954</v>
      </c>
    </row>
    <row r="19" spans="1:3" ht="13.5">
      <c r="A19" s="3228"/>
      <c r="B19" s="3225"/>
      <c r="C19" s="1429" t="s">
        <v>955</v>
      </c>
    </row>
    <row r="20" spans="1:3" ht="13.5">
      <c r="A20" s="3229"/>
      <c r="B20" s="3224" t="s">
        <v>956</v>
      </c>
      <c r="C20" s="3223"/>
    </row>
    <row r="21" spans="1:3" ht="13.5">
      <c r="A21" s="1430" t="s">
        <v>957</v>
      </c>
      <c r="B21" s="1431"/>
      <c r="C21" s="1432"/>
    </row>
    <row r="22" spans="1:3" ht="13.5">
      <c r="A22" s="3226" t="s">
        <v>958</v>
      </c>
      <c r="B22" s="3224" t="s">
        <v>959</v>
      </c>
      <c r="C22" s="3223"/>
    </row>
    <row r="23" spans="1:3" ht="13.5">
      <c r="A23" s="3226"/>
      <c r="B23" s="3224" t="s">
        <v>960</v>
      </c>
      <c r="C23" s="3223"/>
    </row>
    <row r="24" spans="1:3" ht="13.5">
      <c r="A24" s="3226"/>
      <c r="B24" s="3224" t="s">
        <v>961</v>
      </c>
      <c r="C24" s="3223"/>
    </row>
    <row r="25" spans="1:3" ht="13.5">
      <c r="A25" s="3226"/>
      <c r="B25" s="3225" t="s">
        <v>962</v>
      </c>
      <c r="C25" s="1429" t="s">
        <v>963</v>
      </c>
    </row>
    <row r="26" spans="1:3" ht="13.5">
      <c r="A26" s="3226"/>
      <c r="B26" s="3225"/>
      <c r="C26" s="1429" t="s">
        <v>964</v>
      </c>
    </row>
    <row r="27" spans="1:3" ht="13.5">
      <c r="A27" s="3226"/>
      <c r="B27" s="3225"/>
      <c r="C27" s="1429" t="s">
        <v>965</v>
      </c>
    </row>
    <row r="28" spans="1:3" ht="13.5">
      <c r="A28" s="3226"/>
      <c r="B28" s="3225"/>
      <c r="C28" s="1429" t="s">
        <v>966</v>
      </c>
    </row>
    <row r="29" spans="1:3" ht="13.5">
      <c r="A29" s="3226"/>
      <c r="B29" s="3225"/>
      <c r="C29" s="1429" t="s">
        <v>967</v>
      </c>
    </row>
    <row r="30" spans="1:3" ht="13.5">
      <c r="A30" s="3226"/>
      <c r="B30" s="3225"/>
      <c r="C30" s="1429" t="s">
        <v>968</v>
      </c>
    </row>
    <row r="31" spans="1:3" ht="13.5">
      <c r="A31" s="3226"/>
      <c r="B31" s="3225"/>
      <c r="C31" s="1429" t="s">
        <v>969</v>
      </c>
    </row>
    <row r="32" spans="1:3" ht="13.5">
      <c r="A32" s="3226"/>
      <c r="B32" s="3225"/>
      <c r="C32" s="1429" t="s">
        <v>970</v>
      </c>
    </row>
    <row r="33" spans="1:3" ht="13.5">
      <c r="A33" s="3226"/>
      <c r="B33" s="3225"/>
      <c r="C33" s="1429" t="s">
        <v>971</v>
      </c>
    </row>
    <row r="34" spans="1:3">
      <c r="A34" s="1433" t="s">
        <v>49</v>
      </c>
    </row>
    <row r="37" spans="1:3">
      <c r="A37" s="1433" t="s">
        <v>972</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2133</v>
      </c>
      <c r="B2" s="2157">
        <f ca="1">TODAY()</f>
        <v>46015</v>
      </c>
      <c r="C2" s="2158" t="s">
        <v>2134</v>
      </c>
      <c r="D2" s="2158"/>
      <c r="E2" s="2158"/>
      <c r="F2" s="2154"/>
      <c r="G2" s="2154"/>
      <c r="H2" s="2154"/>
    </row>
    <row r="3" spans="1:8" ht="24" customHeight="1">
      <c r="A3" s="2159" t="s">
        <v>2135</v>
      </c>
      <c r="B3" s="1219" t="s">
        <v>2136</v>
      </c>
      <c r="C3" s="1219" t="s">
        <v>2137</v>
      </c>
      <c r="D3" s="2160" t="s">
        <v>2138</v>
      </c>
      <c r="E3" s="2161" t="s">
        <v>2139</v>
      </c>
      <c r="F3" s="1219" t="s">
        <v>2140</v>
      </c>
      <c r="G3" s="1219" t="s">
        <v>2137</v>
      </c>
      <c r="H3" s="2160" t="s">
        <v>2141</v>
      </c>
    </row>
    <row r="4" spans="1:8" ht="24" customHeight="1">
      <c r="A4" s="1219" t="s">
        <v>2142</v>
      </c>
      <c r="B4" s="1219" t="str">
        <f ca="1">IF(C4&lt;B2,"已过期",1119970066)</f>
        <v>已过期</v>
      </c>
      <c r="C4" s="2162">
        <v>45937</v>
      </c>
      <c r="D4" s="2163" t="str">
        <f ca="1">A4&amp;"（注册号："&amp;B4&amp;"）"</f>
        <v>梁津（注册号：已过期）</v>
      </c>
      <c r="E4" s="2164" t="s">
        <v>2142</v>
      </c>
      <c r="F4" s="1219">
        <f ca="1">IF(G4&lt;B2,"已过期",96010014)</f>
        <v>96010014</v>
      </c>
      <c r="G4" s="2165">
        <v>47118</v>
      </c>
      <c r="H4" s="2166" t="str">
        <f ca="1">E4&amp;"（注册号："&amp;F4&amp;"）"</f>
        <v>梁津（注册号：96010014）</v>
      </c>
    </row>
    <row r="5" spans="1:8" ht="24" customHeight="1">
      <c r="A5" s="1219" t="s">
        <v>2143</v>
      </c>
      <c r="B5" s="1219" t="str">
        <f ca="1">IF(C5&lt;B2,"已过期",1119970111)</f>
        <v>已过期</v>
      </c>
      <c r="C5" s="2162">
        <v>45937</v>
      </c>
      <c r="D5" s="2163" t="str">
        <f t="shared" ref="D5:D15" ca="1" si="0">A5&amp;"（注册号："&amp;B5&amp;"）"</f>
        <v>叶凌（注册号：已过期）</v>
      </c>
      <c r="E5" s="2164" t="s">
        <v>2143</v>
      </c>
      <c r="F5" s="1219">
        <f ca="1">IF(G5&lt;B2,"已过期",94010078)</f>
        <v>94010078</v>
      </c>
      <c r="G5" s="2165">
        <v>46387</v>
      </c>
      <c r="H5" s="2166" t="str">
        <f t="shared" ref="H5:H16" ca="1" si="1">E5&amp;"（注册号："&amp;F5&amp;"）"</f>
        <v>叶凌（注册号：94010078）</v>
      </c>
    </row>
    <row r="6" spans="1:8" ht="24" customHeight="1">
      <c r="A6" s="1219" t="s">
        <v>2144</v>
      </c>
      <c r="B6" s="1219" t="str">
        <f ca="1">IF(C6&lt;B2,"已过期",1120050019)</f>
        <v>已过期</v>
      </c>
      <c r="C6" s="2162">
        <v>45410</v>
      </c>
      <c r="D6" s="2163" t="str">
        <f t="shared" ca="1" si="0"/>
        <v>王鹏（注册号：已过期）</v>
      </c>
      <c r="E6" s="2164" t="s">
        <v>2144</v>
      </c>
      <c r="F6" s="1219">
        <f ca="1">IF(G6&lt;B2,"已过期",2002110030)</f>
        <v>2002110030</v>
      </c>
      <c r="G6" s="2165">
        <v>46387</v>
      </c>
      <c r="H6" s="2166" t="str">
        <f t="shared" ca="1" si="1"/>
        <v>王鹏（注册号：2002110030）</v>
      </c>
    </row>
    <row r="7" spans="1:8" ht="24" customHeight="1">
      <c r="A7" s="1219" t="s">
        <v>2145</v>
      </c>
      <c r="B7" s="1219" t="str">
        <f ca="1">IF(C7&lt;B2,"已过期",1120000080)</f>
        <v>已过期</v>
      </c>
      <c r="C7" s="2162">
        <v>45937</v>
      </c>
      <c r="D7" s="2163" t="str">
        <f t="shared" ca="1" si="0"/>
        <v>欧红伟（注册号：已过期）</v>
      </c>
      <c r="E7" s="2164" t="s">
        <v>2145</v>
      </c>
      <c r="F7" s="1219">
        <f ca="1">IF(G7&lt;B2,"已过期",2000110082)</f>
        <v>2000110082</v>
      </c>
      <c r="G7" s="2165">
        <v>46387</v>
      </c>
      <c r="H7" s="2166" t="str">
        <f t="shared" ca="1" si="1"/>
        <v>欧红伟（注册号：2000110082）</v>
      </c>
    </row>
    <row r="8" spans="1:8" ht="24" customHeight="1">
      <c r="A8" s="1219" t="s">
        <v>2146</v>
      </c>
      <c r="B8" s="1219" t="str">
        <f ca="1">IF(C8&lt;B2,"已过期",1419970001)</f>
        <v>已过期</v>
      </c>
      <c r="C8" s="2162">
        <v>45937</v>
      </c>
      <c r="D8" s="2163" t="str">
        <f t="shared" ca="1" si="0"/>
        <v>吴薇（注册号：已过期）</v>
      </c>
      <c r="E8" s="2164" t="s">
        <v>2146</v>
      </c>
      <c r="F8" s="1219">
        <f ca="1">IF(G8&lt;B2,"已过期",2002110125)</f>
        <v>2002110125</v>
      </c>
      <c r="G8" s="2165">
        <v>47118</v>
      </c>
      <c r="H8" s="2166" t="str">
        <f t="shared" ca="1" si="1"/>
        <v>吴薇（注册号：2002110125）</v>
      </c>
    </row>
    <row r="9" spans="1:8" ht="24" customHeight="1">
      <c r="A9" s="1219" t="s">
        <v>2147</v>
      </c>
      <c r="B9" s="1219" t="str">
        <f ca="1">IF(C9&lt;B2,"已过期",1120060040)</f>
        <v>已过期</v>
      </c>
      <c r="C9" s="2167">
        <v>45592</v>
      </c>
      <c r="D9" s="2163" t="str">
        <f t="shared" ca="1" si="0"/>
        <v>陈颖（注册号：已过期）</v>
      </c>
      <c r="E9" s="2164" t="s">
        <v>2147</v>
      </c>
      <c r="F9" s="1219">
        <f ca="1">IF(G9&lt;B2,"已过期",2004110096)</f>
        <v>2004110096</v>
      </c>
      <c r="G9" s="2165">
        <v>47118</v>
      </c>
      <c r="H9" s="2166" t="str">
        <f t="shared" ca="1" si="1"/>
        <v>陈颖（注册号：2004110096）</v>
      </c>
    </row>
    <row r="10" spans="1:8" ht="24" customHeight="1">
      <c r="A10" s="1219" t="s">
        <v>2148</v>
      </c>
      <c r="B10" s="1219" t="str">
        <f ca="1">IF(C10&lt;B2,"已过期",1120100036)</f>
        <v>已过期</v>
      </c>
      <c r="C10" s="2167">
        <v>45752</v>
      </c>
      <c r="D10" s="2163" t="str">
        <f t="shared" ca="1" si="0"/>
        <v>崔锴（注册号：已过期）</v>
      </c>
      <c r="E10" s="2164" t="s">
        <v>2148</v>
      </c>
      <c r="F10" s="1219">
        <f ca="1">IF(G10&lt;B2,"已过期",2010110070)</f>
        <v>2010110070</v>
      </c>
      <c r="G10" s="2165">
        <v>47907</v>
      </c>
      <c r="H10" s="2166" t="str">
        <f t="shared" ca="1" si="1"/>
        <v>崔锴（注册号：2010110070）</v>
      </c>
    </row>
    <row r="11" spans="1:8" ht="24" customHeight="1">
      <c r="A11" s="1219" t="s">
        <v>2149</v>
      </c>
      <c r="B11" s="1219" t="str">
        <f ca="1">IF(C11&lt;B2,"已过期",1120070131)</f>
        <v>已过期</v>
      </c>
      <c r="C11" s="2162">
        <v>45937</v>
      </c>
      <c r="D11" s="2163" t="str">
        <f t="shared" ca="1" si="0"/>
        <v>郑燚（注册号：已过期）</v>
      </c>
      <c r="E11" s="2164" t="s">
        <v>2149</v>
      </c>
      <c r="F11" s="1219">
        <f ca="1">IF(G11&lt;B2,"已过期",2014110011)</f>
        <v>2014110011</v>
      </c>
      <c r="G11" s="2165">
        <v>49302</v>
      </c>
      <c r="H11" s="2166" t="str">
        <f t="shared" ca="1" si="1"/>
        <v>郑燚（注册号：2014110011）</v>
      </c>
    </row>
    <row r="12" spans="1:8" ht="24" customHeight="1">
      <c r="A12" s="1219" t="s">
        <v>2150</v>
      </c>
      <c r="B12" s="1219" t="str">
        <f ca="1">IF(C12&lt;B2,"已过期",1120040230)</f>
        <v>已过期</v>
      </c>
      <c r="C12" s="2167">
        <v>45937</v>
      </c>
      <c r="D12" s="2163" t="str">
        <f t="shared" ca="1" si="0"/>
        <v>苏海（注册号：已过期）</v>
      </c>
      <c r="E12" s="2164" t="s">
        <v>2150</v>
      </c>
      <c r="F12" s="1219">
        <f ca="1">IF(G12&lt;B2,"已过期",98030020)</f>
        <v>98030020</v>
      </c>
      <c r="G12" s="2165">
        <v>47118</v>
      </c>
      <c r="H12" s="2166" t="str">
        <f t="shared" ca="1" si="1"/>
        <v>苏海（注册号：98030020）</v>
      </c>
    </row>
    <row r="13" spans="1:8" ht="24" customHeight="1">
      <c r="A13" s="1219" t="s">
        <v>2151</v>
      </c>
      <c r="B13" s="1219" t="str">
        <f ca="1">IF(C13&lt;B2,"已过期",1120020033)</f>
        <v>已过期</v>
      </c>
      <c r="C13" s="2162">
        <v>45375</v>
      </c>
      <c r="D13" s="2163" t="str">
        <f t="shared" ca="1" si="0"/>
        <v>刘敬东（注册号：已过期）</v>
      </c>
      <c r="E13" s="2164" t="s">
        <v>2151</v>
      </c>
      <c r="F13" s="1219">
        <f ca="1">IF(G13&lt;B2,"已过期",2000110137)</f>
        <v>2000110137</v>
      </c>
      <c r="G13" s="2165">
        <v>46387</v>
      </c>
      <c r="H13" s="2166" t="str">
        <f t="shared" ca="1" si="1"/>
        <v>刘敬东（注册号：2000110137）</v>
      </c>
    </row>
    <row r="14" spans="1:8" ht="24" customHeight="1">
      <c r="A14" s="1219" t="s">
        <v>2152</v>
      </c>
      <c r="B14" s="1219" t="str">
        <f ca="1">IF(C14&lt;B2,"已过期",1119980106)</f>
        <v>已过期</v>
      </c>
      <c r="C14" s="2167">
        <v>44969</v>
      </c>
      <c r="D14" s="2163" t="str">
        <f t="shared" ca="1" si="0"/>
        <v>刘俊财（注册号：已过期）</v>
      </c>
      <c r="E14" s="2164" t="s">
        <v>2152</v>
      </c>
      <c r="F14" s="1219">
        <f ca="1">IF(G14&lt;B2,"已过期",96010063)</f>
        <v>96010063</v>
      </c>
      <c r="G14" s="2165">
        <v>47483</v>
      </c>
      <c r="H14" s="2166" t="str">
        <f t="shared" ca="1" si="1"/>
        <v>刘俊财（注册号：96010063）</v>
      </c>
    </row>
    <row r="15" spans="1:8" ht="24" customHeight="1">
      <c r="A15" s="1219" t="s">
        <v>2422</v>
      </c>
      <c r="B15" s="1219">
        <v>1120210056</v>
      </c>
      <c r="C15" s="2167">
        <v>45410</v>
      </c>
      <c r="D15" s="2163" t="str">
        <f t="shared" si="0"/>
        <v>宁小鳗（注册号：1120210056）</v>
      </c>
      <c r="E15" s="2164" t="s">
        <v>2153</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0" t="s">
        <v>2154</v>
      </c>
      <c r="B17" s="3230"/>
      <c r="C17" s="3230"/>
      <c r="D17" s="3230"/>
      <c r="E17" s="3230"/>
      <c r="F17" s="3230"/>
      <c r="G17" s="3230"/>
      <c r="H17" s="3230"/>
    </row>
    <row r="18" spans="1:8" ht="24" customHeight="1">
      <c r="A18" s="3231" t="s">
        <v>2155</v>
      </c>
      <c r="B18" s="3231"/>
      <c r="C18" s="3231"/>
      <c r="D18" s="2160"/>
      <c r="E18" s="3232" t="s">
        <v>2156</v>
      </c>
      <c r="F18" s="3231"/>
      <c r="G18" s="3231"/>
    </row>
    <row r="19" spans="1:8" s="2170" customFormat="1" ht="24" customHeight="1">
      <c r="A19" s="2169" t="s">
        <v>2157</v>
      </c>
      <c r="B19" s="1219" t="s">
        <v>2158</v>
      </c>
      <c r="C19" s="1219" t="s">
        <v>2137</v>
      </c>
      <c r="D19" s="2160"/>
      <c r="E19" s="2164" t="s">
        <v>2157</v>
      </c>
      <c r="F19" s="1219" t="s">
        <v>2158</v>
      </c>
      <c r="G19" s="1219" t="s">
        <v>2137</v>
      </c>
    </row>
    <row r="20" spans="1:8" s="2170" customFormat="1" ht="24" customHeight="1">
      <c r="A20" s="2171" t="s">
        <v>2159</v>
      </c>
      <c r="B20" s="2171" t="s">
        <v>2160</v>
      </c>
      <c r="C20" s="2165">
        <v>45898</v>
      </c>
      <c r="D20" s="2172"/>
      <c r="E20" s="2173" t="s">
        <v>2161</v>
      </c>
      <c r="F20" s="2176" t="s">
        <v>2423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3" priority="32" stopIfTrue="1" operator="equal">
      <formula>"已过期"</formula>
    </cfRule>
  </conditionalFormatting>
  <conditionalFormatting sqref="B4:B15">
    <cfRule type="cellIs" dxfId="172" priority="4" stopIfTrue="1" operator="equal">
      <formula>"已过期"</formula>
    </cfRule>
  </conditionalFormatting>
  <conditionalFormatting sqref="C7:C12">
    <cfRule type="expression" dxfId="171" priority="22">
      <formula>AND($C7-TODAY()&lt;30,TODAY()&lt;$C7)</formula>
    </cfRule>
    <cfRule type="cellIs" dxfId="170" priority="23" stopIfTrue="1" operator="lessThan">
      <formula>$B$2</formula>
    </cfRule>
  </conditionalFormatting>
  <conditionalFormatting sqref="C14:C15">
    <cfRule type="expression" dxfId="169" priority="7">
      <formula>AND($C14-TODAY()&lt;30,TODAY()&lt;$C14)</formula>
    </cfRule>
    <cfRule type="cellIs" dxfId="168" priority="8" stopIfTrue="1" operator="lessThan">
      <formula>$B$2</formula>
    </cfRule>
  </conditionalFormatting>
  <conditionalFormatting sqref="C4:D6 D14">
    <cfRule type="cellIs" dxfId="167" priority="50" stopIfTrue="1" operator="lessThan">
      <formula>$B$2</formula>
    </cfRule>
  </conditionalFormatting>
  <conditionalFormatting sqref="C12:D13">
    <cfRule type="expression" dxfId="166" priority="47">
      <formula>AND($C12-TODAY()&lt;30,TODAY()&lt;$C12)</formula>
    </cfRule>
  </conditionalFormatting>
  <conditionalFormatting sqref="C13:D14">
    <cfRule type="expression" dxfId="165" priority="18">
      <formula>AND($C13-TODAY()&lt;30,TODAY()&lt;$C13)</formula>
    </cfRule>
    <cfRule type="cellIs" dxfId="164" priority="19" stopIfTrue="1" operator="lessThan">
      <formula>$B$2</formula>
    </cfRule>
  </conditionalFormatting>
  <conditionalFormatting sqref="C15:D15">
    <cfRule type="expression" dxfId="163" priority="5">
      <formula>AND($C15-TODAY()&lt;30,TODAY()&lt;$C15)</formula>
    </cfRule>
    <cfRule type="cellIs" dxfId="162" priority="6" stopIfTrue="1" operator="lessThan">
      <formula>$B$2</formula>
    </cfRule>
  </conditionalFormatting>
  <conditionalFormatting sqref="C20:D20 C13:D13">
    <cfRule type="cellIs" dxfId="161" priority="54" stopIfTrue="1" operator="lessThan">
      <formula>$B$2</formula>
    </cfRule>
  </conditionalFormatting>
  <conditionalFormatting sqref="C20:D20">
    <cfRule type="expression" dxfId="160" priority="52">
      <formula>AND($C20-TODAY()&lt;30,TODAY()&lt;$C20)</formula>
    </cfRule>
  </conditionalFormatting>
  <conditionalFormatting sqref="D7:D12 D16">
    <cfRule type="expression" dxfId="159" priority="53">
      <formula>AND($C7-TODAY()&lt;30,TODAY()&lt;$C7)</formula>
    </cfRule>
  </conditionalFormatting>
  <conditionalFormatting sqref="D7:D12">
    <cfRule type="cellIs" dxfId="158" priority="48" stopIfTrue="1" operator="lessThan">
      <formula>$B$2</formula>
    </cfRule>
  </conditionalFormatting>
  <conditionalFormatting sqref="D14 C4:D6">
    <cfRule type="expression" dxfId="157" priority="49">
      <formula>AND($C4-TODAY()&lt;30,TODAY()&lt;$C4)</formula>
    </cfRule>
  </conditionalFormatting>
  <conditionalFormatting sqref="D15:D16">
    <cfRule type="expression" dxfId="156" priority="12">
      <formula>AND($C15-TODAY()&lt;30,TODAY()&lt;$C15)</formula>
    </cfRule>
    <cfRule type="cellIs" dxfId="155" priority="13" stopIfTrue="1" operator="lessThan">
      <formula>$B$2</formula>
    </cfRule>
  </conditionalFormatting>
  <conditionalFormatting sqref="E16:G16">
    <cfRule type="cellIs" dxfId="154" priority="31" stopIfTrue="1" operator="equal">
      <formula>"已过期"</formula>
    </cfRule>
  </conditionalFormatting>
  <conditionalFormatting sqref="F4:F15">
    <cfRule type="cellIs" dxfId="153" priority="9" stopIfTrue="1" operator="equal">
      <formula>"已过期"</formula>
    </cfRule>
  </conditionalFormatting>
  <conditionalFormatting sqref="G4:G15">
    <cfRule type="cellIs" dxfId="152" priority="3" stopIfTrue="1" operator="lessThan">
      <formula>$B$2</formula>
    </cfRule>
  </conditionalFormatting>
  <conditionalFormatting sqref="G20:G21">
    <cfRule type="expression" dxfId="151" priority="1" stopIfTrue="1">
      <formula>AND(#REF!-TODAY()&lt;30,TODAY()&lt;#REF!)</formula>
    </cfRule>
    <cfRule type="cellIs" dxfId="15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180</vt:i4>
      </vt:variant>
    </vt:vector>
  </HeadingPairs>
  <TitlesOfParts>
    <vt:vector size="23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12.12面积</vt:lpstr>
      <vt:lpstr>12.23面积</vt:lpstr>
      <vt:lpstr>数据-汇总表</vt:lpstr>
      <vt:lpstr>数据-取费表</vt:lpstr>
      <vt:lpstr>估价对象房地状况</vt:lpstr>
      <vt:lpstr>系统读取表</vt:lpstr>
      <vt:lpstr>土地比较法-住宅、综合</vt:lpstr>
      <vt:lpstr>结果表-住宅</vt:lpstr>
      <vt:lpstr>成本法-住宅</vt:lpstr>
      <vt:lpstr>比较法-住宅</vt:lpstr>
      <vt:lpstr>住宅案例</vt:lpstr>
      <vt:lpstr>典型户型修正-住宅</vt:lpstr>
      <vt:lpstr>典型户型修正-住宅2</vt:lpstr>
      <vt:lpstr>结果表-地下仓储</vt:lpstr>
      <vt:lpstr>成本法</vt:lpstr>
      <vt:lpstr>假设开发法</vt:lpstr>
      <vt:lpstr>收益法</vt:lpstr>
      <vt:lpstr>收益法 (元)</vt:lpstr>
      <vt:lpstr>收益法-酒店模型</vt:lpstr>
      <vt:lpstr>收益法（汇总）</vt:lpstr>
      <vt:lpstr>成本法-地下仓储</vt:lpstr>
      <vt:lpstr>比较法-商业</vt:lpstr>
      <vt:lpstr>比较法-办公</vt:lpstr>
      <vt:lpstr>比较法-工业</vt:lpstr>
      <vt:lpstr>比较法-车位</vt:lpstr>
      <vt:lpstr>比较法-仓储</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地下仓储案例</vt:lpstr>
      <vt:lpstr>典型户型修正-地下仓储</vt:lpstr>
      <vt:lpstr>典型户型修正-地下仓储2</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'成本法-地下仓储'!Print_Area</vt:lpstr>
      <vt:lpstr>'成本法-住宅'!Print_Area</vt:lpstr>
      <vt:lpstr>估价对象房地状况!Print_Area</vt:lpstr>
      <vt:lpstr>估价师及机构信息!Print_Area</vt:lpstr>
      <vt:lpstr>'基准地价（汇总）'!Print_Area</vt:lpstr>
      <vt:lpstr>基准地价修正!Print_Area</vt:lpstr>
      <vt:lpstr>假设开发法!Print_Area</vt:lpstr>
      <vt:lpstr>'结果表-地下仓储'!Print_Area</vt:lpstr>
      <vt:lpstr>'结果表-住宅'!Print_Area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'典型户型修正-地下仓储'!一修多修正项2</vt:lpstr>
      <vt:lpstr>'典型户型修正-地下仓储2'!一修多修正项2</vt:lpstr>
      <vt:lpstr>'典型户型修正-住宅2'!一修多修正项2</vt:lpstr>
      <vt:lpstr>一修多修正项2</vt:lpstr>
      <vt:lpstr>'典型户型修正-地下仓储'!一修多修正项3</vt:lpstr>
      <vt:lpstr>'典型户型修正-地下仓储2'!一修多修正项3</vt:lpstr>
      <vt:lpstr>'典型户型修正-住宅2'!一修多修正项3</vt:lpstr>
      <vt:lpstr>一修多修正项3</vt:lpstr>
      <vt:lpstr>'典型户型修正-地下仓储'!一修多修正项4</vt:lpstr>
      <vt:lpstr>'典型户型修正-地下仓储2'!一修多修正项4</vt:lpstr>
      <vt:lpstr>'典型户型修正-住宅2'!一修多修正项4</vt:lpstr>
      <vt:lpstr>一修多修正项4</vt:lpstr>
      <vt:lpstr>'典型户型修正-地下仓储'!一修多修正项5</vt:lpstr>
      <vt:lpstr>'典型户型修正-地下仓储2'!一修多修正项5</vt:lpstr>
      <vt:lpstr>'典型户型修正-住宅2'!一修多修正项5</vt:lpstr>
      <vt:lpstr>一修多修正项5</vt:lpstr>
      <vt:lpstr>'典型户型修正-地下仓储'!一修多修正项6</vt:lpstr>
      <vt:lpstr>'典型户型修正-地下仓储2'!一修多修正项6</vt:lpstr>
      <vt:lpstr>'典型户型修正-住宅2'!一修多修正项6</vt:lpstr>
      <vt:lpstr>一修多修正项6</vt:lpstr>
      <vt:lpstr>'典型户型修正-地下仓储'!一修多修正项7</vt:lpstr>
      <vt:lpstr>'典型户型修正-地下仓储2'!一修多修正项7</vt:lpstr>
      <vt:lpstr>'典型户型修正-住宅2'!一修多修正项7</vt:lpstr>
      <vt:lpstr>一修多修正项7</vt:lpstr>
      <vt:lpstr>'典型户型修正-地下仓储'!一修多修正项8</vt:lpstr>
      <vt:lpstr>'典型户型修正-地下仓储2'!一修多修正项8</vt:lpstr>
      <vt:lpstr>'典型户型修正-住宅2'!一修多修正项8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2025-12-24T05:29:11Z</dcterms:modified>
</cp:coreProperties>
</file>