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43CD2D95-99F5-4102-81EC-DE033911C35E}" xr6:coauthVersionLast="47" xr6:coauthVersionMax="47" xr10:uidLastSave="{00000000-0000-0000-0000-000000000000}"/>
  <bookViews>
    <workbookView xWindow="-108" yWindow="-108" windowWidth="20376" windowHeight="1221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面积信息价值表" sheetId="80" r:id="rId18"/>
    <sheet name="典型户型修正" sheetId="31"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 sheetId="9"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41">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B14" i="74"/>
  <c r="G14" i="74"/>
  <c r="R24" i="31"/>
  <c r="I3" i="80"/>
  <c r="B26" i="31"/>
  <c r="B27" i="31"/>
  <c r="B25" i="31"/>
  <c r="A26" i="31"/>
  <c r="A27" i="31"/>
  <c r="A25" i="31"/>
  <c r="E4" i="31"/>
  <c r="D4" i="31"/>
  <c r="B24" i="3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R18" i="79"/>
  <c r="AR19" i="79" s="1"/>
  <c r="AR20" i="79" s="1"/>
  <c r="AR21" i="79" s="1"/>
  <c r="AR22" i="79" s="1"/>
  <c r="AR23" i="79" s="1"/>
  <c r="AR24" i="79" s="1"/>
  <c r="S20" i="79"/>
  <c r="AG20" i="79" s="1"/>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41" i="79"/>
  <c r="AK41" i="79" s="1"/>
  <c r="AH41" i="79"/>
  <c r="W44" i="79"/>
  <c r="AK44" i="79" s="1"/>
  <c r="AH44" i="79"/>
  <c r="W33" i="79"/>
  <c r="AK33" i="79" s="1"/>
  <c r="AH33" i="79"/>
  <c r="W35" i="79"/>
  <c r="AK35" i="79" s="1"/>
  <c r="AH35" i="79"/>
  <c r="W23" i="79"/>
  <c r="AK23" i="79" s="1"/>
  <c r="AH23" i="79"/>
  <c r="W12" i="79"/>
  <c r="AK12" i="79" s="1"/>
  <c r="AH12" i="79"/>
  <c r="W21" i="79"/>
  <c r="AK21" i="79" s="1"/>
  <c r="AH21" i="79"/>
  <c r="W47" i="79"/>
  <c r="AK47" i="79" s="1"/>
  <c r="AH47" i="79"/>
  <c r="W45" i="79"/>
  <c r="AK45" i="79" s="1"/>
  <c r="AH45" i="79"/>
  <c r="W14" i="79"/>
  <c r="AK14" i="79" s="1"/>
  <c r="AH14" i="79"/>
  <c r="W51" i="79"/>
  <c r="AK51" i="79" s="1"/>
  <c r="AH51" i="79"/>
  <c r="W46" i="79"/>
  <c r="AK46" i="79" s="1"/>
  <c r="AH46" i="79"/>
  <c r="W15" i="79"/>
  <c r="AK15" i="79" s="1"/>
  <c r="AH15" i="79"/>
  <c r="W13" i="79"/>
  <c r="AK13" i="79" s="1"/>
  <c r="AH13" i="79"/>
  <c r="W48" i="79"/>
  <c r="AK48" i="79" s="1"/>
  <c r="AH48" i="79"/>
  <c r="W49" i="79"/>
  <c r="AK49" i="79" s="1"/>
  <c r="AH49" i="79"/>
  <c r="W43" i="79"/>
  <c r="AK43" i="79" s="1"/>
  <c r="AH43" i="79"/>
  <c r="W38" i="79"/>
  <c r="AK38" i="79" s="1"/>
  <c r="AH38"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S30" i="31" s="1"/>
  <c r="R31" i="31"/>
  <c r="S31" i="31" s="1"/>
  <c r="R32" i="31"/>
  <c r="S32" i="31" s="1"/>
  <c r="R33" i="31"/>
  <c r="R34" i="31"/>
  <c r="R35" i="31"/>
  <c r="S35" i="31" s="1"/>
  <c r="R36" i="31"/>
  <c r="S36" i="31" s="1"/>
  <c r="R37" i="3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R71" i="31"/>
  <c r="S71" i="31" s="1"/>
  <c r="R72" i="31"/>
  <c r="S72" i="31" s="1"/>
  <c r="R73" i="31"/>
  <c r="S73" i="31" s="1"/>
  <c r="R74" i="31"/>
  <c r="S74" i="31" s="1"/>
  <c r="R75" i="31"/>
  <c r="S75" i="31" s="1"/>
  <c r="R76" i="31"/>
  <c r="S76" i="31" s="1"/>
  <c r="R77" i="31"/>
  <c r="R78" i="31"/>
  <c r="S78" i="31" s="1"/>
  <c r="R79" i="31"/>
  <c r="R80" i="31"/>
  <c r="S80" i="31" s="1"/>
  <c r="R81" i="31"/>
  <c r="R82" i="31"/>
  <c r="R83" i="31"/>
  <c r="S83" i="31" s="1"/>
  <c r="R84" i="31"/>
  <c r="S84" i="31" s="1"/>
  <c r="R85" i="31"/>
  <c r="R86" i="31"/>
  <c r="S86" i="31" s="1"/>
  <c r="R87" i="31"/>
  <c r="S87" i="31" s="1"/>
  <c r="R88" i="31"/>
  <c r="S88" i="31" s="1"/>
  <c r="R89" i="31"/>
  <c r="S89" i="31" s="1"/>
  <c r="R90" i="31"/>
  <c r="S90" i="31" s="1"/>
  <c r="R91" i="31"/>
  <c r="R92" i="31"/>
  <c r="S92" i="31" s="1"/>
  <c r="R93" i="31"/>
  <c r="R94" i="31"/>
  <c r="S94" i="31" s="1"/>
  <c r="R95" i="3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S121" i="31" s="1"/>
  <c r="R122" i="31"/>
  <c r="S122" i="31" s="1"/>
  <c r="R123" i="31"/>
  <c r="S123" i="31" s="1"/>
  <c r="R124" i="31"/>
  <c r="S124" i="31" s="1"/>
  <c r="R125" i="31"/>
  <c r="R126" i="31"/>
  <c r="R127" i="31"/>
  <c r="S127" i="31" s="1"/>
  <c r="R128" i="31"/>
  <c r="S128" i="31" s="1"/>
  <c r="R129" i="31"/>
  <c r="S129" i="31" s="1"/>
  <c r="R130" i="31"/>
  <c r="S130" i="31" s="1"/>
  <c r="R131" i="31"/>
  <c r="R132" i="31"/>
  <c r="S132" i="31" s="1"/>
  <c r="R133" i="31"/>
  <c r="S133" i="31" s="1"/>
  <c r="R134" i="31"/>
  <c r="S134" i="31" s="1"/>
  <c r="R135" i="31"/>
  <c r="R136" i="31"/>
  <c r="S136" i="31" s="1"/>
  <c r="R137" i="31"/>
  <c r="R138" i="31"/>
  <c r="S138" i="31" s="1"/>
  <c r="R139" i="31"/>
  <c r="S139" i="31" s="1"/>
  <c r="R140" i="31"/>
  <c r="S140" i="31" s="1"/>
  <c r="R141" i="31"/>
  <c r="S141" i="31" s="1"/>
  <c r="R142" i="31"/>
  <c r="S142" i="31" s="1"/>
  <c r="R143" i="31"/>
  <c r="S143" i="31" s="1"/>
  <c r="R144" i="31"/>
  <c r="S144" i="31" s="1"/>
  <c r="R145" i="31"/>
  <c r="R146" i="31"/>
  <c r="R147" i="31"/>
  <c r="R148" i="31"/>
  <c r="S148" i="31" s="1"/>
  <c r="R149" i="31"/>
  <c r="S149" i="31" s="1"/>
  <c r="R150" i="31"/>
  <c r="S150" i="31" s="1"/>
  <c r="R151" i="31"/>
  <c r="R152" i="31"/>
  <c r="S152" i="31" s="1"/>
  <c r="R153" i="31"/>
  <c r="R154" i="31"/>
  <c r="R155" i="31"/>
  <c r="S155" i="31" s="1"/>
  <c r="R156" i="31"/>
  <c r="S156" i="31" s="1"/>
  <c r="R157" i="31"/>
  <c r="S157" i="31" s="1"/>
  <c r="R158" i="31"/>
  <c r="S158" i="31" s="1"/>
  <c r="R159" i="31"/>
  <c r="S159" i="31" s="1"/>
  <c r="R160" i="31"/>
  <c r="S160" i="31" s="1"/>
  <c r="R161" i="31"/>
  <c r="R162" i="31"/>
  <c r="S162" i="31" s="1"/>
  <c r="R163" i="31"/>
  <c r="R164" i="31"/>
  <c r="S164" i="31" s="1"/>
  <c r="R165" i="31"/>
  <c r="R166" i="31"/>
  <c r="S166" i="31" s="1"/>
  <c r="R167" i="3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R180" i="31"/>
  <c r="S180" i="31" s="1"/>
  <c r="R181" i="31"/>
  <c r="R182" i="31"/>
  <c r="S182" i="31" s="1"/>
  <c r="R183" i="31"/>
  <c r="R184" i="31"/>
  <c r="S184" i="31" s="1"/>
  <c r="R185" i="31"/>
  <c r="S185" i="31" s="1"/>
  <c r="R186" i="31"/>
  <c r="S186" i="31" s="1"/>
  <c r="R187" i="31"/>
  <c r="S187" i="31" s="1"/>
  <c r="R188" i="31"/>
  <c r="S188" i="31" s="1"/>
  <c r="R189" i="31"/>
  <c r="R190" i="31"/>
  <c r="R191" i="31"/>
  <c r="S191" i="31" s="1"/>
  <c r="R192" i="31"/>
  <c r="S192" i="31" s="1"/>
  <c r="R193" i="31"/>
  <c r="S193" i="31" s="1"/>
  <c r="R194" i="31"/>
  <c r="S194" i="31" s="1"/>
  <c r="R195" i="31"/>
  <c r="R196" i="31"/>
  <c r="S196" i="31" s="1"/>
  <c r="R197" i="31"/>
  <c r="S197" i="31" s="1"/>
  <c r="R198" i="31"/>
  <c r="S198" i="31" s="1"/>
  <c r="R199" i="31"/>
  <c r="R200" i="31"/>
  <c r="S200" i="31" s="1"/>
  <c r="R201" i="31"/>
  <c r="R202" i="31"/>
  <c r="S202" i="31" s="1"/>
  <c r="R203" i="31"/>
  <c r="S203" i="31" s="1"/>
  <c r="R204" i="31"/>
  <c r="S204" i="31" s="1"/>
  <c r="R205" i="31"/>
  <c r="S205" i="31" s="1"/>
  <c r="R206" i="31"/>
  <c r="S206" i="31" s="1"/>
  <c r="R207" i="31"/>
  <c r="S207" i="31" s="1"/>
  <c r="R208" i="31"/>
  <c r="S208" i="31" s="1"/>
  <c r="R209" i="31"/>
  <c r="R210" i="31"/>
  <c r="R211" i="31"/>
  <c r="R212" i="31"/>
  <c r="S212" i="31" s="1"/>
  <c r="R213" i="31"/>
  <c r="S213" i="31" s="1"/>
  <c r="R214" i="31"/>
  <c r="S214" i="31" s="1"/>
  <c r="R215" i="31"/>
  <c r="R216" i="31"/>
  <c r="S216" i="31" s="1"/>
  <c r="R217" i="31"/>
  <c r="R218" i="31"/>
  <c r="R219" i="31"/>
  <c r="S219" i="31" s="1"/>
  <c r="R220" i="31"/>
  <c r="S220" i="31" s="1"/>
  <c r="R221" i="31"/>
  <c r="S221" i="31" s="1"/>
  <c r="R222" i="31"/>
  <c r="S222" i="31" s="1"/>
  <c r="R223" i="31"/>
  <c r="R224" i="31"/>
  <c r="S224" i="31" s="1"/>
  <c r="R225" i="31"/>
  <c r="R226" i="31"/>
  <c r="S226" i="31" s="1"/>
  <c r="R227" i="31"/>
  <c r="R228" i="31"/>
  <c r="S228" i="31" s="1"/>
  <c r="R229" i="31"/>
  <c r="S229" i="31" s="1"/>
  <c r="R230" i="31"/>
  <c r="S230" i="31" s="1"/>
  <c r="R231" i="31"/>
  <c r="S231" i="31" s="1"/>
  <c r="R232" i="31"/>
  <c r="S232" i="31" s="1"/>
  <c r="R233" i="31"/>
  <c r="R234" i="3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R504" i="31"/>
  <c r="S504" i="31" s="1"/>
  <c r="R505" i="31"/>
  <c r="R506" i="31"/>
  <c r="S506" i="31" s="1"/>
  <c r="R507" i="31"/>
  <c r="R508" i="3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R522" i="31"/>
  <c r="S522" i="31" s="1"/>
  <c r="R523" i="31"/>
  <c r="S523" i="31" s="1"/>
  <c r="R524" i="31"/>
  <c r="S524" i="31" s="1"/>
  <c r="C25" i="31"/>
  <c r="R25" i="31" s="1"/>
  <c r="C26" i="31"/>
  <c r="R26" i="31" s="1"/>
  <c r="C27" i="31"/>
  <c r="R27"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338" i="31"/>
  <c r="S318" i="31"/>
  <c r="S294" i="31"/>
  <c r="S274" i="31"/>
  <c r="S254" i="31"/>
  <c r="S249" i="31"/>
  <c r="S243" i="31"/>
  <c r="S241" i="31"/>
  <c r="S239" i="31"/>
  <c r="S234" i="31"/>
  <c r="S233" i="31"/>
  <c r="S227" i="31"/>
  <c r="S225" i="31"/>
  <c r="S223" i="31"/>
  <c r="S425" i="31"/>
  <c r="S218" i="31"/>
  <c r="S217" i="31"/>
  <c r="S215" i="31"/>
  <c r="S211" i="31"/>
  <c r="S210" i="31"/>
  <c r="S209" i="31"/>
  <c r="S201" i="31"/>
  <c r="S199" i="31"/>
  <c r="S195" i="31"/>
  <c r="S190" i="31"/>
  <c r="S189" i="31"/>
  <c r="S183" i="31"/>
  <c r="S181" i="31"/>
  <c r="S179" i="31"/>
  <c r="S173" i="31"/>
  <c r="S167" i="31"/>
  <c r="S165" i="31"/>
  <c r="S163" i="31"/>
  <c r="S161" i="31"/>
  <c r="S154" i="31"/>
  <c r="S153" i="31"/>
  <c r="S151" i="31"/>
  <c r="S147" i="31"/>
  <c r="S146" i="31"/>
  <c r="S145" i="31"/>
  <c r="S137" i="31"/>
  <c r="S135" i="31"/>
  <c r="S131" i="31"/>
  <c r="S126" i="31"/>
  <c r="S125" i="31"/>
  <c r="S495" i="31"/>
  <c r="S489" i="31"/>
  <c r="S487" i="31"/>
  <c r="S479" i="31"/>
  <c r="S471" i="31"/>
  <c r="S469" i="31"/>
  <c r="S439" i="31"/>
  <c r="S433" i="31"/>
  <c r="S432" i="31"/>
  <c r="S119" i="31"/>
  <c r="S117" i="31"/>
  <c r="S115" i="31"/>
  <c r="S113" i="31"/>
  <c r="S463" i="31"/>
  <c r="S457" i="31"/>
  <c r="S456" i="31"/>
  <c r="S451" i="31"/>
  <c r="S53" i="31"/>
  <c r="S49" i="31"/>
  <c r="S45" i="31"/>
  <c r="S43" i="31"/>
  <c r="S41" i="31"/>
  <c r="S39" i="31"/>
  <c r="S37" i="31"/>
  <c r="S34" i="31"/>
  <c r="S33" i="31"/>
  <c r="S77" i="31"/>
  <c r="S70" i="31"/>
  <c r="S69" i="31"/>
  <c r="S67" i="31"/>
  <c r="S65" i="31"/>
  <c r="S63" i="31"/>
  <c r="S61" i="31"/>
  <c r="S57" i="31"/>
  <c r="S24" i="31"/>
  <c r="H3" i="80" s="1"/>
  <c r="S95" i="31"/>
  <c r="S93" i="31"/>
  <c r="S91" i="31"/>
  <c r="S85" i="31"/>
  <c r="S82" i="31"/>
  <c r="S81" i="31"/>
  <c r="S79" i="31"/>
  <c r="S29" i="31"/>
  <c r="S105" i="31"/>
  <c r="S107" i="31"/>
  <c r="S109" i="31"/>
  <c r="S111" i="31"/>
  <c r="S449" i="31"/>
  <c r="S507" i="31"/>
  <c r="S508"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9" i="31"/>
  <c r="S521"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W25" i="36" s="1"/>
  <c r="B73" i="36"/>
  <c r="B71" i="36"/>
  <c r="H23" i="36" s="1"/>
  <c r="AB23" i="36" s="1"/>
  <c r="D70" i="36"/>
  <c r="H22" i="36"/>
  <c r="AB22" i="36" s="1"/>
  <c r="D68" i="36"/>
  <c r="E68" i="36" s="1"/>
  <c r="F68" i="36"/>
  <c r="G68" i="36"/>
  <c r="D64" i="36"/>
  <c r="E64" i="36" s="1"/>
  <c r="F64" i="36" s="1"/>
  <c r="G64" i="36" s="1"/>
  <c r="J16" i="36"/>
  <c r="W16" i="36" s="1"/>
  <c r="D62" i="36"/>
  <c r="E62" i="36" s="1"/>
  <c r="F62" i="36"/>
  <c r="G62" i="36" s="1"/>
  <c r="B59" i="36"/>
  <c r="H13" i="36" s="1"/>
  <c r="AB13" i="36" s="1"/>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B75" i="35"/>
  <c r="J24" i="35" s="1"/>
  <c r="AC24" i="35" s="1"/>
  <c r="B73" i="35"/>
  <c r="J23" i="35" s="1"/>
  <c r="AC23" i="35" s="1"/>
  <c r="H23" i="35"/>
  <c r="U23" i="35" s="1"/>
  <c r="B57" i="35"/>
  <c r="B61" i="35"/>
  <c r="J13" i="35" s="1"/>
  <c r="AC13" i="35" s="1"/>
  <c r="B59" i="35"/>
  <c r="F12" i="35" s="1"/>
  <c r="B131" i="34"/>
  <c r="B129" i="34"/>
  <c r="H46" i="34" s="1"/>
  <c r="U46" i="34" s="1"/>
  <c r="B127" i="34"/>
  <c r="F45" i="34" s="1"/>
  <c r="S45" i="34" s="1"/>
  <c r="B99" i="34"/>
  <c r="B97" i="34"/>
  <c r="B95" i="34"/>
  <c r="B93" i="34"/>
  <c r="H29" i="34" s="1"/>
  <c r="AB29" i="34" s="1"/>
  <c r="B75" i="34"/>
  <c r="B73" i="34"/>
  <c r="B71" i="34"/>
  <c r="B130" i="33"/>
  <c r="J46" i="33" s="1"/>
  <c r="AC46" i="33" s="1"/>
  <c r="B128" i="33"/>
  <c r="B126" i="33"/>
  <c r="B98" i="33"/>
  <c r="J31" i="33" s="1"/>
  <c r="B96" i="33"/>
  <c r="H30" i="33" s="1"/>
  <c r="AB30" i="33" s="1"/>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H29" i="21" s="1"/>
  <c r="U29" i="21" s="1"/>
  <c r="J29" i="21"/>
  <c r="AC29" i="21" s="1"/>
  <c r="B92" i="21"/>
  <c r="B90" i="21"/>
  <c r="H27" i="21" s="1"/>
  <c r="J27" i="21"/>
  <c r="W27" i="21" s="1"/>
  <c r="B74" i="2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U34" i="34"/>
  <c r="H39" i="33"/>
  <c r="AB39" i="33"/>
  <c r="F26" i="33"/>
  <c r="AA26" i="33" s="1"/>
  <c r="U33" i="33"/>
  <c r="U35" i="33"/>
  <c r="S40" i="33"/>
  <c r="W39" i="33"/>
  <c r="H39" i="37"/>
  <c r="AB39" i="37"/>
  <c r="F11" i="40"/>
  <c r="AA11" i="40"/>
  <c r="H11" i="40"/>
  <c r="AB11" i="40" s="1"/>
  <c r="AB39" i="40"/>
  <c r="AA9" i="40"/>
  <c r="W31" i="40"/>
  <c r="U34"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c r="AB8" i="39"/>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A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s="1"/>
  <c r="H44" i="21"/>
  <c r="U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F31" i="21"/>
  <c r="S31" i="21" s="1"/>
  <c r="F45" i="21"/>
  <c r="AA45" i="21" s="1"/>
  <c r="F27" i="33"/>
  <c r="AA27" i="33"/>
  <c r="F13" i="33"/>
  <c r="S13" i="33" s="1"/>
  <c r="J29" i="33"/>
  <c r="H29" i="33"/>
  <c r="U29" i="33"/>
  <c r="F29" i="33"/>
  <c r="S29" i="33" s="1"/>
  <c r="H31" i="33"/>
  <c r="F31" i="33"/>
  <c r="H45" i="33"/>
  <c r="U45" i="33" s="1"/>
  <c r="J45" i="33"/>
  <c r="W45" i="33" s="1"/>
  <c r="F45" i="33"/>
  <c r="J14" i="34"/>
  <c r="W14" i="34" s="1"/>
  <c r="F14" i="34"/>
  <c r="S14" i="34" s="1"/>
  <c r="H14" i="34"/>
  <c r="F30" i="34"/>
  <c r="S30" i="34" s="1"/>
  <c r="H32" i="34"/>
  <c r="F32" i="34"/>
  <c r="J32" i="34"/>
  <c r="W32" i="34" s="1"/>
  <c r="F46" i="34"/>
  <c r="J46" i="34"/>
  <c r="F11" i="35"/>
  <c r="S11" i="35" s="1"/>
  <c r="J26" i="36"/>
  <c r="W26" i="36" s="1"/>
  <c r="H28" i="36"/>
  <c r="U28" i="36" s="1"/>
  <c r="H32" i="36"/>
  <c r="AB32" i="36" s="1"/>
  <c r="J32" i="36"/>
  <c r="W32" i="36" s="1"/>
  <c r="J11" i="36"/>
  <c r="AC11" i="36" s="1"/>
  <c r="H11" i="36"/>
  <c r="U11" i="36" s="1"/>
  <c r="F11" i="36"/>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H14" i="33"/>
  <c r="U14" i="33" s="1"/>
  <c r="F14" i="33"/>
  <c r="S14" i="33"/>
  <c r="J14" i="33"/>
  <c r="F30" i="33"/>
  <c r="J30" i="33"/>
  <c r="H44" i="33"/>
  <c r="J44" i="33"/>
  <c r="AC44" i="33"/>
  <c r="F44" i="33"/>
  <c r="S44" i="33" s="1"/>
  <c r="F46" i="33"/>
  <c r="AA46" i="33" s="1"/>
  <c r="H46" i="33"/>
  <c r="H13" i="34"/>
  <c r="U13" i="34" s="1"/>
  <c r="J13" i="34"/>
  <c r="W13" i="34" s="1"/>
  <c r="F13" i="34"/>
  <c r="AA13" i="34" s="1"/>
  <c r="F29" i="34"/>
  <c r="S29" i="34" s="1"/>
  <c r="J31" i="34"/>
  <c r="AC31" i="34"/>
  <c r="H31" i="34"/>
  <c r="F31" i="34"/>
  <c r="S31" i="34" s="1"/>
  <c r="H45" i="34"/>
  <c r="U45" i="34" s="1"/>
  <c r="J45" i="34"/>
  <c r="W45" i="34" s="1"/>
  <c r="H47" i="34"/>
  <c r="U47" i="34" s="1"/>
  <c r="F47" i="34"/>
  <c r="S47" i="34" s="1"/>
  <c r="J47" i="34"/>
  <c r="AC47" i="34"/>
  <c r="F13" i="35"/>
  <c r="H13" i="35"/>
  <c r="U13" i="35" s="1"/>
  <c r="J25" i="35"/>
  <c r="W25" i="35" s="1"/>
  <c r="F25" i="35"/>
  <c r="S25" i="35" s="1"/>
  <c r="H25" i="35"/>
  <c r="AB25" i="35" s="1"/>
  <c r="H35" i="35"/>
  <c r="F25" i="36"/>
  <c r="S25" i="36" s="1"/>
  <c r="H25" i="36"/>
  <c r="AB25" i="36" s="1"/>
  <c r="H13" i="37"/>
  <c r="AB13" i="37" s="1"/>
  <c r="F13" i="37"/>
  <c r="S13" i="37" s="1"/>
  <c r="J13" i="37"/>
  <c r="W13" i="37" s="1"/>
  <c r="J28" i="37"/>
  <c r="AC28" i="37" s="1"/>
  <c r="H28" i="37"/>
  <c r="H38" i="37"/>
  <c r="AB38" i="37"/>
  <c r="J38" i="37"/>
  <c r="AC38" i="37" s="1"/>
  <c r="F38" i="37"/>
  <c r="S38" i="37" s="1"/>
  <c r="F43" i="39"/>
  <c r="AA43" i="39" s="1"/>
  <c r="H43" i="39"/>
  <c r="J14" i="39"/>
  <c r="AC14" i="39" s="1"/>
  <c r="F14" i="39"/>
  <c r="H14" i="39"/>
  <c r="AB14" i="39"/>
  <c r="H12" i="40"/>
  <c r="AB12" i="40" s="1"/>
  <c r="H30" i="40"/>
  <c r="AB30" i="40" s="1"/>
  <c r="F33" i="40"/>
  <c r="AA33" i="40" s="1"/>
  <c r="J35" i="40"/>
  <c r="AC35" i="40" s="1"/>
  <c r="J37" i="40"/>
  <c r="AC37" i="40" s="1"/>
  <c r="H13" i="40"/>
  <c r="U13" i="40" s="1"/>
  <c r="J13" i="40"/>
  <c r="W13" i="40" s="1"/>
  <c r="F13" i="40"/>
  <c r="AA13" i="40" s="1"/>
  <c r="F14" i="37"/>
  <c r="S14" i="37" s="1"/>
  <c r="F27" i="37"/>
  <c r="AA27" i="37"/>
  <c r="F13" i="39"/>
  <c r="J13" i="39"/>
  <c r="W13" i="39" s="1"/>
  <c r="H13" i="39"/>
  <c r="H14" i="40"/>
  <c r="AB14" i="40" s="1"/>
  <c r="J14" i="40"/>
  <c r="W14" i="40" s="1"/>
  <c r="F14" i="40"/>
  <c r="AA14" i="40" s="1"/>
  <c r="J14" i="37"/>
  <c r="J27" i="37"/>
  <c r="AC27" i="37"/>
  <c r="AA14" i="33"/>
  <c r="J36" i="37"/>
  <c r="AC36" i="37" s="1"/>
  <c r="J10" i="36"/>
  <c r="AC10" i="36" s="1"/>
  <c r="AB30" i="21"/>
  <c r="AA14" i="37"/>
  <c r="W31" i="34"/>
  <c r="AB46" i="34"/>
  <c r="AA14" i="34"/>
  <c r="AC28" i="21"/>
  <c r="S44" i="34"/>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BL554" i="3"/>
  <c r="BL546" i="3"/>
  <c r="BL542" i="3"/>
  <c r="BL538" i="3"/>
  <c r="BL530" i="3"/>
  <c r="BL526" i="3"/>
  <c r="BL522" i="3"/>
  <c r="BL512" i="3"/>
  <c r="BL506" i="3"/>
  <c r="BL502" i="3"/>
  <c r="BL494" i="3"/>
  <c r="BL582" i="3"/>
  <c r="BL578" i="3"/>
  <c r="BL570" i="3"/>
  <c r="BL566" i="3"/>
  <c r="BL562" i="3"/>
  <c r="BL552" i="3"/>
  <c r="BL544" i="3"/>
  <c r="AZ544" i="3" s="1"/>
  <c r="BL540" i="3"/>
  <c r="G533" i="3"/>
  <c r="BL532" i="3"/>
  <c r="AZ532" i="3" s="1"/>
  <c r="G529" i="3"/>
  <c r="G525" i="3"/>
  <c r="BL524" i="3"/>
  <c r="BL518" i="3"/>
  <c r="BL510" i="3"/>
  <c r="BL504" i="3"/>
  <c r="BL500" i="3"/>
  <c r="G493" i="3"/>
  <c r="BA584" i="3"/>
  <c r="AZ584" i="3" s="1"/>
  <c r="BA582" i="3"/>
  <c r="BA578" i="3"/>
  <c r="BA576" i="3"/>
  <c r="AZ576" i="3" s="1"/>
  <c r="BA574" i="3"/>
  <c r="AZ574" i="3" s="1"/>
  <c r="BA570" i="3"/>
  <c r="BA568" i="3"/>
  <c r="BA566" i="3"/>
  <c r="AZ566" i="3" s="1"/>
  <c r="BA562" i="3"/>
  <c r="BA560" i="3"/>
  <c r="BA558" i="3"/>
  <c r="AZ558" i="3" s="1"/>
  <c r="BA556" i="3"/>
  <c r="AZ556" i="3" s="1"/>
  <c r="BA554" i="3"/>
  <c r="AZ554" i="3" s="1"/>
  <c r="BA552" i="3"/>
  <c r="AZ552" i="3"/>
  <c r="BA548" i="3"/>
  <c r="BA544" i="3"/>
  <c r="BA542" i="3"/>
  <c r="AZ542" i="3" s="1"/>
  <c r="BA540" i="3"/>
  <c r="BA538" i="3"/>
  <c r="AZ538" i="3"/>
  <c r="AZ536" i="3"/>
  <c r="BA534" i="3"/>
  <c r="AZ534" i="3" s="1"/>
  <c r="BA530" i="3"/>
  <c r="BA528" i="3"/>
  <c r="AZ528" i="3" s="1"/>
  <c r="BA524" i="3"/>
  <c r="BA522" i="3"/>
  <c r="AZ522" i="3" s="1"/>
  <c r="BA520" i="3"/>
  <c r="AZ520" i="3" s="1"/>
  <c r="BA516" i="3"/>
  <c r="AZ516" i="3" s="1"/>
  <c r="BA514" i="3"/>
  <c r="BA512" i="3"/>
  <c r="AZ512" i="3" s="1"/>
  <c r="BA510" i="3"/>
  <c r="AZ510" i="3" s="1"/>
  <c r="BA508" i="3"/>
  <c r="BA504" i="3"/>
  <c r="AZ504" i="3"/>
  <c r="BA502" i="3"/>
  <c r="BA498" i="3"/>
  <c r="AZ498" i="3"/>
  <c r="BA496" i="3"/>
  <c r="BA587" i="3"/>
  <c r="BA583" i="3"/>
  <c r="BA579" i="3"/>
  <c r="BA577" i="3"/>
  <c r="BA575" i="3"/>
  <c r="BA571" i="3"/>
  <c r="BA569" i="3"/>
  <c r="BA567" i="3"/>
  <c r="BA563" i="3"/>
  <c r="BA561" i="3"/>
  <c r="BA559" i="3"/>
  <c r="AZ559" i="3" s="1"/>
  <c r="BA555" i="3"/>
  <c r="BA553" i="3"/>
  <c r="BA549" i="3"/>
  <c r="BA547" i="3"/>
  <c r="BA543" i="3"/>
  <c r="BA541" i="3"/>
  <c r="BA539" i="3"/>
  <c r="BA535" i="3"/>
  <c r="BA533" i="3"/>
  <c r="BA531" i="3"/>
  <c r="BA527" i="3"/>
  <c r="BA525" i="3"/>
  <c r="BA523" i="3"/>
  <c r="BA517" i="3"/>
  <c r="BA515" i="3"/>
  <c r="BA513" i="3"/>
  <c r="BA507" i="3"/>
  <c r="BA505" i="3"/>
  <c r="BA503" i="3"/>
  <c r="AZ503" i="3" s="1"/>
  <c r="BA499" i="3"/>
  <c r="BA497" i="3"/>
  <c r="BA495" i="3"/>
  <c r="AZ560"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BQ575" i="3"/>
  <c r="BL575" i="3"/>
  <c r="BQ573" i="3"/>
  <c r="BL573" i="3" s="1"/>
  <c r="AZ573" i="3" s="1"/>
  <c r="BQ571" i="3"/>
  <c r="BQ569" i="3"/>
  <c r="BL569" i="3" s="1"/>
  <c r="BQ567" i="3"/>
  <c r="BL567" i="3" s="1"/>
  <c r="BQ565" i="3"/>
  <c r="BQ563" i="3"/>
  <c r="BL563" i="3" s="1"/>
  <c r="AZ563" i="3" s="1"/>
  <c r="BQ561" i="3"/>
  <c r="BL561" i="3"/>
  <c r="AZ561" i="3" s="1"/>
  <c r="BQ559" i="3"/>
  <c r="BL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AZ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U14" i="40"/>
  <c r="W23" i="35"/>
  <c r="U39" i="37"/>
  <c r="U26" i="37"/>
  <c r="W47" i="34"/>
  <c r="AC36" i="34"/>
  <c r="AA13" i="33"/>
  <c r="AC45" i="33"/>
  <c r="W44" i="33"/>
  <c r="U11"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67" i="3"/>
  <c r="AZ152"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75" i="3"/>
  <c r="BO5" i="3"/>
  <c r="BM5" i="3"/>
  <c r="F29" i="6" s="1"/>
  <c r="BJ5" i="3"/>
  <c r="BH5" i="3"/>
  <c r="BF5" i="3"/>
  <c r="BD5" i="3"/>
  <c r="AC5" i="3"/>
  <c r="AZ506" i="3"/>
  <c r="AZ496" i="3"/>
  <c r="G548" i="3"/>
  <c r="G538" i="3"/>
  <c r="G520" i="3"/>
  <c r="G502" i="3"/>
  <c r="BS5" i="3"/>
  <c r="BP5" i="3"/>
  <c r="BN5" i="3"/>
  <c r="BK5" i="3"/>
  <c r="BI5" i="3"/>
  <c r="BG5" i="3"/>
  <c r="BE5" i="3"/>
  <c r="BC5" i="3"/>
  <c r="G17" i="3"/>
  <c r="BA17" i="3"/>
  <c r="BT5" i="3"/>
  <c r="BA15" i="3"/>
  <c r="BB5" i="3"/>
  <c r="BR5" i="3"/>
  <c r="AZ380" i="3"/>
  <c r="AZ392"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0"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U12" i="39" s="1"/>
  <c r="AB12" i="39"/>
  <c r="F39" i="40"/>
  <c r="BA14" i="3"/>
  <c r="AZ367" i="3"/>
  <c r="AZ286"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W46" i="34"/>
  <c r="AC46" i="34"/>
  <c r="S32" i="34"/>
  <c r="AA32"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S35" i="21"/>
  <c r="J37" i="21"/>
  <c r="W37" i="21" s="1"/>
  <c r="H15" i="21"/>
  <c r="U15" i="21" s="1"/>
  <c r="J17" i="21"/>
  <c r="AC17" i="21" s="1"/>
  <c r="AC19" i="21"/>
  <c r="W39" i="21"/>
  <c r="AC14" i="21"/>
  <c r="W30"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67"/>
  <c r="F26" i="67"/>
  <c r="F38" i="15"/>
  <c r="E2" i="68"/>
  <c r="M26" i="67"/>
  <c r="E7" i="76"/>
  <c r="L47" i="15"/>
  <c r="F3" i="73"/>
  <c r="B11" i="76"/>
  <c r="B12" i="76"/>
  <c r="F43" i="15"/>
  <c r="F13" i="15"/>
  <c r="F6" i="67"/>
  <c r="AO13" i="1"/>
  <c r="L47" i="67"/>
  <c r="M8" i="15"/>
  <c r="F43" i="67"/>
  <c r="L48" i="15"/>
  <c r="M29" i="67"/>
  <c r="M6" i="67"/>
  <c r="E9" i="76"/>
  <c r="F9" i="15"/>
  <c r="J15" i="67"/>
  <c r="D34" i="9"/>
  <c r="F26" i="15"/>
  <c r="F36" i="67"/>
  <c r="M28" i="15"/>
  <c r="M9" i="67"/>
  <c r="F7" i="73"/>
  <c r="B7" i="76"/>
  <c r="F40" i="67"/>
  <c r="F42" i="15"/>
  <c r="E8" i="76"/>
  <c r="C20" i="9"/>
  <c r="C76" i="15"/>
  <c r="F20" i="31"/>
  <c r="E13" i="76"/>
  <c r="E12" i="76"/>
  <c r="E10" i="76"/>
  <c r="F16" i="67"/>
  <c r="F13" i="67"/>
  <c r="M23" i="15"/>
  <c r="L48" i="67"/>
  <c r="F37" i="15"/>
  <c r="F36" i="15"/>
  <c r="F40" i="15"/>
  <c r="B8" i="76"/>
  <c r="M6" i="15"/>
  <c r="F8" i="67"/>
  <c r="D19" i="9"/>
  <c r="F7" i="15"/>
  <c r="E2" i="69"/>
  <c r="D6" i="73"/>
  <c r="C76" i="67"/>
  <c r="M8" i="67"/>
  <c r="M22" i="15"/>
  <c r="F16" i="15"/>
  <c r="M24" i="15"/>
  <c r="M26" i="15"/>
  <c r="B13" i="76"/>
  <c r="M28" i="67"/>
  <c r="M23" i="67"/>
  <c r="M29" i="15"/>
  <c r="J15" i="15"/>
  <c r="B10" i="76"/>
  <c r="B9" i="76"/>
  <c r="M9" i="15"/>
  <c r="F8" i="15"/>
  <c r="F37" i="67"/>
  <c r="F38" i="67"/>
  <c r="D20" i="9"/>
  <c r="M24" i="67"/>
  <c r="F6" i="15"/>
  <c r="D35" i="9"/>
  <c r="C19" i="9"/>
  <c r="F4" i="73"/>
  <c r="F9" i="67"/>
  <c r="F6" i="73"/>
  <c r="F7" i="67"/>
  <c r="F42" i="67"/>
  <c r="F5" i="73"/>
  <c r="E11" i="76"/>
  <c r="S25" i="31" l="1"/>
  <c r="H4" i="80" s="1"/>
  <c r="G4" i="80"/>
  <c r="I4" i="80" s="1"/>
  <c r="S26" i="31"/>
  <c r="H5" i="80" s="1"/>
  <c r="G5" i="80"/>
  <c r="I5" i="80" s="1"/>
  <c r="S27" i="31"/>
  <c r="H6" i="80" s="1"/>
  <c r="G6" i="80"/>
  <c r="I6" i="80" s="1"/>
  <c r="AZ313" i="3"/>
  <c r="AZ306" i="3"/>
  <c r="AZ513" i="3"/>
  <c r="AZ579" i="3"/>
  <c r="AB46" i="33"/>
  <c r="U46" i="33"/>
  <c r="AA42" i="39"/>
  <c r="S42" i="39"/>
  <c r="F44" i="21"/>
  <c r="J44" i="21"/>
  <c r="AC33" i="33"/>
  <c r="W33" i="33"/>
  <c r="AC8" i="34"/>
  <c r="W8" i="34"/>
  <c r="J13" i="33"/>
  <c r="H13" i="33"/>
  <c r="U13" i="33" s="1"/>
  <c r="W31" i="33"/>
  <c r="AC31" i="33"/>
  <c r="J12" i="34"/>
  <c r="H12" i="34"/>
  <c r="F12" i="34"/>
  <c r="S12" i="34" s="1"/>
  <c r="J30" i="34"/>
  <c r="H30" i="34"/>
  <c r="H11" i="35"/>
  <c r="AB11" i="35" s="1"/>
  <c r="J11" i="35"/>
  <c r="H44" i="39"/>
  <c r="F44" i="39"/>
  <c r="AC8" i="40"/>
  <c r="W8" i="40"/>
  <c r="U19" i="33"/>
  <c r="AC27" i="33"/>
  <c r="AC23" i="37"/>
  <c r="AZ14" i="3"/>
  <c r="AZ334" i="3"/>
  <c r="AZ372" i="3"/>
  <c r="AZ337" i="3"/>
  <c r="AZ191" i="3"/>
  <c r="AZ139" i="3"/>
  <c r="AZ394" i="3"/>
  <c r="AZ569" i="3"/>
  <c r="AZ557" i="3"/>
  <c r="AZ571" i="3"/>
  <c r="AZ568" i="3"/>
  <c r="AA44" i="33"/>
  <c r="AA11" i="36"/>
  <c r="S11" i="36"/>
  <c r="AA45" i="33"/>
  <c r="S45" i="33"/>
  <c r="H28" i="33"/>
  <c r="J28" i="33"/>
  <c r="AZ564" i="3"/>
  <c r="W17" i="21"/>
  <c r="AA27" i="40"/>
  <c r="AB27" i="40"/>
  <c r="AZ387" i="3"/>
  <c r="AZ366" i="3"/>
  <c r="AZ362" i="3"/>
  <c r="AZ390" i="3"/>
  <c r="AZ351" i="3"/>
  <c r="AZ336" i="3"/>
  <c r="AZ305" i="3"/>
  <c r="AZ124" i="3"/>
  <c r="AZ376" i="3"/>
  <c r="AZ309" i="3"/>
  <c r="AZ523" i="3"/>
  <c r="AZ535" i="3"/>
  <c r="AZ577" i="3"/>
  <c r="AZ583" i="3"/>
  <c r="AZ575" i="3"/>
  <c r="AZ524" i="3"/>
  <c r="AZ570" i="3"/>
  <c r="AZ582" i="3"/>
  <c r="AZ540" i="3"/>
  <c r="AC40" i="37"/>
  <c r="W40" i="37"/>
  <c r="AA28" i="34"/>
  <c r="S28" i="34"/>
  <c r="H13" i="21"/>
  <c r="AC40" i="33"/>
  <c r="W40" i="33"/>
  <c r="F9" i="34"/>
  <c r="AA9" i="34" s="1"/>
  <c r="J9" i="34"/>
  <c r="H9" i="34"/>
  <c r="BL581" i="3"/>
  <c r="AZ580" i="3"/>
  <c r="AZ572" i="3"/>
  <c r="BL571" i="3"/>
  <c r="AZ546" i="3"/>
  <c r="AZ537" i="3"/>
  <c r="BL529" i="3"/>
  <c r="AZ529" i="3" s="1"/>
  <c r="AZ526" i="3"/>
  <c r="BL525" i="3"/>
  <c r="AZ525" i="3" s="1"/>
  <c r="AZ518" i="3"/>
  <c r="BL517" i="3"/>
  <c r="BL509" i="3"/>
  <c r="AZ509" i="3" s="1"/>
  <c r="BL505" i="3"/>
  <c r="AZ505" i="3" s="1"/>
  <c r="BL501" i="3"/>
  <c r="AZ501" i="3" s="1"/>
  <c r="BL497" i="3"/>
  <c r="AB36" i="33"/>
  <c r="AZ15" i="3"/>
  <c r="AZ349" i="3"/>
  <c r="AZ183" i="3"/>
  <c r="AZ123" i="3"/>
  <c r="AZ497" i="3"/>
  <c r="AZ502" i="3"/>
  <c r="U26" i="33"/>
  <c r="AB26" i="33"/>
  <c r="BA586" i="3"/>
  <c r="BL585" i="3"/>
  <c r="BA585" i="3"/>
  <c r="AZ585" i="3" s="1"/>
  <c r="F46" i="21"/>
  <c r="H46" i="21"/>
  <c r="AA42" i="21"/>
  <c r="S42" i="21"/>
  <c r="H9" i="36"/>
  <c r="AB9" i="36" s="1"/>
  <c r="J9" i="36"/>
  <c r="J24" i="36"/>
  <c r="H24" i="36"/>
  <c r="AA34" i="40"/>
  <c r="J12" i="40"/>
  <c r="AZ413" i="3"/>
  <c r="AZ228" i="3"/>
  <c r="AZ469" i="3"/>
  <c r="AZ217" i="3"/>
  <c r="AZ204" i="3"/>
  <c r="AZ155" i="3"/>
  <c r="AZ140" i="3"/>
  <c r="AZ360" i="3"/>
  <c r="BL511" i="3"/>
  <c r="AZ511" i="3" s="1"/>
  <c r="BL539" i="3"/>
  <c r="AZ539" i="3" s="1"/>
  <c r="BL543" i="3"/>
  <c r="AZ543" i="3" s="1"/>
  <c r="BL565" i="3"/>
  <c r="AZ565" i="3" s="1"/>
  <c r="AB45" i="33"/>
  <c r="F35" i="35"/>
  <c r="J29" i="34"/>
  <c r="AA29" i="35"/>
  <c r="AB17" i="34"/>
  <c r="AB34" i="37"/>
  <c r="BA551" i="3"/>
  <c r="AZ551" i="3" s="1"/>
  <c r="BA550" i="3"/>
  <c r="BL548" i="3"/>
  <c r="AZ548" i="3" s="1"/>
  <c r="AZ487" i="3"/>
  <c r="H33" i="40"/>
  <c r="AC38" i="34"/>
  <c r="U9" i="40"/>
  <c r="S27" i="35"/>
  <c r="W31" i="37"/>
  <c r="U9" i="39"/>
  <c r="G585" i="3"/>
  <c r="BL587" i="3"/>
  <c r="AZ587" i="3" s="1"/>
  <c r="BL586" i="3"/>
  <c r="F38" i="40"/>
  <c r="H38" i="40"/>
  <c r="G556" i="3"/>
  <c r="AZ451" i="3"/>
  <c r="AZ404" i="3"/>
  <c r="AZ405" i="3"/>
  <c r="AZ419" i="3"/>
  <c r="AZ422" i="3"/>
  <c r="AZ444" i="3"/>
  <c r="AZ466" i="3"/>
  <c r="AZ476" i="3"/>
  <c r="BL285" i="3"/>
  <c r="BL287" i="3"/>
  <c r="G399" i="3"/>
  <c r="BL400" i="3"/>
  <c r="AZ400" i="3" s="1"/>
  <c r="BL408" i="3"/>
  <c r="BL411" i="3"/>
  <c r="BL413" i="3"/>
  <c r="G416" i="3"/>
  <c r="BL417" i="3"/>
  <c r="BL418" i="3"/>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29" i="3"/>
  <c r="BL133" i="3"/>
  <c r="AZ133" i="3" s="1"/>
  <c r="BL134" i="3"/>
  <c r="G558" i="3"/>
  <c r="BL398" i="3"/>
  <c r="G402" i="3"/>
  <c r="BL403" i="3"/>
  <c r="AZ403" i="3" s="1"/>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AZ434" i="3" s="1"/>
  <c r="BA436" i="3"/>
  <c r="BA438" i="3"/>
  <c r="AZ438" i="3" s="1"/>
  <c r="G443" i="3"/>
  <c r="BA446" i="3"/>
  <c r="AZ446" i="3" s="1"/>
  <c r="BA450" i="3"/>
  <c r="BA453" i="3"/>
  <c r="BA455" i="3"/>
  <c r="AZ455" i="3" s="1"/>
  <c r="BL457" i="3"/>
  <c r="BL460" i="3"/>
  <c r="BL461" i="3"/>
  <c r="BL463" i="3"/>
  <c r="AZ463" i="3" s="1"/>
  <c r="BA471" i="3"/>
  <c r="AZ471" i="3" s="1"/>
  <c r="BL317" i="3"/>
  <c r="BA349" i="3"/>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AZ276" i="3" s="1"/>
  <c r="BA279" i="3"/>
  <c r="BA281" i="3"/>
  <c r="BA296" i="3"/>
  <c r="BA116" i="3"/>
  <c r="AZ116" i="3" s="1"/>
  <c r="BA121" i="3"/>
  <c r="AZ121" i="3" s="1"/>
  <c r="BL121" i="3"/>
  <c r="BA124" i="3"/>
  <c r="BA126" i="3"/>
  <c r="AZ126" i="3" s="1"/>
  <c r="BA128" i="3"/>
  <c r="AZ128" i="3" s="1"/>
  <c r="BA137" i="3"/>
  <c r="AZ137" i="3" s="1"/>
  <c r="BL138" i="3"/>
  <c r="BA140" i="3"/>
  <c r="BA142" i="3"/>
  <c r="BL550" i="3"/>
  <c r="BL15" i="3"/>
  <c r="BA398" i="3"/>
  <c r="AZ398" i="3" s="1"/>
  <c r="BA399" i="3"/>
  <c r="AZ399" i="3" s="1"/>
  <c r="BL401" i="3"/>
  <c r="AZ401" i="3" s="1"/>
  <c r="BL404" i="3"/>
  <c r="BL405" i="3"/>
  <c r="BL407" i="3"/>
  <c r="AZ407" i="3" s="1"/>
  <c r="BA412" i="3"/>
  <c r="AZ412" i="3" s="1"/>
  <c r="BA414" i="3"/>
  <c r="AZ414" i="3" s="1"/>
  <c r="BA415" i="3"/>
  <c r="AZ415" i="3" s="1"/>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BA459" i="3"/>
  <c r="BA460" i="3"/>
  <c r="AZ460" i="3" s="1"/>
  <c r="BA461" i="3"/>
  <c r="AZ461" i="3" s="1"/>
  <c r="BL464" i="3"/>
  <c r="AZ464" i="3" s="1"/>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34" i="3"/>
  <c r="AZ134" i="3" s="1"/>
  <c r="BL139" i="3"/>
  <c r="G140" i="3"/>
  <c r="BL141" i="3"/>
  <c r="BL143" i="3"/>
  <c r="AZ143" i="3" s="1"/>
  <c r="BA146" i="3"/>
  <c r="AZ146" i="3" s="1"/>
  <c r="BA150" i="3"/>
  <c r="AZ150" i="3" s="1"/>
  <c r="BL167" i="3"/>
  <c r="AZ167" i="3" s="1"/>
  <c r="BL178" i="3"/>
  <c r="BA180" i="3"/>
  <c r="AZ180" i="3" s="1"/>
  <c r="BL182" i="3"/>
  <c r="AZ182" i="3" s="1"/>
  <c r="BA185" i="3"/>
  <c r="BL191" i="3"/>
  <c r="BA193" i="3"/>
  <c r="AZ193" i="3" s="1"/>
  <c r="BA196" i="3"/>
  <c r="AZ196" i="3" s="1"/>
  <c r="G203" i="3"/>
  <c r="BA205" i="3"/>
  <c r="AZ205" i="3" s="1"/>
  <c r="BL20" i="3"/>
  <c r="BA21" i="3"/>
  <c r="AZ21" i="3" s="1"/>
  <c r="BA25" i="3"/>
  <c r="BA26" i="3"/>
  <c r="BL28" i="3"/>
  <c r="BA29" i="3"/>
  <c r="AZ29" i="3" s="1"/>
  <c r="BA43" i="3"/>
  <c r="BL47" i="3"/>
  <c r="AZ47" i="3" s="1"/>
  <c r="G58" i="3"/>
  <c r="BL61" i="3"/>
  <c r="G64" i="3"/>
  <c r="BA64" i="3"/>
  <c r="AZ64" i="3" s="1"/>
  <c r="BA68" i="3"/>
  <c r="BL74" i="3"/>
  <c r="AZ74" i="3" s="1"/>
  <c r="BL75" i="3"/>
  <c r="D44" i="71"/>
  <c r="T44" i="71"/>
  <c r="D34" i="71"/>
  <c r="C35" i="71"/>
  <c r="C55" i="71"/>
  <c r="D54" i="71"/>
  <c r="D67" i="71"/>
  <c r="C66" i="71"/>
  <c r="O67" i="71"/>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L30" i="3"/>
  <c r="BL31" i="3"/>
  <c r="AZ31" i="3" s="1"/>
  <c r="BA40" i="3"/>
  <c r="G46" i="3"/>
  <c r="G47" i="3"/>
  <c r="BL48" i="3"/>
  <c r="AZ48" i="3" s="1"/>
  <c r="BA51" i="3"/>
  <c r="G55" i="3"/>
  <c r="BL56" i="3"/>
  <c r="BA58" i="3"/>
  <c r="AZ58" i="3" s="1"/>
  <c r="BL59" i="3"/>
  <c r="AZ59" i="3" s="1"/>
  <c r="BL60" i="3"/>
  <c r="AZ60" i="3" s="1"/>
  <c r="BA61" i="3"/>
  <c r="AZ61" i="3" s="1"/>
  <c r="BL69" i="3"/>
  <c r="G70" i="3"/>
  <c r="BL70" i="3"/>
  <c r="BL71" i="3"/>
  <c r="BL72" i="3"/>
  <c r="AZ72" i="3" s="1"/>
  <c r="G74" i="3"/>
  <c r="BA75" i="3"/>
  <c r="BL79" i="3"/>
  <c r="G80" i="3"/>
  <c r="G85" i="3"/>
  <c r="BL85" i="3"/>
  <c r="BA86" i="3"/>
  <c r="G89" i="3"/>
  <c r="BA92" i="3"/>
  <c r="BL96" i="3"/>
  <c r="BL97" i="3"/>
  <c r="AZ97" i="3" s="1"/>
  <c r="C64" i="71"/>
  <c r="T64" i="71" s="1"/>
  <c r="D63" i="71"/>
  <c r="AZ38" i="3"/>
  <c r="AZ70" i="3"/>
  <c r="F40" i="69"/>
  <c r="C40" i="69"/>
  <c r="AB21" i="37"/>
  <c r="U21" i="37"/>
  <c r="D31" i="71"/>
  <c r="C32" i="71"/>
  <c r="D50" i="71"/>
  <c r="C51" i="71"/>
  <c r="BL157" i="3"/>
  <c r="AZ157" i="3" s="1"/>
  <c r="BL159" i="3"/>
  <c r="AZ159" i="3" s="1"/>
  <c r="BL177" i="3"/>
  <c r="AZ177" i="3" s="1"/>
  <c r="BL183" i="3"/>
  <c r="BA186" i="3"/>
  <c r="AZ186" i="3" s="1"/>
  <c r="BA190" i="3"/>
  <c r="AZ190" i="3" s="1"/>
  <c r="BA197" i="3"/>
  <c r="AZ197" i="3" s="1"/>
  <c r="BL201" i="3"/>
  <c r="AZ201" i="3" s="1"/>
  <c r="BL203" i="3"/>
  <c r="AZ203" i="3" s="1"/>
  <c r="BA204" i="3"/>
  <c r="BA18" i="3"/>
  <c r="AZ18" i="3" s="1"/>
  <c r="BL21" i="3"/>
  <c r="G23" i="3"/>
  <c r="G29" i="3"/>
  <c r="G38" i="3"/>
  <c r="BA38" i="3"/>
  <c r="BL40" i="3"/>
  <c r="BL41" i="3"/>
  <c r="AZ41" i="3" s="1"/>
  <c r="BA52" i="3"/>
  <c r="AZ52" i="3" s="1"/>
  <c r="BA53" i="3"/>
  <c r="BA54" i="3"/>
  <c r="G67" i="3"/>
  <c r="BL68" i="3"/>
  <c r="BA69" i="3"/>
  <c r="BA73" i="3"/>
  <c r="AZ73" i="3" s="1"/>
  <c r="BL86" i="3"/>
  <c r="BA88" i="3"/>
  <c r="AZ88" i="3" s="1"/>
  <c r="BA89" i="3"/>
  <c r="G93" i="3"/>
  <c r="BA98" i="3"/>
  <c r="W21" i="21"/>
  <c r="U21" i="33"/>
  <c r="AB21" i="33"/>
  <c r="T28" i="71"/>
  <c r="D28" i="71"/>
  <c r="U28" i="71" s="1"/>
  <c r="C27" i="71"/>
  <c r="C60" i="71"/>
  <c r="D59" i="71"/>
  <c r="F66" i="71"/>
  <c r="Q66" i="71" s="1"/>
  <c r="Q67" i="71"/>
  <c r="V24" i="71"/>
  <c r="E23" i="71"/>
  <c r="E22" i="71" s="1"/>
  <c r="E21" i="71" s="1"/>
  <c r="E20" i="71" s="1"/>
  <c r="E19" i="71" s="1"/>
  <c r="E18" i="71" s="1"/>
  <c r="E17" i="71" s="1"/>
  <c r="E16" i="71" s="1"/>
  <c r="G103" i="3"/>
  <c r="BA103" i="3"/>
  <c r="AZ103" i="3"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29" i="3"/>
  <c r="G33" i="3"/>
  <c r="G34" i="3"/>
  <c r="BA37" i="3"/>
  <c r="G39" i="3"/>
  <c r="BL39" i="3"/>
  <c r="AZ39" i="3" s="1"/>
  <c r="G43" i="3"/>
  <c r="G44" i="3"/>
  <c r="BA45" i="3"/>
  <c r="AZ45" i="3" s="1"/>
  <c r="BA46" i="3"/>
  <c r="BL49" i="3"/>
  <c r="AZ49" i="3"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AZ92" i="3" s="1"/>
  <c r="G101" i="3"/>
  <c r="BA101" i="3"/>
  <c r="AZ101" i="3" s="1"/>
  <c r="G108" i="3"/>
  <c r="G109" i="3"/>
  <c r="BL112" i="3"/>
  <c r="U25" i="40"/>
  <c r="S21" i="34"/>
  <c r="B68" i="43"/>
  <c r="B88" i="4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3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BL46" i="3"/>
  <c r="AZ54" i="3"/>
  <c r="AZ90" i="3"/>
  <c r="BL78" i="3"/>
  <c r="BA83" i="3"/>
  <c r="AZ83" i="3" s="1"/>
  <c r="G91" i="3"/>
  <c r="BL95" i="3"/>
  <c r="BL98" i="3"/>
  <c r="BL109" i="3"/>
  <c r="AZ109" i="3" s="1"/>
  <c r="AB21" i="21"/>
  <c r="AZ78" i="3"/>
  <c r="AZ95" i="3"/>
  <c r="G77" i="3"/>
  <c r="BA81" i="3"/>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AC11" i="34"/>
  <c r="U33" i="21"/>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C16" i="67"/>
  <c r="D4" i="73"/>
  <c r="D5" i="73"/>
  <c r="D7" i="73"/>
  <c r="D3" i="73"/>
  <c r="C16" i="15"/>
  <c r="B20" i="31" l="1"/>
  <c r="B21" i="31" s="1"/>
  <c r="G16" i="1"/>
  <c r="F10" i="39" s="1"/>
  <c r="C36" i="71"/>
  <c r="D35" i="71"/>
  <c r="C40" i="71"/>
  <c r="D39" i="71"/>
  <c r="O65" i="71"/>
  <c r="D66" i="71"/>
  <c r="O66" i="71"/>
  <c r="AZ25" i="3"/>
  <c r="AC9" i="34"/>
  <c r="W9" i="34"/>
  <c r="U13" i="21"/>
  <c r="AB13" i="21"/>
  <c r="U12" i="34"/>
  <c r="AB12" i="34"/>
  <c r="D20" i="53"/>
  <c r="B40" i="72" s="1"/>
  <c r="E28" i="6"/>
  <c r="K14" i="1" s="1"/>
  <c r="K16" i="1" s="1"/>
  <c r="AZ234" i="3"/>
  <c r="AZ209" i="3"/>
  <c r="AZ86" i="3"/>
  <c r="AZ353" i="3"/>
  <c r="AA44" i="39"/>
  <c r="S44" i="39"/>
  <c r="W13" i="33"/>
  <c r="AC13" i="33"/>
  <c r="Q65" i="71"/>
  <c r="AZ81" i="3"/>
  <c r="AZ98" i="3"/>
  <c r="AZ261" i="3"/>
  <c r="AZ396" i="3"/>
  <c r="AZ232" i="3"/>
  <c r="AZ333" i="3"/>
  <c r="V20" i="71"/>
  <c r="D83" i="71"/>
  <c r="C82" i="71"/>
  <c r="D82" i="71" s="1"/>
  <c r="D60" i="71"/>
  <c r="T60" i="71"/>
  <c r="AZ75" i="3"/>
  <c r="AZ459" i="3"/>
  <c r="AZ421" i="3"/>
  <c r="AZ453" i="3"/>
  <c r="AZ408" i="3"/>
  <c r="AZ302" i="3"/>
  <c r="AZ284" i="3"/>
  <c r="AZ277" i="3"/>
  <c r="AZ256" i="3"/>
  <c r="AZ491" i="3"/>
  <c r="AA38" i="40"/>
  <c r="S38" i="40"/>
  <c r="AZ550" i="3"/>
  <c r="AC12" i="40"/>
  <c r="W12" i="40"/>
  <c r="AC9" i="36"/>
  <c r="W9" i="36"/>
  <c r="AB46" i="21"/>
  <c r="U46" i="21"/>
  <c r="AZ586" i="3"/>
  <c r="AB44" i="39"/>
  <c r="U44" i="39"/>
  <c r="AC44" i="21"/>
  <c r="W44" i="21"/>
  <c r="D75" i="71"/>
  <c r="C74" i="71"/>
  <c r="D74" i="71" s="1"/>
  <c r="S35" i="35"/>
  <c r="AA35" i="35"/>
  <c r="AB24" i="36"/>
  <c r="U24" i="36"/>
  <c r="AC28" i="33"/>
  <c r="W28" i="33"/>
  <c r="AZ117" i="3"/>
  <c r="D79" i="71"/>
  <c r="C78" i="71"/>
  <c r="D78" i="71" s="1"/>
  <c r="T32" i="71"/>
  <c r="D32" i="71"/>
  <c r="AZ271" i="3"/>
  <c r="AZ368" i="3"/>
  <c r="AZ297" i="3"/>
  <c r="AZ241" i="3"/>
  <c r="AZ210" i="3"/>
  <c r="AB38" i="40"/>
  <c r="U38" i="40"/>
  <c r="AC24" i="36"/>
  <c r="W24" i="36"/>
  <c r="U28" i="33"/>
  <c r="AB28" i="33"/>
  <c r="AB30" i="34"/>
  <c r="U30" i="34"/>
  <c r="W12" i="34"/>
  <c r="AC12" i="34"/>
  <c r="E26" i="43"/>
  <c r="H26" i="43"/>
  <c r="S9" i="34"/>
  <c r="U11" i="35"/>
  <c r="AB13" i="33"/>
  <c r="AZ96" i="3"/>
  <c r="AZ112" i="3"/>
  <c r="G5" i="3"/>
  <c r="B3" i="3" s="1"/>
  <c r="E510" i="3" s="1"/>
  <c r="AZ43" i="3"/>
  <c r="AZ295" i="3"/>
  <c r="AZ142" i="3"/>
  <c r="AZ348" i="3"/>
  <c r="C70" i="71"/>
  <c r="D70" i="71" s="1"/>
  <c r="D71" i="71"/>
  <c r="C26" i="71"/>
  <c r="D26" i="71" s="1"/>
  <c r="D27" i="71"/>
  <c r="AZ69" i="3"/>
  <c r="AZ53" i="3"/>
  <c r="C52" i="71"/>
  <c r="D51" i="71"/>
  <c r="AZ51" i="3"/>
  <c r="C56" i="71"/>
  <c r="D55" i="71"/>
  <c r="AZ483" i="3"/>
  <c r="AZ457" i="3"/>
  <c r="AZ418" i="3"/>
  <c r="AZ274" i="3"/>
  <c r="AZ244" i="3"/>
  <c r="AZ239" i="3"/>
  <c r="AZ397" i="3"/>
  <c r="U33" i="40"/>
  <c r="AB33" i="40"/>
  <c r="AC29" i="34"/>
  <c r="W29" i="34"/>
  <c r="AA46" i="21"/>
  <c r="S46" i="21"/>
  <c r="U9" i="34"/>
  <c r="AB9" i="34"/>
  <c r="W11" i="35"/>
  <c r="AC11" i="35"/>
  <c r="AA44" i="21"/>
  <c r="S44" i="21"/>
  <c r="J7" i="37"/>
  <c r="K1" i="73"/>
  <c r="E539" i="3"/>
  <c r="E212" i="3"/>
  <c r="E286"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E575" i="3" l="1"/>
  <c r="E536" i="3"/>
  <c r="T52" i="71"/>
  <c r="D52" i="71"/>
  <c r="T40" i="71"/>
  <c r="D40" i="71"/>
  <c r="D56" i="71"/>
  <c r="T56" i="71"/>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15"/>
  <c r="F41" i="15"/>
  <c r="M27" i="67"/>
  <c r="F22" i="68" l="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67"/>
  <c r="C14" i="67"/>
  <c r="C17" i="15"/>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9" i="1"/>
  <c r="AO7" i="1"/>
  <c r="AO6"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6" i="74"/>
  <c r="B52" i="72"/>
  <c r="G4" i="52"/>
  <c r="M67" i="9"/>
  <c r="L67" i="9"/>
  <c r="D9" i="52"/>
  <c r="D123" i="9"/>
  <c r="C86" i="9"/>
  <c r="C93" i="9"/>
  <c r="D54" i="9"/>
  <c r="C68" i="9"/>
  <c r="M66" i="9"/>
  <c r="L66" i="9"/>
  <c r="C5" i="74"/>
  <c r="M55" i="9"/>
  <c r="C64" i="9"/>
  <c r="C63" i="9"/>
  <c r="C67" i="9"/>
  <c r="D59" i="9"/>
  <c r="D122" i="9"/>
  <c r="D8" i="52"/>
  <c r="H5" i="52"/>
  <c r="H119" i="9"/>
  <c r="C80" i="9"/>
  <c r="E80" i="9"/>
  <c r="E81" i="9"/>
  <c r="D119" i="9"/>
  <c r="D5" i="52"/>
  <c r="B49" i="72"/>
  <c r="C105" i="9"/>
  <c r="I4" i="52"/>
  <c r="H102" i="9"/>
  <c r="D7" i="53"/>
  <c r="B21" i="72"/>
  <c r="C97" i="9"/>
  <c r="D58" i="9"/>
  <c r="D56" i="9"/>
  <c r="M54" i="9"/>
  <c r="B32" i="72"/>
  <c r="D14" i="53"/>
  <c r="C73" i="9"/>
  <c r="C78" i="9"/>
  <c r="D13" i="53"/>
  <c r="B30" i="72"/>
  <c r="H4" i="52"/>
  <c r="C104" i="9"/>
  <c r="M48" i="9"/>
  <c r="N60" i="9"/>
  <c r="N59" i="9"/>
  <c r="N61" i="9"/>
  <c r="F119" i="9"/>
  <c r="F5" i="52"/>
  <c r="B53" i="72"/>
  <c r="L64" i="9"/>
  <c r="M64" i="9"/>
  <c r="D118" i="9"/>
  <c r="D4" i="52"/>
  <c r="B47" i="72"/>
  <c r="E118" i="9"/>
  <c r="E4" i="52"/>
  <c r="B48" i="72"/>
  <c r="C85" i="9"/>
  <c r="C95" i="9"/>
  <c r="C96" i="9"/>
  <c r="E96" i="9"/>
  <c r="E97" i="9"/>
  <c r="N58" i="9"/>
  <c r="D55" i="9"/>
  <c r="M53" i="9"/>
  <c r="N57" i="9"/>
  <c r="P57" i="9"/>
  <c r="B20" i="72"/>
  <c r="C72" i="9"/>
  <c r="C79" i="9"/>
  <c r="C81" i="9"/>
  <c r="D53" i="9"/>
  <c r="D45" i="9"/>
  <c r="D52" i="9"/>
  <c r="H108" i="9"/>
  <c r="D15" i="53"/>
  <c r="B31" i="72"/>
  <c r="G118" i="9"/>
  <c r="F118" i="9"/>
  <c r="F4" i="52"/>
  <c r="B51" i="72"/>
  <c r="L65" i="9"/>
  <c r="M65" i="9"/>
  <c r="L63" i="9"/>
  <c r="M63" i="9"/>
  <c r="M69" i="9"/>
  <c r="N69" i="9"/>
  <c r="D5" i="53"/>
  <c r="D6" i="53"/>
  <c r="B22" i="72"/>
  <c r="I118" i="9"/>
  <c r="H118" i="9"/>
  <c r="H101" i="9"/>
  <c r="H107" i="9"/>
  <c r="M49" i="9"/>
  <c r="L68" i="9"/>
  <c r="M6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<sst xmlns="http://schemas.openxmlformats.org/spreadsheetml/2006/main" count="7872" uniqueCount="3432">
  <si>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</si>
  <si>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</si>
  <si>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</si>
  <si>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</si>
  <si>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</si>
  <si>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</si>
  <si>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</si>
  <si>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</si>
  <si>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</si>
  <si>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</si>
  <si>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</si>
  <si>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</si>
  <si>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</si>
  <si>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</si>
  <si>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</si>
  <si>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</si>
  <si>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</si>
  <si>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</si>
  <si>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</si>
  <si>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</si>
  <si>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</si>
  <si>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</si>
  <si>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</si>
  <si>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</si>
  <si>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</si>
  <si>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</si>
  <si>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</si>
  <si>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</si>
  <si>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</si>
  <si>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</si>
  <si>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</si>
  <si>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</si>
  <si>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</si>
  <si>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</si>
  <si>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</si>
  <si>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</si>
  <si>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</si>
  <si>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</si>
  <si>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</si>
  <si>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</si>
  <si>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</si>
  <si>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</si>
  <si>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</si>
  <si>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</si>
  <si>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</si>
  <si>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</si>
  <si>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</si>
  <si>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</si>
  <si>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</si>
  <si>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</si>
  <si>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</si>
  <si>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</si>
  <si>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</si>
  <si>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</si>
  <si>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</si>
  <si>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</si>
  <si>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</si>
  <si>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</si>
  <si>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</si>
  <si>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</si>
  <si>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</si>
  <si>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</si>
  <si>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</si>
  <si>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</si>
  <si>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</si>
  <si>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</si>
  <si>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</si>
  <si>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</si>
  <si>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</si>
  <si>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</si>
  <si>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</si>
  <si>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</si>
  <si>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</si>
  <si>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</si>
  <si>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</si>
  <si>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</si>
  <si>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</si>
  <si>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</si>
  <si>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</si>
  <si>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</si>
  <si>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</si>
  <si>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</si>
  <si>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</si>
  <si>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</si>
  <si>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</si>
  <si>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</si>
  <si>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</si>
  <si>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</si>
  <si>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</si>
  <si>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</si>
  <si>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</si>
  <si>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</si>
  <si>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</si>
  <si>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</si>
  <si>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</si>
  <si>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</si>
  <si>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</si>
  <si>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</si>
  <si>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</si>
  <si>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</si>
  <si>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</si>
  <si>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</si>
  <si>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</si>
  <si>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</si>
  <si>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</si>
  <si>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</si>
  <si>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</si>
  <si>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</si>
  <si>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</si>
  <si>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</si>
  <si>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</si>
  <si>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</si>
  <si>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</si>
  <si>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</si>
  <si>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</si>
  <si>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</si>
  <si>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</si>
  <si>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</si>
  <si>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</si>
  <si>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</si>
  <si>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</si>
  <si>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</si>
  <si>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</si>
  <si>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</si>
  <si>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</si>
  <si>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</si>
  <si>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</si>
  <si>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</si>
  <si>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</si>
  <si>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</si>
  <si>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</si>
  <si>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</si>
  <si>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</si>
  <si>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</si>
  <si>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</si>
  <si>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</si>
  <si>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</si>
  <si>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</si>
  <si>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</si>
  <si>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</si>
  <si>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</si>
  <si>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</si>
  <si>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</si>
  <si>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</si>
  <si>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</si>
  <si>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</si>
  <si>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</si>
  <si>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</si>
  <si>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</si>
  <si>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</si>
  <si>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</si>
  <si>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</si>
  <si>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</si>
  <si>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</si>
  <si>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</si>
  <si>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</si>
  <si>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</si>
  <si>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</si>
  <si>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</si>
  <si>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</si>
  <si>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</si>
  <si>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</si>
  <si>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</si>
  <si>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</si>
  <si>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</si>
  <si>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</si>
  <si>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</si>
  <si>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</si>
  <si>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</si>
  <si>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</si>
  <si>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</si>
  <si>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</si>
  <si>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</si>
  <si>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</si>
  <si>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</si>
  <si>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</si>
  <si>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</si>
  <si>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</si>
  <si>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</si>
  <si>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</si>
  <si>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</si>
  <si>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</si>
  <si>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</si>
  <si>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</si>
  <si>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</si>
  <si>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</si>
  <si>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</si>
  <si>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</si>
  <si>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</si>
  <si>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</si>
  <si>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</si>
  <si>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</si>
  <si>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</si>
  <si>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</si>
  <si>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</si>
  <si>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</si>
  <si>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</si>
  <si>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</si>
  <si>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</si>
  <si>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</si>
  <si>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</si>
  <si>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</si>
  <si>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</si>
  <si>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</si>
  <si>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</si>
  <si>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</si>
  <si>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</si>
  <si>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</si>
  <si>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</si>
  <si>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</si>
  <si>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</si>
  <si>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</si>
  <si>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</si>
  <si>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</si>
  <si>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</si>
  <si>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</si>
  <si>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</si>
  <si>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</si>
  <si>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</si>
  <si>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</si>
  <si>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</si>
  <si>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</si>
  <si>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</si>
  <si>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</si>
  <si>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</si>
  <si>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</si>
  <si>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</si>
  <si>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</si>
  <si>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</si>
  <si>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</si>
  <si>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</si>
  <si>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</si>
  <si>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</si>
  <si>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</si>
  <si>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</si>
  <si>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</si>
  <si>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</si>
  <si>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</si>
  <si>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</si>
  <si>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</si>
  <si>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</si>
  <si>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</si>
  <si>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</si>
  <si>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</si>
  <si>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</si>
  <si>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</si>
  <si>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</si>
  <si>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</si>
  <si>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</si>
  <si>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</si>
  <si>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</si>
  <si>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</si>
  <si>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</si>
  <si>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</si>
  <si>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</si>
  <si>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</si>
  <si>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</si>
  <si>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</si>
  <si>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</si>
  <si>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</si>
  <si>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</si>
  <si>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</si>
  <si>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</si>
  <si>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</si>
  <si>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</si>
  <si>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</si>
  <si>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</si>
  <si>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</si>
  <si>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</si>
  <si>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</si>
  <si>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</si>
  <si>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</si>
  <si>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</si>
  <si>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</si>
  <si>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</si>
  <si>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</si>
  <si>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</si>
  <si>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</si>
  <si>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</si>
  <si>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</si>
  <si>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</si>
  <si>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</si>
  <si>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</si>
  <si>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</si>
  <si>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</si>
  <si>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</si>
  <si>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</si>
  <si>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</si>
  <si>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</si>
  <si>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</si>
  <si>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</si>
  <si>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</si>
  <si>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</si>
  <si>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</si>
  <si>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</si>
  <si>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</si>
  <si>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</si>
  <si>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</si>
  <si>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</si>
  <si>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</si>
  <si>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</si>
  <si>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</si>
  <si>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</si>
  <si>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</si>
  <si>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</si>
  <si>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</si>
  <si>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</si>
  <si>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</si>
  <si>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</si>
  <si>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</si>
  <si>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</si>
  <si>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</si>
  <si>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</si>
  <si>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</si>
  <si>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</si>
  <si>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</si>
  <si>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</si>
  <si>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</si>
  <si>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</si>
  <si>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</si>
  <si>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</si>
  <si>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</si>
  <si>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</si>
  <si>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</si>
  <si>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</si>
  <si>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</si>
  <si>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</si>
  <si>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</si>
  <si>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</si>
  <si>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</si>
  <si>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</si>
  <si>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</si>
  <si>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</si>
  <si>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</si>
  <si>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</si>
  <si>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</si>
  <si>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</si>
  <si>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</si>
  <si>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</si>
  <si>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</si>
  <si>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</si>
  <si>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</si>
  <si>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</si>
  <si>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</si>
  <si>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</si>
  <si>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</si>
  <si>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</si>
  <si>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</si>
  <si>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</si>
  <si>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</si>
  <si>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</si>
  <si>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</si>
  <si>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</si>
  <si>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</si>
  <si>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</si>
  <si>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</si>
  <si>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</si>
  <si>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</si>
  <si>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</si>
  <si>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</si>
  <si>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</si>
  <si>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</si>
  <si>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</si>
  <si>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</si>
  <si>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</si>
  <si>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</si>
  <si>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</si>
  <si>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</si>
  <si>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</si>
  <si>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</si>
  <si>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</si>
  <si>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</si>
  <si>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</si>
  <si>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</si>
  <si>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</si>
  <si>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</si>
  <si>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</si>
  <si>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</si>
  <si>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</si>
  <si>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</si>
  <si>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</si>
  <si>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</si>
  <si>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</si>
  <si>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</si>
  <si>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</si>
  <si>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</si>
  <si>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</si>
  <si>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</si>
  <si>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</si>
  <si>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</si>
  <si>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</si>
  <si>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</si>
  <si>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</si>
  <si>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</si>
  <si>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</si>
  <si>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</si>
  <si>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</si>
  <si>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</si>
  <si>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</si>
  <si>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</si>
  <si>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</si>
  <si>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</si>
  <si>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</si>
  <si>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</si>
  <si>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</si>
  <si>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</si>
  <si>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</si>
  <si>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</si>
  <si>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</si>
  <si>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</si>
  <si>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</si>
  <si>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</si>
  <si>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</si>
  <si>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</si>
  <si>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</si>
  <si>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</si>
  <si>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</si>
  <si>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</si>
  <si>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</si>
  <si>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</si>
  <si>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</si>
  <si>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</si>
  <si>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</si>
  <si>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</si>
  <si>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</si>
  <si>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</si>
  <si>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</si>
  <si>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</si>
  <si>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</si>
  <si>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</si>
  <si>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</si>
  <si>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</si>
  <si>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</si>
  <si>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</si>
  <si>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</si>
  <si>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</si>
  <si>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</si>
  <si>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</si>
  <si>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</si>
  <si>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</si>
  <si>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</si>
  <si>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</si>
  <si>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</si>
  <si>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</si>
  <si>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</si>
  <si>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</si>
  <si>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</si>
  <si>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</si>
  <si>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</si>
  <si>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</si>
  <si>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</si>
  <si>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</si>
  <si>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</si>
  <si>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</si>
  <si>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</si>
  <si>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</si>
  <si>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</si>
  <si>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</si>
  <si>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</si>
  <si>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</si>
  <si>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</si>
  <si>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</si>
  <si>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</si>
  <si>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</si>
  <si>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</si>
  <si>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</si>
  <si>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</si>
  <si>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</si>
  <si>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</si>
  <si>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</si>
  <si>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</si>
  <si>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</si>
  <si>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</si>
  <si>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</si>
  <si>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</si>
  <si>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</si>
  <si>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</si>
  <si>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</si>
  <si>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</si>
  <si>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</si>
  <si>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</si>
  <si>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</si>
  <si>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</si>
  <si>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</si>
  <si>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</si>
  <si>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</si>
  <si>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</si>
  <si>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</si>
  <si>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</si>
  <si>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</si>
  <si>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</si>
  <si>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</si>
  <si>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</si>
  <si>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</si>
  <si>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</si>
  <si>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</si>
  <si>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</si>
  <si>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</si>
  <si>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</si>
  <si>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</si>
  <si>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</si>
  <si>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</si>
  <si>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</si>
  <si>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</si>
  <si>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</si>
  <si>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</si>
  <si>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</si>
  <si>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</si>
  <si>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</si>
  <si>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</si>
  <si>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</si>
  <si>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</si>
  <si>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</si>
  <si>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</si>
  <si>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</si>
  <si>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</si>
  <si>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</si>
  <si>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</si>
  <si>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</si>
  <si>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</si>
  <si>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</si>
  <si>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</si>
  <si>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</si>
  <si>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</si>
  <si>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</si>
  <si>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</si>
  <si>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</si>
  <si>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</si>
  <si>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</si>
  <si>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</si>
  <si>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</si>
  <si>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</si>
  <si>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</si>
  <si>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</si>
  <si>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</si>
  <si>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</si>
  <si>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</si>
  <si>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</si>
  <si>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</si>
  <si>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</si>
  <si>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</si>
  <si>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</si>
  <si>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</si>
  <si>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</si>
  <si>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</si>
  <si>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</si>
  <si>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</si>
  <si>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</si>
  <si>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</si>
  <si>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</si>
  <si>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</si>
  <si>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</si>
  <si>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</si>
  <si>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</si>
  <si>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</si>
  <si>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</si>
  <si>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</si>
  <si>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</si>
  <si>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</si>
  <si>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</si>
  <si>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</si>
  <si>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</si>
  <si>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</si>
  <si>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</si>
  <si>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</si>
  <si>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</si>
  <si>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</si>
  <si>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</si>
  <si>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</si>
  <si>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</si>
  <si>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</si>
  <si>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</si>
  <si>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</si>
  <si>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</si>
  <si>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</si>
  <si>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</si>
  <si>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</si>
  <si>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</si>
  <si>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</si>
  <si>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</si>
  <si>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</si>
  <si>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</si>
  <si>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</si>
  <si>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</si>
  <si>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</si>
  <si>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</si>
  <si>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</si>
  <si>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</si>
  <si>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</si>
  <si>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</si>
  <si>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</si>
  <si>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</si>
  <si>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</si>
  <si>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</si>
  <si>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</si>
  <si>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</si>
  <si>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</si>
  <si>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</si>
  <si>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</si>
  <si>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</si>
  <si>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</si>
  <si>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</si>
  <si>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</si>
  <si>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</si>
  <si>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</si>
  <si>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</si>
  <si>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</si>
  <si>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</si>
  <si>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</si>
  <si>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</si>
  <si>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</si>
  <si>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</si>
  <si>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</si>
  <si>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</si>
  <si>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</si>
  <si>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</si>
  <si>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</si>
  <si>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</si>
  <si>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</si>
  <si>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</si>
  <si>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</si>
  <si>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</si>
  <si>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</si>
  <si>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</si>
  <si>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</si>
  <si>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</si>
  <si>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</si>
  <si>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</si>
  <si>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</si>
  <si>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</si>
  <si>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</si>
  <si>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</si>
  <si>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</si>
  <si>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</si>
  <si>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</si>
  <si>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</si>
  <si>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</si>
  <si>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</si>
  <si>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</si>
  <si>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</si>
  <si>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</si>
  <si>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</si>
  <si>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</si>
  <si>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</si>
  <si>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</si>
  <si>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</si>
  <si>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</si>
  <si>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</si>
  <si>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</si>
  <si>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</si>
  <si>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</si>
  <si>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</si>
  <si>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</si>
  <si>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</si>
  <si>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</si>
  <si>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</si>
  <si>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</si>
  <si>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</si>
  <si>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</si>
  <si>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</si>
  <si>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</si>
  <si>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</si>
  <si>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</si>
  <si>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</si>
  <si>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</si>
  <si>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</si>
  <si>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</si>
  <si>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</si>
  <si>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</si>
  <si>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</si>
  <si>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</si>
  <si>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</si>
  <si>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</si>
  <si>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</si>
  <si>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</si>
  <si>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</si>
  <si>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</si>
  <si>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</si>
  <si>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</si>
  <si>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</si>
  <si>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</si>
  <si>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</si>
  <si>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</si>
  <si>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</si>
  <si>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</si>
  <si>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</si>
  <si>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</si>
  <si>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</si>
  <si>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</si>
  <si>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</si>
  <si>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</si>
  <si>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</si>
  <si>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</si>
  <si>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</si>
  <si>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</si>
  <si>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</si>
  <si>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</si>
  <si>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</si>
  <si>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</si>
  <si>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</si>
  <si>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</si>
  <si>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</si>
  <si>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</si>
  <si>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</si>
  <si>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</si>
  <si>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</si>
  <si>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</si>
  <si>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</si>
  <si>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</si>
  <si>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</si>
  <si>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</si>
  <si>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</si>
  <si>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</si>
  <si>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</si>
  <si>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</si>
  <si>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</si>
  <si>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</si>
  <si>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</si>
  <si>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</si>
  <si>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</si>
  <si>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</si>
  <si>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</si>
  <si>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</si>
  <si>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</si>
  <si>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</si>
  <si>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</si>
  <si>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</si>
  <si>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</si>
  <si>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</si>
  <si>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</si>
  <si>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</si>
  <si>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</si>
  <si>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</si>
  <si>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</si>
  <si>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</si>
  <si>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</si>
  <si>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</si>
  <si>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</si>
  <si>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</si>
  <si>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</si>
  <si>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</si>
  <si>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</si>
  <si>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</si>
  <si>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</si>
  <si>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</si>
  <si>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</si>
  <si>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</si>
  <si>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</si>
  <si>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</si>
  <si>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</si>
  <si>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</si>
  <si>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</si>
  <si>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</si>
  <si>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</si>
  <si>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</si>
  <si>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</si>
  <si>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</si>
  <si>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</si>
  <si>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</si>
  <si>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</si>
  <si>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</si>
  <si>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</si>
  <si>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</si>
  <si>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</si>
  <si>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</si>
  <si>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</si>
  <si>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</si>
  <si>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</si>
  <si>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</si>
  <si>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</si>
  <si>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</si>
  <si>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</si>
  <si>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</si>
  <si>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</si>
  <si>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</si>
  <si>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</si>
  <si>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</si>
  <si>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</si>
  <si>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</si>
  <si>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</si>
  <si>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</si>
  <si>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</si>
  <si>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</si>
  <si>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</si>
  <si>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</si>
  <si>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</si>
  <si>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</si>
  <si>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</si>
  <si>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</si>
  <si>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</si>
  <si>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</si>
  <si>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</si>
  <si>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</si>
  <si>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</si>
  <si>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</si>
  <si>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</si>
  <si>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</si>
  <si>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</si>
  <si>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</si>
  <si>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</si>
  <si>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</si>
  <si>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</si>
  <si>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</si>
  <si>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</si>
  <si>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</si>
  <si>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</si>
  <si>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</si>
  <si>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</si>
  <si>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</si>
  <si>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</si>
  <si>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</si>
  <si>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</si>
  <si>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</si>
  <si>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</si>
  <si>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</si>
  <si>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</si>
  <si>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</si>
  <si>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</si>
  <si>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</si>
  <si>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</si>
  <si>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</si>
  <si>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</si>
  <si>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</si>
  <si>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</si>
  <si>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</si>
  <si>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</si>
  <si>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</si>
  <si>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</si>
  <si>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</si>
  <si>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</si>
  <si>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</si>
  <si>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</si>
  <si>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</si>
  <si>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</si>
  <si>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</si>
  <si>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</si>
  <si>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</si>
  <si>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</si>
  <si>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</si>
  <si>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</si>
  <si>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</si>
  <si>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</si>
  <si>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</si>
  <si>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</si>
  <si>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</si>
  <si>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</si>
  <si>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</si>
  <si>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</si>
  <si>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</si>
  <si>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</si>
  <si>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</si>
  <si>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</si>
  <si>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</si>
  <si>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</si>
  <si>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</si>
  <si>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</si>
  <si>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</si>
  <si>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</si>
  <si>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</si>
  <si>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</si>
  <si>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</si>
  <si>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</si>
  <si>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</si>
  <si>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</si>
  <si>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</si>
  <si>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</si>
  <si>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</si>
  <si>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</si>
  <si>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</si>
  <si>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</si>
  <si>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</si>
  <si>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</si>
  <si>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</si>
  <si>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</si>
  <si>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</si>
  <si>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</si>
  <si>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</si>
  <si>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</si>
  <si>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</si>
  <si>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</si>
  <si>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</si>
  <si>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</si>
  <si>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</si>
  <si>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</si>
  <si>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</si>
  <si>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</si>
  <si>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</si>
  <si>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</si>
  <si>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</si>
  <si>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</si>
  <si>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</si>
  <si>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</si>
  <si>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</si>
  <si>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</si>
  <si>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</si>
  <si>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</si>
  <si>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</si>
  <si>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</si>
  <si>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</si>
  <si>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</si>
  <si>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</si>
  <si>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</si>
  <si>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</si>
  <si>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</si>
  <si>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</si>
  <si>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</si>
  <si>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</si>
  <si>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</si>
  <si>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</si>
  <si>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</si>
  <si>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</si>
  <si>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</si>
  <si>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</si>
  <si>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</si>
  <si>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</si>
  <si>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</si>
  <si>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</si>
  <si>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</si>
  <si>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</si>
  <si>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</si>
  <si>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</si>
  <si>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</si>
  <si>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</si>
  <si>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</si>
  <si>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</si>
  <si>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</si>
  <si>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</si>
  <si>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</si>
  <si>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</si>
  <si>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</si>
  <si>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</si>
  <si>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</si>
  <si>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</si>
  <si>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</si>
  <si>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</si>
  <si>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</si>
  <si>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</si>
  <si>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</si>
  <si>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</si>
  <si>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</si>
  <si>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</si>
  <si>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</si>
  <si>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</si>
  <si>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</si>
  <si>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</si>
  <si>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</si>
  <si>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</si>
  <si>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</si>
  <si>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</si>
  <si>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</si>
  <si>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</si>
  <si>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</si>
  <si>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</si>
  <si>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</si>
  <si>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</si>
  <si>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</si>
  <si>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</si>
  <si>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</si>
  <si>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</si>
  <si>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</si>
  <si>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</si>
  <si>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</si>
  <si>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</si>
  <si>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</si>
  <si>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</si>
  <si>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</si>
  <si>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</si>
  <si>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</si>
  <si>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</si>
  <si>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</si>
  <si>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</si>
  <si>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</si>
  <si>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</si>
  <si>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</si>
  <si>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</si>
  <si>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</si>
  <si>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</si>
  <si>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</si>
  <si>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</si>
  <si>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</si>
  <si>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</si>
  <si>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</si>
  <si>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</si>
  <si>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</si>
  <si>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</si>
  <si>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</si>
  <si>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</si>
  <si>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</si>
  <si>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</si>
  <si>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</si>
  <si>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</si>
  <si>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</si>
  <si>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</si>
  <si>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</si>
  <si>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</si>
  <si>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</si>
  <si>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</si>
  <si>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</si>
  <si>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</si>
  <si>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</si>
  <si>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</si>
  <si>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</si>
  <si>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</si>
  <si>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</si>
  <si>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</si>
  <si>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</si>
  <si>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</si>
  <si>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</si>
  <si>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</si>
  <si>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</si>
  <si>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</si>
  <si>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</si>
  <si>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</si>
  <si>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</si>
  <si>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</si>
  <si>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</si>
  <si>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</si>
  <si>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</si>
  <si>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</si>
  <si>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</si>
  <si>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</si>
  <si>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</si>
  <si>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</si>
  <si>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</si>
  <si>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</si>
  <si>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</si>
  <si>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</si>
  <si>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</si>
  <si>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</si>
  <si>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</si>
  <si>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</si>
  <si>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</si>
  <si>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</si>
  <si>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</si>
  <si>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</si>
  <si>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</si>
  <si>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</si>
  <si>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</si>
  <si>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</si>
  <si>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</si>
  <si>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</si>
  <si>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</si>
  <si>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</si>
  <si>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</si>
  <si>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</si>
  <si>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</si>
  <si>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</si>
  <si>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</si>
  <si>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</si>
  <si>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</si>
  <si>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</si>
  <si>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</si>
  <si>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</si>
  <si>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</si>
  <si>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</si>
  <si>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</si>
  <si>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</si>
  <si>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</si>
  <si>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</si>
  <si>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</si>
  <si>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</si>
  <si>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</si>
  <si>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</si>
  <si>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</si>
  <si>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</si>
  <si>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</si>
  <si>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</si>
  <si>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</si>
  <si>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</si>
  <si>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</si>
  <si>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</si>
  <si>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</si>
  <si>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</si>
  <si>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</si>
  <si>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</si>
  <si>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</si>
  <si>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</si>
  <si>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</si>
  <si>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</si>
  <si>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</si>
  <si>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</si>
  <si>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</si>
  <si>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</si>
  <si>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</si>
  <si>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</si>
  <si>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</si>
  <si>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</si>
  <si>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</si>
  <si>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</si>
  <si>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</si>
  <si>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</si>
  <si>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</si>
  <si>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</si>
  <si>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</si>
  <si>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</si>
  <si>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</si>
  <si>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</si>
  <si>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</si>
  <si>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</si>
  <si>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</si>
  <si>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</si>
  <si>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</si>
  <si>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</si>
  <si>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</si>
  <si>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</si>
  <si>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</si>
  <si>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</si>
  <si>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</si>
  <si>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</si>
  <si>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</si>
  <si>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</si>
  <si>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</si>
  <si>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</si>
  <si>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</si>
  <si>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</si>
  <si>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</si>
  <si>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</si>
  <si>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</si>
  <si>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</si>
  <si>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</si>
  <si>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</si>
  <si>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</si>
  <si>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</si>
  <si>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</si>
  <si>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</si>
  <si>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</si>
  <si>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</si>
  <si>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</si>
  <si>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</si>
  <si>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</si>
  <si>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</si>
  <si>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</si>
  <si>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</si>
  <si>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</si>
  <si>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</si>
  <si>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</si>
  <si>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</si>
  <si>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</si>
  <si>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</si>
  <si>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</si>
  <si>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</si>
  <si>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</si>
  <si>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</si>
  <si>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</si>
  <si>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</si>
  <si>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</si>
  <si>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</si>
  <si>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</si>
  <si>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</si>
  <si>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</si>
  <si>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</si>
  <si>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</si>
  <si>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</si>
  <si>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</si>
  <si>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</si>
  <si>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</si>
  <si>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</si>
  <si>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</si>
  <si>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</si>
  <si>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</si>
  <si>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</si>
  <si>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</si>
  <si>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</si>
  <si>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</si>
  <si>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</si>
  <si>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</si>
  <si>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</si>
  <si>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</si>
  <si>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</si>
  <si>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</si>
  <si>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</si>
  <si>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</si>
  <si>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</si>
  <si>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</si>
  <si>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</si>
  <si>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</si>
  <si>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</si>
  <si>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</si>
  <si>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</si>
  <si>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</si>
  <si>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</si>
  <si>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</si>
  <si>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</si>
  <si>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</si>
  <si>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</si>
  <si>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</si>
  <si>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</si>
  <si>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</si>
  <si>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</si>
  <si>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</si>
  <si>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</si>
  <si>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</si>
  <si>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</si>
  <si>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</si>
  <si>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</si>
  <si>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</si>
  <si>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</si>
  <si>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</si>
  <si>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</si>
  <si>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</si>
  <si>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</si>
  <si>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</si>
  <si>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</si>
  <si>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</si>
  <si>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</si>
  <si>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</si>
  <si>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</si>
  <si>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</si>
  <si>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</si>
  <si>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</si>
  <si>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</si>
  <si>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</si>
  <si>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</si>
  <si>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</si>
  <si>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</si>
  <si>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</si>
  <si>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</si>
  <si>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</si>
  <si>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</si>
  <si>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</si>
  <si>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</si>
  <si>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</si>
  <si>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</si>
  <si>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</si>
  <si>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</si>
  <si>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</si>
  <si>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</si>
  <si>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</si>
  <si>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</si>
  <si>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</si>
  <si>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</si>
  <si>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</si>
  <si>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</si>
  <si>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</si>
  <si>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</si>
  <si>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</si>
  <si>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</si>
  <si>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</si>
  <si>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</si>
  <si>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</si>
  <si>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</si>
  <si>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</si>
  <si>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</si>
  <si>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</si>
  <si>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</si>
  <si>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</si>
  <si>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</si>
  <si>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</si>
  <si>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</si>
  <si>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</si>
  <si>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</si>
  <si>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</si>
  <si>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</si>
  <si>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</si>
  <si>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</si>
  <si>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</si>
  <si>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</si>
  <si>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</si>
  <si>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</si>
  <si>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</si>
  <si>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</si>
  <si>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</si>
  <si>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</si>
  <si>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</si>
  <si>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</si>
  <si>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</si>
  <si>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</si>
  <si>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</si>
  <si>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</si>
  <si>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</si>
  <si>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</si>
  <si>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</si>
  <si>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</si>
  <si>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</si>
  <si>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</si>
  <si>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</si>
  <si>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</si>
  <si>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</si>
  <si>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</si>
  <si>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</si>
  <si>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</si>
  <si>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</si>
  <si>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</si>
  <si>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</si>
  <si>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</si>
  <si>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</si>
  <si>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</si>
  <si>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</si>
  <si>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</si>
  <si>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</si>
  <si>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</si>
  <si>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</si>
  <si>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</si>
  <si>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</si>
  <si>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</si>
  <si>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</si>
  <si>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</si>
  <si>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</si>
  <si>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</si>
  <si>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</si>
  <si>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</si>
  <si>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</si>
  <si>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</si>
  <si>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</si>
  <si>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</si>
  <si>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</si>
  <si>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</si>
  <si>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</si>
  <si>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</si>
  <si>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</si>
  <si>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</si>
  <si>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</si>
  <si>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</si>
  <si>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</si>
  <si>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</si>
  <si>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</si>
  <si>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</si>
  <si>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</si>
  <si>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</si>
  <si>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</si>
  <si>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</si>
  <si>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</si>
  <si>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</si>
  <si>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</si>
  <si>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</si>
  <si>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</si>
  <si>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</si>
  <si>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</si>
  <si>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</si>
  <si>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</si>
  <si>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</si>
  <si>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</si>
  <si>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</si>
  <si>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</si>
  <si>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</si>
  <si>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</si>
  <si>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</si>
  <si>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</si>
  <si>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</si>
  <si>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</si>
  <si>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</si>
  <si>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</si>
  <si>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</si>
  <si>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</si>
  <si>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</si>
  <si>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</si>
  <si>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</si>
  <si>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</si>
  <si>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</si>
  <si>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</si>
  <si>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</si>
  <si>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</si>
  <si>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</si>
  <si>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</si>
  <si>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</si>
  <si>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</si>
  <si>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</si>
  <si>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</si>
  <si>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</si>
  <si>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</si>
  <si>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</si>
  <si>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</si>
  <si>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</si>
  <si>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</si>
  <si>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</si>
  <si>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</si>
  <si>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</si>
  <si>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</si>
  <si>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</si>
  <si>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</si>
  <si>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</si>
  <si>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</si>
  <si>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</si>
  <si>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</si>
  <si>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</si>
  <si>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</si>
  <si>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</si>
  <si>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</si>
  <si>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</si>
  <si>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</si>
  <si>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</si>
  <si>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</si>
  <si>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</si>
  <si>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</si>
  <si>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</si>
  <si>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</si>
  <si>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</si>
  <si>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</si>
  <si>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</si>
  <si>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</si>
  <si>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</si>
  <si>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</si>
  <si>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</si>
  <si>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</si>
  <si>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</si>
  <si>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</si>
  <si>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</si>
  <si>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</si>
  <si>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</si>
  <si>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</si>
  <si>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</si>
  <si>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</si>
  <si>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</si>
  <si>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</si>
  <si>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</si>
  <si>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</si>
  <si>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</si>
  <si>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</si>
  <si>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</si>
  <si>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</si>
  <si>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</si>
  <si>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</si>
  <si>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</si>
  <si>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</si>
  <si>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</si>
  <si>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</si>
  <si>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</si>
  <si>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</si>
  <si>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</si>
  <si>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</si>
  <si>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</si>
  <si>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</si>
  <si>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</si>
  <si>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</si>
  <si>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</si>
  <si>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</si>
  <si>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</si>
  <si>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</si>
  <si>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</si>
  <si>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</si>
  <si>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</si>
  <si>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</si>
  <si>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</si>
  <si>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</si>
  <si>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</si>
  <si>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</si>
  <si>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</si>
  <si>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</si>
  <si>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</si>
  <si>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</si>
  <si>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</si>
  <si>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</si>
  <si>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</si>
  <si>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</si>
  <si>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</si>
  <si>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</si>
  <si>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</si>
  <si>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</si>
  <si>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</si>
  <si>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</si>
  <si>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</si>
  <si>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</si>
  <si>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</si>
  <si>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</si>
  <si>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</si>
  <si>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</si>
  <si>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</si>
  <si>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</si>
  <si>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</si>
  <si>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</si>
  <si>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</si>
  <si>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</si>
  <si>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</si>
  <si>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</si>
  <si>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</si>
  <si>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</si>
  <si>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</si>
  <si>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</si>
  <si>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</si>
  <si>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</si>
  <si>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</si>
  <si>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</si>
  <si>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</si>
  <si>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</si>
  <si>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</si>
  <si>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</si>
  <si>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</si>
  <si>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</si>
  <si>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</si>
  <si>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</si>
  <si>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</si>
  <si>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</si>
  <si>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</si>
  <si>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</si>
  <si>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</si>
  <si>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</si>
  <si>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</si>
  <si>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</si>
  <si>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</si>
  <si>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</si>
  <si>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</si>
  <si>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</si>
  <si>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</si>
  <si>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</si>
  <si>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</si>
  <si>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</si>
  <si>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</si>
  <si>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</si>
  <si>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</si>
  <si>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</si>
  <si>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</si>
  <si>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</si>
  <si>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</si>
  <si>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</si>
  <si>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</si>
  <si>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</si>
  <si>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</si>
  <si>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</si>
  <si>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</si>
  <si>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</si>
  <si>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</si>
  <si>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</si>
  <si>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</si>
  <si>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</si>
  <si>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</si>
  <si>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</si>
  <si>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</si>
  <si>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</si>
  <si>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</si>
  <si>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</si>
  <si>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</si>
  <si>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</si>
  <si>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</si>
  <si>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</si>
  <si>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</si>
  <si>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</si>
  <si>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</si>
  <si>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</si>
  <si>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</si>
  <si>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</si>
  <si>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</si>
  <si>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</si>
  <si>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</si>
  <si>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</si>
  <si>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</si>
  <si>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</si>
  <si>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</si>
  <si>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</si>
  <si>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</si>
  <si>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</si>
  <si>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</si>
  <si>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</si>
  <si>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</si>
  <si>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</si>
  <si>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</si>
  <si>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</si>
  <si>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</si>
  <si>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</si>
  <si>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</si>
  <si>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</si>
  <si>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</si>
  <si>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</si>
  <si>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</si>
  <si>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</si>
  <si>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</si>
  <si>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</si>
  <si>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</si>
  <si>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</si>
  <si>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</si>
  <si>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</si>
  <si>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</si>
  <si>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</si>
  <si>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</si>
  <si>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</si>
  <si>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</si>
  <si>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</si>
  <si>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</si>
  <si>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</si>
  <si>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</si>
  <si>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</si>
  <si>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</si>
  <si>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</si>
  <si>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</si>
  <si>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</si>
  <si>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</si>
  <si>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</si>
  <si>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</si>
  <si>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</si>
  <si>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</si>
  <si>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</si>
  <si>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</si>
  <si>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</si>
  <si>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</si>
  <si>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</si>
  <si>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</si>
  <si>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</si>
  <si>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</si>
  <si>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</si>
  <si>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</si>
  <si>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</si>
  <si>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</si>
  <si>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</si>
  <si>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</si>
  <si>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</si>
  <si>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</si>
  <si>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</si>
  <si>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</si>
  <si>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</si>
  <si>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</si>
  <si>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</si>
  <si>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</si>
  <si>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</si>
  <si>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</si>
  <si>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</si>
  <si>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</si>
  <si>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</si>
  <si>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</si>
  <si>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</si>
  <si>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</si>
  <si>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</si>
  <si>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</si>
  <si>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</si>
  <si>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</si>
  <si>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</si>
  <si>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</si>
  <si>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</si>
  <si>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</si>
  <si>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</si>
  <si>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</si>
  <si>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</si>
  <si>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</si>
  <si>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</si>
  <si>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</si>
  <si>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</si>
  <si>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</si>
  <si>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</si>
  <si>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</si>
  <si>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</si>
  <si>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</si>
  <si>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</si>
  <si>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</si>
  <si>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</si>
  <si>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</si>
  <si>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</si>
  <si>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</si>
  <si>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</si>
  <si>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</si>
  <si>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</si>
  <si>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</si>
  <si>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</si>
  <si>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</si>
  <si>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</si>
  <si>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</si>
  <si>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</si>
  <si>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</si>
  <si>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</si>
  <si>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</si>
  <si>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</si>
  <si>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</si>
  <si>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</si>
  <si>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</si>
  <si>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</si>
  <si>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</si>
  <si>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</si>
  <si>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</si>
  <si>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</si>
  <si>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</si>
  <si>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</si>
  <si>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</si>
  <si>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</si>
  <si>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</si>
  <si>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</si>
  <si>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</si>
  <si>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</si>
  <si>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</si>
  <si>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</si>
  <si>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</si>
  <si>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</si>
  <si>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</si>
  <si>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</si>
  <si>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</si>
  <si>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</si>
  <si>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</si>
  <si>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</si>
  <si>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</si>
  <si>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</si>
  <si>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</si>
  <si>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</si>
  <si>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</si>
  <si>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</si>
  <si>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</si>
  <si>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</si>
  <si>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</si>
  <si>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</si>
  <si>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</si>
  <si>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</si>
  <si>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</si>
  <si>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</si>
  <si>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</si>
  <si>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</si>
  <si>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</si>
  <si>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</si>
  <si>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</si>
  <si>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</si>
  <si>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</si>
  <si>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</si>
  <si>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</si>
  <si>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</si>
  <si>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</si>
  <si>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</si>
  <si>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</si>
  <si>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</si>
  <si>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</si>
  <si>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</si>
  <si>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</si>
  <si>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</si>
  <si>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</si>
  <si>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</si>
  <si>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</si>
  <si>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</si>
  <si>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</si>
  <si>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</si>
  <si>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</si>
  <si>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</si>
  <si>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</si>
  <si>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</si>
  <si>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</si>
  <si>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</si>
  <si>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</si>
  <si>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</si>
  <si>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</si>
  <si>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</si>
  <si>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</si>
  <si>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</si>
  <si>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</si>
  <si>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</si>
  <si>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</si>
  <si>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</si>
  <si>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</si>
  <si>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</si>
  <si>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</si>
  <si>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</si>
  <si>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</si>
  <si>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</si>
  <si>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</si>
  <si>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</si>
  <si>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</si>
  <si>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</si>
  <si>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</si>
  <si>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</si>
  <si>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</si>
  <si>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</si>
  <si>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</si>
  <si>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</si>
  <si>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</si>
  <si>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</si>
  <si>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</si>
  <si>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</si>
  <si>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</si>
  <si>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</si>
  <si>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</si>
  <si>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</si>
  <si>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</si>
  <si>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</si>
  <si>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</si>
  <si>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</si>
  <si>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</si>
  <si>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</si>
  <si>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</si>
  <si>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</si>
  <si>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</si>
  <si>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</si>
  <si>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</si>
  <si>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</si>
  <si>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</si>
  <si>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</si>
  <si>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</si>
  <si>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</si>
  <si>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</si>
  <si>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</si>
  <si>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</si>
  <si>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</si>
  <si>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</si>
  <si>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</si>
  <si>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</si>
  <si>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</si>
  <si>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</si>
  <si>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</si>
  <si>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</si>
  <si>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</si>
  <si>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</si>
  <si>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</si>
  <si>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</si>
  <si>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</si>
  <si>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</si>
  <si>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</si>
  <si>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</si>
  <si>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</si>
  <si>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</si>
  <si>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</si>
  <si>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</si>
  <si>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</si>
  <si>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</si>
  <si>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</si>
  <si>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</si>
  <si>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</si>
  <si>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</si>
  <si>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</si>
  <si>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</si>
  <si>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</si>
  <si>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</si>
  <si>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</si>
  <si>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</si>
  <si>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</si>
  <si>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</si>
  <si>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</si>
  <si>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</si>
  <si>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</si>
  <si>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</si>
  <si>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</si>
  <si>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</si>
  <si>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</si>
  <si>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</si>
  <si>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</si>
  <si>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</si>
  <si>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</si>
  <si>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</si>
  <si>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</si>
  <si>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</si>
  <si>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</si>
  <si>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</si>
  <si>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</si>
  <si>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</si>
  <si>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</si>
  <si>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</si>
  <si>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</si>
  <si>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</si>
  <si>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</si>
  <si>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</si>
  <si>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</si>
  <si>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</si>
  <si>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</si>
  <si>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</si>
  <si>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</si>
  <si>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</si>
  <si>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</si>
  <si>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</si>
  <si>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</si>
  <si>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</si>
  <si>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</si>
  <si>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</si>
  <si>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</si>
  <si>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</si>
  <si>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</si>
  <si>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</si>
  <si>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</si>
  <si>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</si>
  <si>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</si>
  <si>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</si>
  <si>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</si>
  <si>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</si>
  <si>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</si>
  <si>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</si>
  <si>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</si>
  <si>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</si>
  <si>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</si>
  <si>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</si>
  <si>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</si>
  <si>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</si>
  <si>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</si>
  <si>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</si>
  <si>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</si>
  <si>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</si>
  <si>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</si>
  <si>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</si>
  <si>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</si>
  <si>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</si>
  <si>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</si>
  <si>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</si>
  <si>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</si>
  <si>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</si>
  <si>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</si>
  <si>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</si>
  <si>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</si>
  <si>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</si>
  <si>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</si>
  <si>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</si>
  <si>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</si>
  <si>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</si>
  <si>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</si>
  <si>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</si>
  <si>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</si>
  <si>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</si>
  <si>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</si>
  <si>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</si>
  <si>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</si>
  <si>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</si>
  <si>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</si>
  <si>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</si>
  <si>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</si>
  <si>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</si>
  <si>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</si>
  <si>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</si>
  <si>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</si>
  <si>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</si>
  <si>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</si>
  <si>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</si>
  <si>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</si>
  <si>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</si>
  <si>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</si>
  <si>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</si>
  <si>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</si>
  <si>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</si>
  <si>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</si>
  <si>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</si>
  <si>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</si>
  <si>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</si>
  <si>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</si>
  <si>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</si>
  <si>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</si>
  <si>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</si>
  <si>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</si>
  <si>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</si>
  <si>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</si>
  <si>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</si>
  <si>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</si>
  <si>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</si>
  <si>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</si>
  <si>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</si>
  <si>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</si>
  <si>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</si>
  <si>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</si>
  <si>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</si>
  <si>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</si>
  <si>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</si>
  <si>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</si>
  <si>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</si>
  <si>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</si>
  <si>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</si>
  <si>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</si>
  <si>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</si>
  <si>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</si>
  <si>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</si>
  <si>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</si>
  <si>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</si>
  <si>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</si>
  <si>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</si>
  <si>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</si>
  <si>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</si>
  <si>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</si>
  <si>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</si>
  <si>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</si>
  <si>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</si>
  <si>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</si>
  <si>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</si>
  <si>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</si>
  <si>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</si>
  <si>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</si>
  <si>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</si>
  <si>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</si>
  <si>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</si>
  <si>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</si>
  <si>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</si>
  <si>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</si>
  <si>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</si>
  <si>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</si>
  <si>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</si>
  <si>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</si>
  <si>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</si>
  <si>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</si>
  <si>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</si>
  <si>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</si>
  <si>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</si>
  <si>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</si>
  <si>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</si>
  <si>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</si>
  <si>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</si>
  <si>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</si>
  <si>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</si>
  <si>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</si>
  <si>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</si>
  <si>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</si>
  <si>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</si>
  <si>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</si>
  <si>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</si>
  <si>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</si>
  <si>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</si>
  <si>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</si>
  <si>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</si>
  <si>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</si>
  <si>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</si>
  <si>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</si>
  <si>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</si>
  <si>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</si>
  <si>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</si>
  <si>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</si>
  <si>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</si>
  <si>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</si>
  <si>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</si>
  <si>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</si>
  <si>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</si>
  <si>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</si>
  <si>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</si>
  <si>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</si>
  <si>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</si>
  <si>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</si>
  <si>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</si>
  <si>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</si>
  <si>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</si>
  <si>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</si>
  <si>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</si>
  <si>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</si>
  <si>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</si>
  <si>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</si>
  <si>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</si>
  <si>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</si>
  <si>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</si>
  <si>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</si>
  <si>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</si>
  <si>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</si>
  <si>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</si>
  <si>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</si>
  <si>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</si>
  <si>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</si>
  <si>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</si>
  <si>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</si>
  <si>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</si>
  <si>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</si>
  <si>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</si>
  <si>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</si>
  <si>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</si>
  <si>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</si>
  <si>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</si>
  <si>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</si>
  <si>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</si>
  <si>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</si>
  <si>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</si>
  <si>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</si>
  <si>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</si>
  <si>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</si>
  <si>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</si>
  <si>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</si>
  <si>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</si>
  <si>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</si>
  <si>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</si>
  <si>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</si>
  <si>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</si>
  <si>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</si>
  <si>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</si>
  <si>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</si>
  <si>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</si>
  <si>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</si>
  <si>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</si>
  <si>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</si>
  <si>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</si>
  <si>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</si>
  <si>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</si>
  <si>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</si>
  <si>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</si>
  <si>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</si>
  <si>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</si>
  <si>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</si>
  <si>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</si>
  <si>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</si>
  <si>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</si>
  <si>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</si>
  <si>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</si>
  <si>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</si>
  <si>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</si>
  <si>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</si>
  <si>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</si>
  <si>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</si>
  <si>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</si>
  <si>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</si>
  <si>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</si>
  <si>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</si>
  <si>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</si>
  <si>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</si>
  <si>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</si>
  <si>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</si>
  <si>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</si>
  <si>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</si>
  <si>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</si>
  <si>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</si>
  <si>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</si>
  <si>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</si>
  <si>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</si>
  <si>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</si>
  <si>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</si>
  <si>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</si>
  <si>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</si>
  <si>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</si>
  <si>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</si>
  <si>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</si>
  <si>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</si>
  <si>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</si>
  <si>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</si>
  <si>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</si>
  <si>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</si>
  <si>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</si>
  <si>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</si>
  <si>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</si>
  <si>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</si>
  <si>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</si>
  <si>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</si>
  <si>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</si>
  <si>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</si>
  <si>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</si>
  <si>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</si>
  <si>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</si>
  <si>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</si>
  <si>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</si>
  <si>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</si>
  <si>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</si>
  <si>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</si>
  <si>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</si>
  <si>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</si>
  <si>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</si>
  <si>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</si>
  <si>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</si>
  <si>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</si>
  <si>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</si>
  <si>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</si>
  <si>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</si>
  <si>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</si>
  <si>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</si>
  <si>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</si>
  <si>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</si>
  <si>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</si>
  <si>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</si>
  <si>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</si>
  <si>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</si>
  <si>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</si>
  <si>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</si>
  <si>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</si>
  <si>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</si>
  <si>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</si>
  <si>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</si>
  <si>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</si>
  <si>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</si>
  <si>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</si>
  <si>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</si>
  <si>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</si>
  <si>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</si>
  <si>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</si>
  <si>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</si>
  <si>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</si>
  <si>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</si>
  <si>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</si>
  <si>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</si>
  <si>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</si>
  <si>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</si>
  <si>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</si>
  <si>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</si>
  <si>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</si>
  <si>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</si>
  <si>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</si>
  <si>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</si>
  <si>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</si>
  <si>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</si>
  <si>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</si>
  <si>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</si>
  <si>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</si>
  <si>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</si>
  <si>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</si>
  <si>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</si>
  <si>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</si>
  <si>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</si>
  <si>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</si>
  <si>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</si>
  <si>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</si>
  <si>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</si>
  <si>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</si>
  <si>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</si>
  <si>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</si>
  <si>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</si>
  <si>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</si>
  <si>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</si>
  <si>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</si>
  <si>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</si>
  <si>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</si>
  <si>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</si>
  <si>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</si>
  <si>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</si>
  <si>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</si>
  <si>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</si>
  <si>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</si>
  <si>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</si>
  <si>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</si>
  <si>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</si>
  <si>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</si>
  <si>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</si>
  <si>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</si>
  <si>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</si>
  <si>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</si>
  <si>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</si>
  <si>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</si>
  <si>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</si>
  <si>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</si>
  <si>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</si>
  <si>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</si>
  <si>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</si>
  <si>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</si>
  <si>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</si>
  <si>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</si>
  <si>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</si>
  <si>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</si>
  <si>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</si>
  <si>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</si>
  <si>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</si>
  <si>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</si>
  <si>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</si>
  <si>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</si>
  <si>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</si>
  <si>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</si>
  <si>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</si>
  <si>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</si>
  <si>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</si>
  <si>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</si>
  <si>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</si>
  <si>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</si>
  <si>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</si>
  <si>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</si>
  <si>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</si>
  <si>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</si>
  <si>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</si>
  <si>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</si>
  <si>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</si>
  <si>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</si>
  <si>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</si>
  <si>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</si>
  <si>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</si>
  <si>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</si>
  <si>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</si>
  <si>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</si>
  <si>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</si>
  <si>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</si>
  <si>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</si>
  <si>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</si>
  <si>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</si>
  <si>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</si>
  <si>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</si>
  <si>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</si>
  <si>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</si>
  <si>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</si>
  <si>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</si>
  <si>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</si>
  <si>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</si>
  <si>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</si>
  <si>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</si>
  <si>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</si>
  <si>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</si>
  <si>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</si>
  <si>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</si>
  <si>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</si>
  <si>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</si>
  <si>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</si>
  <si>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</si>
  <si>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</si>
  <si>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</si>
  <si>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</si>
  <si>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</si>
  <si>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</si>
  <si>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</si>
  <si>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</si>
  <si>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</si>
  <si>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</si>
  <si>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</si>
  <si>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</si>
  <si>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</si>
  <si>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</si>
  <si>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</si>
  <si>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</si>
  <si>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</si>
  <si>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</si>
  <si>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</si>
  <si>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</si>
  <si>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</si>
  <si>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</si>
  <si>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</si>
  <si>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</si>
  <si>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</si>
  <si>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</si>
  <si>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</si>
  <si>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</si>
  <si>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</si>
  <si>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</si>
  <si>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</si>
  <si>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</si>
  <si>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</si>
  <si>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</si>
  <si>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</si>
  <si>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</si>
  <si>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</si>
  <si>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</si>
  <si>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</si>
  <si>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</si>
  <si>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</si>
  <si>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</si>
  <si>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</si>
  <si>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</si>
  <si>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</si>
  <si>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</si>
  <si>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</si>
  <si>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</si>
  <si>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</si>
  <si>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</si>
  <si>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</si>
  <si>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</si>
  <si>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</si>
  <si>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</si>
  <si>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</si>
  <si>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</si>
  <si>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</si>
  <si>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</si>
  <si>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</si>
  <si>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</si>
  <si>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</si>
  <si>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</si>
  <si>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</si>
  <si>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</si>
  <si>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</si>
  <si>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</si>
  <si>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</si>
  <si>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</si>
  <si>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</si>
  <si>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</si>
  <si>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</si>
  <si>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</si>
  <si>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</si>
  <si>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</si>
  <si>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</si>
  <si>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</si>
  <si>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</si>
  <si>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</si>
  <si>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</si>
  <si>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</si>
  <si>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</si>
  <si>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</si>
  <si>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</si>
  <si>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</si>
  <si>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</si>
  <si>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</si>
  <si>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</si>
  <si>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</si>
  <si>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</si>
  <si>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</si>
  <si>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</si>
  <si>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</si>
  <si>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</si>
  <si>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</si>
  <si>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</si>
  <si>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</si>
  <si>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</si>
  <si>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</si>
  <si>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</si>
  <si>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</si>
  <si>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</si>
  <si>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</si>
  <si>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</si>
  <si>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</si>
  <si>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</si>
  <si>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</si>
  <si>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</si>
  <si>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</si>
  <si>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</si>
  <si>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</si>
  <si>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</si>
  <si>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</si>
  <si>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</si>
  <si>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</si>
  <si>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</si>
  <si>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</si>
  <si>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</si>
  <si>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</si>
  <si>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</si>
  <si>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</si>
  <si>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</si>
  <si>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</si>
  <si>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</si>
  <si>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</si>
  <si>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</si>
  <si>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</si>
  <si>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</si>
  <si>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</si>
  <si>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</si>
  <si>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</si>
  <si>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</si>
  <si>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</si>
  <si>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</si>
  <si>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</si>
  <si>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</si>
  <si>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</si>
  <si>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</si>
  <si>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</si>
  <si>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</si>
  <si>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</si>
  <si>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</si>
  <si>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</si>
  <si>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</si>
  <si>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</si>
  <si>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</si>
  <si>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</si>
  <si>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</si>
  <si>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</si>
  <si>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</si>
  <si>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</si>
  <si>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</si>
  <si>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</si>
  <si>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</si>
  <si>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</si>
  <si>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</si>
  <si>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</si>
  <si>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</si>
  <si>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</si>
  <si>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</si>
  <si>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</si>
  <si>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</si>
  <si>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</si>
  <si>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</si>
  <si>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</si>
  <si>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</si>
  <si>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</si>
  <si>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</si>
  <si>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</si>
  <si>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</si>
  <si>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</si>
  <si>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</si>
  <si>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</si>
  <si>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</si>
  <si>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</si>
  <si>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</si>
  <si>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</si>
  <si>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</si>
  <si>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</si>
  <si>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</si>
  <si>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</si>
  <si>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</si>
  <si>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</si>
  <si>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</si>
  <si>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</si>
  <si>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</si>
  <si>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</si>
  <si>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</si>
  <si>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</si>
  <si>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</si>
  <si>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</si>
  <si>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</si>
  <si>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</si>
  <si>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</si>
  <si>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</si>
  <si>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</si>
  <si>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</si>
  <si>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</si>
  <si>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</si>
  <si>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</si>
  <si>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</si>
  <si>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</si>
  <si>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</si>
  <si>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</si>
  <si>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</si>
  <si>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</si>
  <si>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</si>
  <si>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</si>
  <si>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</si>
  <si>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</si>
  <si>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</si>
  <si>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</si>
  <si>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</si>
  <si>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</si>
  <si>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</si>
  <si>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</si>
  <si>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</si>
  <si>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</si>
  <si>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</si>
  <si>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</si>
  <si>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</si>
  <si>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</si>
  <si>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</si>
  <si>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</si>
  <si>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</si>
  <si>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</si>
  <si>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</si>
  <si>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</si>
  <si>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</si>
  <si>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</si>
  <si>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</si>
  <si>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</si>
  <si>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</si>
  <si>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</si>
  <si>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</si>
  <si>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</si>
  <si>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</si>
  <si>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</si>
  <si>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</si>
  <si>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</si>
  <si>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</si>
  <si>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</si>
  <si>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</si>
  <si>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</si>
  <si>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</si>
  <si>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</si>
  <si>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</si>
  <si>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</si>
  <si>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</si>
  <si>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</si>
  <si>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</si>
  <si>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</si>
  <si>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</si>
  <si>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</si>
  <si>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</si>
  <si>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</si>
  <si>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</si>
  <si>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</si>
  <si>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</si>
  <si>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</si>
  <si>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</si>
  <si>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</si>
  <si>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</si>
  <si>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</si>
  <si>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</si>
  <si>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</si>
  <si>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</si>
  <si>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</si>
  <si>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</si>
  <si>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</si>
  <si>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</si>
  <si>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</si>
  <si>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</si>
  <si>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</si>
  <si>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</si>
  <si>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</si>
  <si>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</si>
  <si>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</si>
  <si>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</si>
  <si>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</si>
  <si>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</si>
  <si>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</si>
  <si>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</si>
  <si>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</si>
  <si>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</si>
  <si>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</si>
  <si>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</si>
  <si>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</si>
  <si>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</si>
  <si>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</si>
  <si>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</si>
  <si>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</si>
  <si>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</si>
  <si>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</si>
  <si>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</si>
  <si>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</si>
  <si>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</si>
  <si>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</si>
  <si>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</si>
  <si>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</si>
  <si>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</si>
  <si>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</si>
  <si>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</si>
  <si>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</si>
  <si>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</si>
  <si>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</si>
  <si>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</si>
  <si>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</si>
  <si>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</si>
  <si>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</si>
  <si>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</si>
  <si>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</si>
  <si>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</si>
  <si>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</si>
  <si>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</si>
  <si>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</si>
  <si>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</si>
  <si>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</si>
  <si>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</si>
  <si>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</si>
  <si>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</si>
  <si>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</si>
  <si>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</si>
  <si>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</si>
  <si>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</si>
  <si>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</si>
  <si>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</si>
  <si>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</si>
  <si>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</si>
  <si>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</si>
  <si>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</si>
  <si>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</si>
  <si>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</si>
  <si>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</si>
  <si>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</si>
  <si>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</si>
  <si>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</si>
  <si>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</si>
  <si>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</si>
  <si>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</si>
  <si>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</si>
  <si>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</si>
  <si>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</si>
  <si>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</si>
  <si>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</si>
  <si>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</si>
  <si>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</si>
  <si>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</si>
  <si>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</si>
  <si>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</si>
  <si>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</si>
  <si>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</si>
  <si>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</si>
  <si>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</si>
  <si>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</si>
  <si>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</si>
  <si>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</si>
  <si>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</si>
  <si>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</si>
  <si>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</si>
  <si>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</si>
  <si>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</si>
  <si>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</si>
  <si>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</si>
  <si>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</si>
  <si>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</si>
  <si>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</si>
  <si>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</si>
  <si>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</si>
  <si>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</si>
  <si>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</si>
  <si>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</si>
  <si>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</si>
  <si>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</si>
  <si>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</si>
  <si>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</si>
  <si>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</si>
  <si>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</si>
  <si>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</si>
  <si>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</si>
  <si>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</si>
  <si>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</si>
  <si>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</si>
  <si>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</si>
  <si>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</si>
  <si>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</si>
  <si>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</si>
  <si>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</si>
  <si>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</si>
  <si>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</si>
  <si>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</si>
  <si>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</si>
  <si>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</si>
  <si>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</si>
  <si>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</si>
  <si>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</si>
  <si>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</si>
  <si>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</si>
  <si>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</si>
  <si>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</si>
  <si>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</si>
  <si>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</si>
  <si>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</si>
  <si>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</si>
  <si>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</si>
  <si>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</si>
  <si>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</si>
  <si>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</si>
  <si>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</si>
  <si>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</si>
  <si>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</si>
  <si>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</si>
  <si>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</si>
  <si>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</si>
  <si>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</si>
  <si>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</si>
  <si>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</si>
  <si>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</si>
  <si>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</si>
  <si>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</si>
  <si>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</si>
  <si>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</si>
  <si>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</si>
  <si>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</si>
  <si>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</si>
  <si>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</si>
  <si>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</si>
  <si>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</si>
  <si>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</si>
  <si>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</si>
  <si>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</si>
  <si>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</si>
  <si>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</si>
  <si>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</si>
  <si>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</si>
  <si>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</si>
  <si>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</si>
  <si>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</si>
  <si>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</si>
  <si>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</si>
  <si>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</si>
  <si>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</si>
  <si>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</si>
  <si>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</si>
  <si>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</si>
  <si>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</si>
  <si>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</si>
  <si>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</si>
  <si>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</si>
  <si>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</si>
  <si>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</si>
  <si>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</si>
  <si>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</si>
  <si>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</si>
  <si>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</si>
  <si>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</si>
  <si>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</si>
  <si>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</si>
  <si>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</si>
  <si>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</si>
  <si>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</si>
  <si>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</si>
  <si>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</si>
  <si>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</si>
  <si>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</si>
  <si>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</si>
  <si>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</si>
  <si>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</si>
  <si>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</si>
  <si>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</si>
  <si>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</si>
  <si>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</si>
  <si>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</si>
  <si>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</si>
  <si>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</si>
  <si>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</si>
  <si>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</si>
  <si>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</si>
  <si>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</si>
  <si>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</si>
  <si>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</si>
  <si>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</si>
  <si>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</si>
  <si>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</si>
  <si>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</si>
  <si>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</si>
  <si>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</si>
  <si>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</si>
  <si>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</si>
  <si>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</si>
  <si>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</si>
  <si>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</si>
  <si>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</si>
  <si>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</si>
  <si>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</si>
  <si>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</si>
  <si>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</si>
  <si>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</si>
  <si>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</si>
  <si>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</si>
  <si>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</si>
  <si>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</si>
  <si>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</si>
  <si>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</si>
  <si>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</si>
  <si>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</si>
  <si>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</si>
  <si>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</si>
  <si>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</si>
  <si>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</si>
  <si>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</si>
  <si>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</si>
  <si>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</si>
  <si>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</si>
  <si>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</si>
  <si>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</si>
  <si>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</si>
  <si>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</si>
  <si>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</si>
  <si>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</si>
  <si>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</si>
  <si>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</si>
  <si>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</si>
  <si>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</si>
  <si>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</si>
  <si>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</si>
  <si>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</si>
  <si>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</si>
  <si>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</si>
  <si>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</si>
  <si>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</si>
  <si>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</si>
  <si>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</si>
  <si>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</si>
  <si>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</si>
  <si>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</si>
  <si>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</si>
  <si>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</si>
  <si>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</si>
  <si>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</si>
  <si>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</si>
  <si>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</si>
  <si>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</si>
  <si>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</si>
  <si>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</si>
  <si>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</si>
  <si>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</si>
  <si>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</si>
  <si>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</si>
  <si>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</si>
  <si>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</si>
  <si>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</si>
  <si>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</si>
  <si>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</si>
  <si>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</si>
  <si>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</si>
  <si>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</si>
  <si>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</si>
  <si>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</si>
  <si>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</si>
  <si>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</si>
  <si>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</si>
  <si>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</si>
  <si>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</si>
  <si>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</si>
  <si>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</si>
  <si>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</si>
  <si>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</si>
  <si>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</si>
  <si>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</si>
  <si>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</si>
  <si>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</si>
  <si>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</si>
  <si>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</si>
  <si>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</si>
  <si>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</si>
  <si>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</si>
  <si>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</si>
  <si>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</si>
  <si>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</si>
  <si>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</si>
  <si>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</si>
  <si>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</si>
  <si>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</si>
  <si>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</si>
  <si>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</si>
  <si>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</si>
  <si>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</si>
  <si>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</si>
  <si>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</si>
  <si>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</si>
  <si>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</si>
  <si>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</si>
  <si>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</si>
  <si>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</si>
  <si>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</si>
  <si>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</si>
  <si>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</si>
  <si>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</si>
  <si>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</si>
  <si>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</si>
  <si>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</si>
  <si>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</si>
  <si>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</si>
  <si>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</si>
  <si>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</si>
  <si>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</si>
  <si>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</si>
  <si>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</si>
  <si>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</si>
  <si>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</si>
  <si>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</si>
  <si>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</si>
  <si>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</si>
  <si>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</si>
  <si>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</si>
  <si>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</si>
  <si>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</si>
  <si>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</si>
  <si>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</si>
  <si>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</si>
  <si>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</si>
  <si>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</si>
  <si>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</si>
  <si>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</si>
  <si>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</si>
  <si>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</si>
  <si>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</si>
  <si>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</si>
  <si>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</si>
  <si>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</si>
  <si>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</si>
  <si>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</si>
  <si>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</si>
  <si>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</si>
  <si>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</si>
  <si>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</si>
  <si>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</si>
  <si>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</si>
  <si>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</si>
  <si>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</si>
  <si>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</si>
  <si>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</si>
  <si>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</si>
  <si>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</si>
  <si>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</si>
  <si>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</si>
  <si>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</si>
  <si>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</si>
  <si>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</si>
  <si>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</si>
  <si>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</si>
  <si>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</si>
  <si>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</si>
  <si>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</si>
  <si>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</si>
  <si>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</si>
  <si>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</si>
  <si>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</si>
  <si>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</si>
  <si>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</si>
  <si>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</si>
  <si>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</si>
  <si>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</si>
  <si>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</si>
  <si>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</si>
  <si>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</si>
  <si>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</si>
  <si>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</si>
  <si>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</si>
  <si>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</si>
  <si>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</si>
  <si>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</si>
  <si>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</si>
  <si>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</si>
  <si>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</si>
  <si>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</si>
  <si>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</si>
  <si>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</si>
  <si>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</si>
  <si>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</si>
  <si>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</si>
  <si>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</si>
  <si>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</si>
  <si>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</si>
  <si>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</si>
  <si>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</si>
  <si>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</si>
  <si>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</si>
  <si>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</si>
  <si>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</si>
  <si>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</si>
  <si>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</si>
  <si>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</si>
  <si>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</si>
  <si>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</si>
  <si>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</si>
  <si>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</si>
  <si>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</si>
  <si>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</si>
  <si>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</si>
  <si>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</si>
  <si>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</si>
  <si>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</si>
  <si>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</si>
  <si>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</si>
  <si>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</si>
  <si>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</si>
  <si>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</si>
  <si>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</si>
  <si>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</si>
  <si>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</si>
  <si>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</si>
  <si>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</si>
  <si>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</si>
  <si>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</si>
  <si>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</si>
  <si>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</si>
  <si>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</si>
  <si>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</si>
  <si>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</si>
  <si>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</si>
  <si>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</si>
  <si>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</si>
  <si>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</si>
  <si>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</si>
  <si>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</si>
  <si>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</si>
  <si>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</si>
  <si>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</si>
  <si>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</si>
  <si>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</si>
  <si>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</si>
  <si>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</si>
  <si>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</si>
  <si>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</si>
  <si>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</si>
  <si>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</si>
  <si>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</si>
  <si>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</si>
  <si>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</si>
  <si>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</si>
  <si>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</si>
  <si>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</si>
  <si>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</si>
  <si>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</si>
  <si>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</si>
  <si>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</si>
  <si>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</si>
  <si>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</si>
  <si>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</si>
  <si>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</si>
  <si>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</si>
  <si>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</si>
  <si>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</si>
  <si>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</si>
  <si>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</si>
  <si>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</si>
  <si>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</si>
  <si>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</si>
  <si>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</si>
  <si>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</si>
  <si>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</si>
  <si>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</si>
  <si>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</si>
  <si>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</si>
  <si>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</si>
  <si>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</si>
  <si>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</si>
  <si>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</si>
  <si>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</si>
  <si>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</si>
  <si>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</si>
  <si>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</si>
  <si>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</si>
  <si>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</si>
  <si>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</si>
  <si>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</si>
  <si>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</si>
  <si>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</si>
  <si>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</si>
  <si>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</si>
  <si>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</si>
  <si>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</si>
  <si>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</si>
  <si>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</si>
  <si>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</si>
  <si>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</si>
  <si>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</si>
  <si>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</si>
  <si>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</si>
  <si>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</si>
  <si>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</si>
  <si>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</si>
  <si>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</si>
  <si>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</si>
  <si>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</si>
  <si>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</si>
  <si>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</si>
  <si>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</si>
  <si>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</si>
  <si>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</si>
  <si>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</si>
  <si>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</si>
  <si>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</si>
  <si>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</si>
  <si>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</si>
  <si>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</si>
  <si>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</si>
  <si>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</si>
  <si>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</si>
  <si>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</si>
  <si>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</si>
  <si>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</si>
  <si>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</si>
  <si>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</si>
  <si>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</si>
  <si>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</si>
  <si>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</si>
  <si>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</si>
  <si>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</si>
  <si>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</si>
  <si>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</si>
  <si>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</si>
  <si>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</si>
  <si>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</si>
  <si>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</si>
  <si>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</si>
  <si>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</si>
  <si>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</si>
  <si>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</si>
  <si>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</si>
  <si>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</si>
  <si>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</si>
  <si>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</si>
  <si>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</si>
  <si>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</si>
  <si>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</si>
  <si>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</si>
  <si>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</si>
  <si>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</si>
  <si>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</si>
  <si>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</si>
  <si>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</si>
  <si>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</si>
  <si>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</si>
  <si>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</si>
  <si>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</si>
  <si>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</si>
  <si>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</si>
  <si>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</si>
  <si>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</si>
  <si>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</si>
  <si>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</si>
  <si>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</si>
  <si>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</si>
  <si>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</si>
  <si>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</si>
  <si>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</si>
  <si>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</si>
  <si>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</si>
  <si>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</si>
  <si>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</si>
  <si>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</si>
  <si>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</si>
  <si>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</si>
  <si>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</si>
  <si>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</si>
  <si>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</si>
  <si>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</si>
  <si>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</si>
  <si>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</si>
  <si>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</si>
  <si>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</si>
  <si>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</si>
  <si>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</si>
  <si>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</si>
  <si>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</si>
  <si>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</si>
  <si>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</si>
  <si>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</si>
  <si>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</si>
  <si>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</si>
  <si>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</si>
  <si>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</si>
  <si>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</si>
  <si>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</si>
  <si>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</si>
  <si>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</si>
  <si>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</si>
  <si>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</si>
  <si>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</si>
  <si>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</si>
  <si>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</si>
  <si>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</si>
  <si>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</si>
  <si>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</si>
  <si>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</si>
  <si>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</si>
  <si>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</si>
  <si>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</si>
  <si>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</si>
  <si>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</si>
  <si>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</si>
  <si>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</si>
  <si>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</si>
  <si>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</si>
  <si>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</si>
  <si>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</si>
  <si>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</si>
  <si>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</si>
  <si>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</si>
  <si>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</si>
  <si>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</si>
  <si>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</si>
  <si>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</si>
  <si>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</si>
  <si>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</si>
  <si>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</si>
  <si>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</si>
  <si>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</si>
  <si>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</si>
  <si>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</si>
  <si>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</si>
  <si>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</si>
  <si>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</si>
  <si>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</si>
  <si>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</si>
  <si>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</si>
  <si>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</si>
  <si>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</si>
  <si>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</si>
  <si>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</si>
  <si>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</si>
  <si>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</si>
  <si>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</si>
  <si>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</si>
  <si>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</si>
  <si>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</si>
  <si>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</si>
  <si>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</si>
  <si>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</si>
  <si>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</si>
  <si>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</si>
  <si>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</si>
  <si>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</si>
  <si>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</si>
  <si>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</si>
  <si>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</si>
  <si>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</si>
  <si>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</si>
  <si>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</si>
  <si>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</si>
  <si>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</si>
  <si>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</si>
  <si>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</si>
  <si>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</si>
  <si>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</si>
  <si>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</si>
  <si>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</si>
  <si>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</si>
  <si>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</si>
  <si>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</si>
  <si>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</si>
  <si>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</si>
  <si>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</si>
  <si>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</si>
  <si>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</si>
  <si>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</si>
  <si>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</si>
  <si>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</si>
  <si>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</si>
  <si>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</si>
  <si>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</si>
  <si>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</si>
  <si>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</si>
  <si>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</si>
  <si>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</si>
  <si>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</si>
  <si>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</si>
  <si>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</si>
  <si>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</si>
  <si>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</si>
  <si>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</si>
  <si>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</si>
  <si>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</si>
  <si>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</si>
  <si>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</si>
  <si>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</si>
  <si>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</si>
  <si>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</si>
  <si>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</si>
  <si>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</si>
  <si>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</si>
  <si>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</si>
  <si>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</si>
  <si>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</si>
  <si>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</si>
  <si>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</si>
  <si>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</si>
  <si>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</si>
  <si>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</si>
  <si>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</si>
  <si>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</si>
  <si>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</si>
  <si>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</si>
  <si>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</si>
  <si>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</si>
  <si>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</si>
  <si>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</si>
  <si>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</si>
  <si>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</si>
  <si>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</si>
  <si>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</si>
  <si>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</si>
  <si>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</si>
  <si>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</si>
  <si>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</si>
  <si>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</si>
  <si>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</si>
  <si>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</si>
  <si>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</si>
  <si>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</si>
  <si>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</si>
  <si>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</si>
  <si>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</si>
  <si>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</si>
  <si>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</si>
  <si>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</si>
  <si>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</si>
  <si>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</si>
  <si>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</si>
  <si>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</si>
  <si>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</si>
  <si>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</si>
  <si>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</si>
  <si>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</si>
  <si>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</si>
  <si>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</si>
  <si>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</si>
  <si>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</si>
  <si>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</si>
  <si>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</si>
  <si>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</si>
  <si>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</si>
  <si>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</si>
  <si>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</si>
  <si>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</si>
  <si>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</si>
  <si>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</si>
  <si>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</si>
  <si>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</si>
  <si>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</si>
  <si>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</si>
  <si>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</si>
  <si>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</si>
  <si>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</si>
  <si>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</si>
  <si>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</si>
  <si>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</si>
  <si>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</si>
  <si>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</si>
  <si>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</si>
  <si>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</si>
  <si>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</si>
  <si>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</si>
  <si>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</si>
  <si>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</si>
  <si>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</si>
  <si>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</si>
  <si>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</si>
  <si>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</si>
  <si>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</si>
  <si>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</si>
  <si>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</si>
  <si>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</si>
  <si>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</si>
  <si>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</si>
  <si>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</si>
  <si>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</si>
  <si>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</si>
  <si>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</si>
  <si>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</si>
  <si>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</si>
  <si>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</si>
  <si>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</si>
  <si>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</si>
  <si>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</si>
  <si>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</si>
  <si>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</si>
  <si>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</si>
  <si>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</si>
  <si>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</si>
  <si>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</si>
  <si>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</si>
  <si>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</si>
  <si>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</si>
  <si>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</si>
  <si>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</si>
  <si>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</si>
  <si>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</si>
  <si>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</si>
  <si>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</si>
  <si>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</si>
  <si>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</si>
  <si>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</si>
  <si>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</si>
  <si>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</si>
  <si>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</si>
  <si>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</si>
  <si>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</si>
  <si>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</si>
  <si>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</si>
  <si>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</si>
  <si>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</si>
  <si>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</si>
  <si>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</si>
  <si>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</si>
  <si>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</si>
  <si>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</si>
  <si>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</si>
  <si>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</si>
  <si>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</si>
  <si>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</si>
  <si>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</si>
  <si>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</si>
  <si>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</si>
  <si>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</si>
  <si>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</si>
  <si>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</si>
  <si>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</si>
  <si>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</si>
  <si>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</si>
  <si>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</si>
  <si>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</si>
  <si>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</si>
  <si>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</si>
  <si>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</si>
  <si>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</si>
  <si>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</si>
  <si>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</si>
  <si>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</si>
  <si>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</si>
  <si>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</si>
  <si>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</si>
  <si>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</si>
  <si>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</si>
  <si>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</si>
  <si>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</si>
  <si>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</si>
  <si>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</si>
  <si>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</si>
  <si>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</si>
  <si>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</si>
  <si>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</si>
  <si>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</si>
  <si>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</si>
  <si>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</si>
  <si>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</si>
  <si>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</si>
  <si>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</si>
  <si>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</si>
  <si>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</si>
  <si>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</si>
  <si>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</si>
  <si>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</si>
  <si>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</si>
  <si>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</si>
  <si>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</si>
  <si>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</si>
  <si>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</si>
  <si>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</si>
  <si>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</si>
  <si>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</si>
  <si>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</si>
  <si>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权证号</t>
    <phoneticPr fontId="134" type="noConversion"/>
  </si>
  <si>
    <r>
      <t>京（2</t>
    </r>
    <r>
      <rPr>
        <sz val="11"/>
        <color theme="1"/>
        <rFont val="宋体"/>
        <family val="3"/>
        <charset val="134"/>
        <scheme val="minor"/>
      </rPr>
      <t>020）西不动产权第0015892号</t>
    </r>
    <phoneticPr fontId="134" type="noConversion"/>
  </si>
  <si>
    <t>房号</t>
    <phoneticPr fontId="134" type="noConversion"/>
  </si>
  <si>
    <t>京（2020）西不动产权第0015872号</t>
    <phoneticPr fontId="134" type="noConversion"/>
  </si>
  <si>
    <t>北京红泰安科技发展有限公司</t>
    <phoneticPr fontId="134" type="noConversion"/>
  </si>
  <si>
    <t>总价</t>
    <phoneticPr fontId="134" type="noConversion"/>
  </si>
  <si>
    <t>京（2020）西不动产权第0015987号</t>
    <phoneticPr fontId="134" type="noConversion"/>
  </si>
  <si>
    <t>京（2020）西不动产权第0015893号</t>
    <phoneticPr fontId="134" type="noConversion"/>
  </si>
  <si>
    <t>仁达正评</t>
    <phoneticPr fontId="134" type="noConversion"/>
  </si>
  <si>
    <t>康正复估</t>
    <phoneticPr fontId="134"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</si>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</sst>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3413</v>
      </c>
      <c r="Z2" s="1445" t="s">
        <v>2451</v>
      </c>
      <c r="AA2" s="1445" t="s">
        <v>3414</v>
      </c>
      <c r="AB2" s="1445" t="s">
        <v>2478</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3341</v>
      </c>
      <c r="X7" s="1445" t="s">
        <v>2448</v>
      </c>
      <c r="Z7" s="1445" t="s">
        <v>2461</v>
      </c>
      <c r="AB7" s="1445" t="s">
        <v>2487</v>
      </c>
    </row>
    <row r="8" spans="1:28">
      <c r="A8" s="1441" t="s">
        <v>1026</v>
      </c>
      <c r="B8" s="1441" t="s">
        <v>1027</v>
      </c>
      <c r="C8" s="1442" t="s">
        <v>319</v>
      </c>
      <c r="F8" s="1443" t="s">
        <v>1028</v>
      </c>
      <c r="H8" s="1443" t="s">
        <v>2576</v>
      </c>
      <c r="I8" s="1443" t="s">
        <v>3342</v>
      </c>
      <c r="X8" s="1445" t="s">
        <v>3416</v>
      </c>
      <c r="Z8" s="1445" t="s">
        <v>2463</v>
      </c>
      <c r="AB8" s="1445" t="s">
        <v>2489</v>
      </c>
    </row>
    <row r="9" spans="1:28">
      <c r="A9" s="1441" t="s">
        <v>1029</v>
      </c>
      <c r="B9" s="1441" t="s">
        <v>1030</v>
      </c>
      <c r="C9" s="1442" t="s">
        <v>320</v>
      </c>
      <c r="F9" s="1443" t="s">
        <v>1031</v>
      </c>
      <c r="H9" s="1443"/>
      <c r="I9" s="1445" t="s">
        <v>3343</v>
      </c>
      <c r="X9" s="1445" t="s">
        <v>3417</v>
      </c>
      <c r="Z9" s="1445" t="s">
        <v>2465</v>
      </c>
      <c r="AB9" s="1445" t="s">
        <v>2491</v>
      </c>
    </row>
    <row r="10" spans="1:28">
      <c r="A10" s="1441" t="s">
        <v>1032</v>
      </c>
      <c r="B10" s="1441" t="s">
        <v>1033</v>
      </c>
      <c r="C10" s="1442" t="s">
        <v>321</v>
      </c>
      <c r="F10" s="1443" t="s">
        <v>2577</v>
      </c>
      <c r="I10" s="1445" t="s">
        <v>3344</v>
      </c>
      <c r="Z10" s="1445" t="s">
        <v>2467</v>
      </c>
      <c r="AB10" s="1445" t="s">
        <v>2493</v>
      </c>
    </row>
    <row r="11" spans="1:28">
      <c r="A11" s="1441" t="s">
        <v>1034</v>
      </c>
      <c r="B11" s="1441" t="s">
        <v>1035</v>
      </c>
      <c r="C11" s="1442" t="s">
        <v>322</v>
      </c>
      <c r="F11" s="1443" t="s">
        <v>13</v>
      </c>
      <c r="I11" s="1445" t="s">
        <v>3345</v>
      </c>
      <c r="Z11" s="1445" t="s">
        <v>2469</v>
      </c>
      <c r="AB11" s="1445" t="s">
        <v>2495</v>
      </c>
    </row>
    <row r="12" spans="1:28">
      <c r="A12" s="1441" t="s">
        <v>1036</v>
      </c>
      <c r="B12" s="1441" t="s">
        <v>1037</v>
      </c>
      <c r="C12" s="1442" t="s">
        <v>323</v>
      </c>
      <c r="I12" s="1445" t="s">
        <v>3346</v>
      </c>
      <c r="Z12" s="1445" t="s">
        <v>2471</v>
      </c>
      <c r="AB12" s="1445" t="s">
        <v>2497</v>
      </c>
    </row>
    <row r="13" spans="1:28">
      <c r="A13" s="1441" t="s">
        <v>1038</v>
      </c>
      <c r="B13" s="1441" t="s">
        <v>1039</v>
      </c>
      <c r="C13" s="1442" t="s">
        <v>324</v>
      </c>
      <c r="I13" s="1445" t="s">
        <v>3347</v>
      </c>
      <c r="Z13" s="1445" t="s">
        <v>2473</v>
      </c>
    </row>
    <row r="14" spans="1:28">
      <c r="A14" s="1441" t="s">
        <v>1040</v>
      </c>
      <c r="B14" s="1441" t="s">
        <v>1041</v>
      </c>
      <c r="C14" s="1443" t="s">
        <v>13</v>
      </c>
      <c r="I14" s="1445" t="s">
        <v>3348</v>
      </c>
      <c r="Z14" s="1445" t="s">
        <v>2475</v>
      </c>
    </row>
    <row r="15" spans="1:28">
      <c r="A15" s="1441" t="s">
        <v>1042</v>
      </c>
      <c r="B15" s="1441" t="s">
        <v>1043</v>
      </c>
      <c r="C15" s="1442"/>
      <c r="I15" s="1445" t="s">
        <v>3349</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2" t="s">
        <v>2579</v>
      </c>
      <c r="J2" s="3212"/>
      <c r="K2" s="3212"/>
      <c r="L2" s="3212"/>
      <c r="M2" s="3212"/>
      <c r="N2" s="3212"/>
      <c r="O2" s="3212"/>
      <c r="P2" s="3212"/>
      <c r="Q2" s="3212"/>
      <c r="R2" s="3212"/>
    </row>
    <row r="3" spans="1:18">
      <c r="A3" s="2763" t="s">
        <v>2500</v>
      </c>
      <c r="B3" s="2764">
        <f>项目基本情况!D3</f>
        <v>45845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1.45</v>
      </c>
      <c r="D5" s="2768">
        <f>IF(ISERROR(ROUND(POWER(1+E5,A5-C5)*(POWER(1+E5,C5)-1)/(POWER(1+E5,A5)-1),3)),0,ROUND(POWER(1+E5,A5-C5)*(POWER(1+E5,C5)-1)/(POWER(1+E5,A5)-1),4))</f>
        <v>6.9800000000000001E-2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11.46</v>
      </c>
      <c r="D6" s="2768">
        <f>IF(ISERROR(ROUND(POWER(1+E6,A6-C6)*(POWER(1+E6,C6)-1)/(POWER(1+E6,A6)-1),3)),0,ROUND(POWER(1+E6,A6-C6)*(POWER(1+E6,C6)-1)/(POWER(1+E6,A6)-1),4))</f>
        <v>0.42130000000000001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31.47</v>
      </c>
      <c r="D7" s="2768">
        <f>IF(ISERROR(ROUND(POWER(1+E7,A7-C7)*(POWER(1+E7,C7)-1)/(POWER(1+E7,A7)-1),3)),0,ROUND(POWER(1+E7,A7-C7)*(POWER(1+E7,C7)-1)/(POWER(1+E7,A7)-1),4))</f>
        <v>0.75760000000000005</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2" sqref="D1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45845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3418</v>
      </c>
      <c r="C8" s="2201"/>
      <c r="D8" s="3216" t="s">
        <v>2176</v>
      </c>
      <c r="E8" s="2202" t="s">
        <v>3419</v>
      </c>
      <c r="F8" s="2203"/>
      <c r="G8" s="2442"/>
      <c r="H8" s="2442"/>
      <c r="I8" s="2442"/>
      <c r="J8" s="2245"/>
      <c r="K8" s="2400"/>
      <c r="L8" s="2399"/>
      <c r="M8" s="2399"/>
      <c r="N8" s="2245"/>
      <c r="O8" s="1670"/>
      <c r="P8" s="2245"/>
      <c r="Q8" s="2245"/>
      <c r="R8" s="2245"/>
    </row>
    <row r="9" spans="1:30" ht="13.8" thickBot="1">
      <c r="A9" s="2204" t="s">
        <v>2177</v>
      </c>
      <c r="B9" s="2205" t="s">
        <v>3419</v>
      </c>
      <c r="C9" s="2206"/>
      <c r="D9" s="3217"/>
      <c r="E9" s="2205"/>
      <c r="F9" s="2207"/>
      <c r="G9" s="2443"/>
      <c r="H9" s="2443"/>
      <c r="I9" s="2443"/>
      <c r="J9" s="2245"/>
      <c r="K9" s="2402"/>
      <c r="L9" s="2399"/>
      <c r="M9" s="2399"/>
      <c r="N9" s="2245"/>
      <c r="O9" s="1670"/>
      <c r="P9" s="2245"/>
      <c r="Q9" s="2245"/>
      <c r="R9" s="2245"/>
    </row>
    <row r="10" spans="1:30" ht="13.8" thickTop="1">
      <c r="A10" s="2208" t="s">
        <v>2178</v>
      </c>
      <c r="B10" s="2209" t="s">
        <v>3420</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3431</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c r="I13" s="803"/>
      <c r="J13" s="2803"/>
      <c r="K13" s="2399"/>
      <c r="L13" s="2399"/>
      <c r="M13" s="2245"/>
      <c r="N13" s="1670"/>
      <c r="O13" s="2245"/>
      <c r="P13" s="2245"/>
      <c r="Q13" s="2245"/>
      <c r="AD13" s="1618"/>
    </row>
    <row r="14" spans="1:30">
      <c r="A14" s="1018"/>
      <c r="B14" s="2218" t="s">
        <v>2190</v>
      </c>
      <c r="C14" s="2219"/>
      <c r="D14" s="2219"/>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3"/>
      <c r="C16" s="3224"/>
      <c r="D16" s="3225"/>
      <c r="E16" s="2222" t="s">
        <v>2193</v>
      </c>
      <c r="F16" s="3226"/>
      <c r="G16" s="3227"/>
      <c r="H16" s="3227"/>
      <c r="I16" s="3228"/>
      <c r="J16" s="2245"/>
      <c r="K16" s="2403"/>
      <c r="L16" s="1670"/>
      <c r="M16" s="1670"/>
      <c r="N16" s="2245"/>
      <c r="O16" s="1670"/>
      <c r="P16" s="2245"/>
      <c r="Q16" s="2245"/>
      <c r="R16" s="2245"/>
    </row>
    <row r="17" spans="1:28">
      <c r="A17" s="305" t="s">
        <v>2194</v>
      </c>
      <c r="B17" s="294" t="s">
        <v>2195</v>
      </c>
      <c r="C17" s="8">
        <f>'数据-汇总表'!E3</f>
        <v>0</v>
      </c>
      <c r="D17" s="1256" t="s">
        <v>2196</v>
      </c>
      <c r="E17" s="3229" t="s">
        <v>2197</v>
      </c>
      <c r="F17" s="3230"/>
      <c r="G17" s="3230"/>
      <c r="H17" s="3230"/>
      <c r="I17" s="3231"/>
      <c r="J17" s="2245"/>
      <c r="K17" s="2404"/>
      <c r="L17" s="1670"/>
      <c r="M17" s="1670"/>
      <c r="N17" s="2245"/>
      <c r="O17" s="1670"/>
      <c r="P17" s="2245"/>
      <c r="Q17" s="2245"/>
      <c r="R17" s="2245"/>
      <c r="S17" s="2245"/>
      <c r="T17" s="2245"/>
      <c r="U17" s="2245"/>
      <c r="V17" s="2245"/>
    </row>
    <row r="18" spans="1:28" ht="24.6" thickBot="1">
      <c r="A18" s="2223" t="s">
        <v>2198</v>
      </c>
      <c r="B18" s="1027" t="s">
        <v>2199</v>
      </c>
      <c r="C18" s="2224" t="e">
        <f>'数据-汇总表'!D3</f>
        <v>#DIV/0!</v>
      </c>
      <c r="D18" s="1029" t="s">
        <v>2200</v>
      </c>
      <c r="E18" s="3232" t="s">
        <v>2201</v>
      </c>
      <c r="F18" s="3233"/>
      <c r="G18" s="3233"/>
      <c r="H18" s="3233"/>
      <c r="I18" s="3234"/>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9" t="s">
        <v>2205</v>
      </c>
      <c r="C20" s="3220"/>
      <c r="D20" s="3221" t="s">
        <v>2206</v>
      </c>
      <c r="E20" s="3222"/>
      <c r="F20" s="2430" t="s">
        <v>1056</v>
      </c>
      <c r="G20" s="2442"/>
      <c r="H20" s="2442"/>
      <c r="I20" s="2442"/>
      <c r="J20" s="2245"/>
      <c r="K20" s="321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36"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7"/>
      <c r="B30" s="294" t="s">
        <v>2217</v>
      </c>
      <c r="C30" s="3238"/>
      <c r="D30" s="3239"/>
      <c r="E30" s="2442"/>
      <c r="F30" s="2442"/>
      <c r="G30" s="2442"/>
      <c r="H30" s="2442"/>
      <c r="I30" s="2442"/>
      <c r="J30" s="2245"/>
      <c r="K30" s="2402"/>
      <c r="L30" s="2399"/>
      <c r="M30" s="2399"/>
      <c r="N30" s="2245"/>
      <c r="O30" s="1670"/>
      <c r="P30" s="2245"/>
      <c r="Q30" s="2245"/>
      <c r="R30" s="2245"/>
      <c r="S30" s="2245"/>
      <c r="T30" s="2245"/>
      <c r="U30" s="2245"/>
      <c r="V30" s="2245"/>
    </row>
    <row r="31" spans="1:28">
      <c r="A31" s="3240"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35" t="s">
        <v>2227</v>
      </c>
      <c r="T34" s="315" t="str">
        <f>NUMBERSTRING(7-K34,1)&amp;"通"</f>
        <v>七通</v>
      </c>
      <c r="U34" s="2245"/>
      <c r="V34" s="2245"/>
    </row>
    <row r="35" spans="1:30">
      <c r="A35" s="2236"/>
      <c r="B35" s="3235" t="s">
        <v>2228</v>
      </c>
      <c r="C35" s="3235"/>
      <c r="D35" s="3235"/>
      <c r="E35" s="323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9"/>
      <c r="G2" s="2432"/>
      <c r="H2" s="2433"/>
      <c r="I2" s="2146" t="s">
        <v>1132</v>
      </c>
      <c r="J2" s="2439"/>
      <c r="K2" s="2439"/>
      <c r="L2" s="2439"/>
      <c r="M2" s="2439"/>
      <c r="N2" s="2440"/>
      <c r="O2" s="2439"/>
      <c r="P2" s="2439"/>
    </row>
    <row r="3" spans="1:16" ht="15" thickBot="1">
      <c r="A3" s="3252" t="s">
        <v>1105</v>
      </c>
      <c r="B3" s="3252"/>
      <c r="C3" s="3252"/>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6" t="s">
        <v>1110</v>
      </c>
      <c r="C5" s="3256"/>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8"/>
      <c r="B7" s="3249"/>
      <c r="C7" s="3250"/>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7" t="s">
        <v>2285</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49.44</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45845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134</v>
      </c>
      <c r="C5" s="2300">
        <f ca="1">IF(B5=D14,结果表!H102,ROUND(B5*10000/$B$1,0))</f>
        <v>0</v>
      </c>
      <c r="D5" s="2300" t="e">
        <f>ROUND(B5*10000/$B$2,0)</f>
        <v>#DIV/0!</v>
      </c>
      <c r="E5" s="2462"/>
      <c r="F5" s="2463"/>
      <c r="G5" s="2463"/>
      <c r="H5" s="2463"/>
      <c r="I5" s="2463"/>
      <c r="J5" s="2463"/>
      <c r="K5" s="2463"/>
    </row>
    <row r="6" spans="1:11" ht="15.6">
      <c r="A6" s="2300" t="s">
        <v>656</v>
      </c>
      <c r="B6" s="2300">
        <f>SUM(G14:G23)</f>
        <v>134</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3355</v>
      </c>
      <c r="D10" s="2300" t="s">
        <v>3356</v>
      </c>
      <c r="E10" s="3137"/>
      <c r="F10" s="3141" t="s">
        <v>3357</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面积信息价值表!C5</f>
        <v>49.44</v>
      </c>
      <c r="C14" s="2306"/>
      <c r="D14" s="2306">
        <f>面积信息价值表!H5</f>
        <v>134</v>
      </c>
      <c r="E14" s="2306">
        <f>面积信息价值表!G5</f>
        <v>27027</v>
      </c>
      <c r="F14" s="2306" t="e">
        <f>ROUND(D14*10000/C14,0)</f>
        <v>#DIV/0!</v>
      </c>
      <c r="G14" s="2306">
        <f>D14</f>
        <v>134</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4C35-145F-442E-BC22-9106FCE2912B}">
  <sheetPr>
    <tabColor rgb="FF7030A0"/>
  </sheetPr>
  <dimension ref="A1:I8"/>
  <sheetViews>
    <sheetView topLeftCell="C1" workbookViewId="0">
      <selection activeCell="A6" sqref="A6"/>
    </sheetView>
  </sheetViews>
  <sheetFormatPr defaultRowHeight="14.4"/>
  <cols>
    <col min="1" max="1" width="32.44140625" customWidth="1"/>
  </cols>
  <sheetData>
    <row r="1" spans="1:9">
      <c r="A1" s="1405" t="s">
        <v>3425</v>
      </c>
      <c r="D1" s="3170" t="s">
        <v>3429</v>
      </c>
      <c r="E1" s="3159"/>
      <c r="G1" s="3170" t="s">
        <v>3430</v>
      </c>
      <c r="H1" s="3159"/>
      <c r="I1" s="3159"/>
    </row>
    <row r="2" spans="1:9">
      <c r="A2" s="1405" t="s">
        <v>3421</v>
      </c>
      <c r="B2" s="1405" t="s">
        <v>3423</v>
      </c>
      <c r="C2" s="1405" t="s">
        <v>3388</v>
      </c>
      <c r="D2" s="3170" t="s">
        <v>3389</v>
      </c>
      <c r="E2" s="3170" t="s">
        <v>3426</v>
      </c>
      <c r="G2" s="3170" t="s">
        <v>3389</v>
      </c>
      <c r="H2" s="3170" t="s">
        <v>3426</v>
      </c>
      <c r="I2" s="3159"/>
    </row>
    <row r="3" spans="1:9">
      <c r="A3" s="1405" t="s">
        <v>3422</v>
      </c>
      <c r="B3">
        <v>216</v>
      </c>
      <c r="C3">
        <v>36.6</v>
      </c>
      <c r="D3" s="3159">
        <v>30071</v>
      </c>
      <c r="E3" s="3159">
        <v>110.06</v>
      </c>
      <c r="G3" s="3159">
        <v>27300</v>
      </c>
      <c r="H3" s="3159">
        <f>典型户型修正!S24</f>
        <v>100</v>
      </c>
      <c r="I3" s="3159">
        <f>1-G3/D3</f>
        <v>9.2148581690000286E-2</v>
      </c>
    </row>
    <row r="4" spans="1:9">
      <c r="A4" s="1405" t="s">
        <v>3424</v>
      </c>
      <c r="B4">
        <v>217</v>
      </c>
      <c r="C4">
        <v>36.47</v>
      </c>
      <c r="D4" s="3159">
        <v>30071</v>
      </c>
      <c r="E4" s="3159">
        <v>109.67</v>
      </c>
      <c r="G4" s="3159">
        <f>典型户型修正!R25</f>
        <v>27300</v>
      </c>
      <c r="H4" s="3159">
        <f>典型户型修正!S25</f>
        <v>100</v>
      </c>
      <c r="I4" s="3159">
        <f t="shared" ref="I4:I6" si="0">1-G4/D4</f>
        <v>9.2148581690000286E-2</v>
      </c>
    </row>
    <row r="5" spans="1:9">
      <c r="A5" s="1405" t="s">
        <v>3427</v>
      </c>
      <c r="B5">
        <v>218</v>
      </c>
      <c r="C5">
        <v>49.44</v>
      </c>
      <c r="D5" s="3159">
        <v>29982</v>
      </c>
      <c r="E5" s="3159">
        <v>148.22999999999999</v>
      </c>
      <c r="G5" s="3159">
        <f>典型户型修正!R26</f>
        <v>27027</v>
      </c>
      <c r="H5" s="3159">
        <f>典型户型修正!S26</f>
        <v>134</v>
      </c>
      <c r="I5" s="3159">
        <f t="shared" si="0"/>
        <v>9.8559135481288807E-2</v>
      </c>
    </row>
    <row r="6" spans="1:9">
      <c r="A6" s="1405" t="s">
        <v>3428</v>
      </c>
      <c r="B6">
        <v>233</v>
      </c>
      <c r="C6">
        <v>35.200000000000003</v>
      </c>
      <c r="D6" s="3159">
        <v>30071</v>
      </c>
      <c r="E6" s="3159">
        <v>105.85</v>
      </c>
      <c r="G6" s="3159">
        <f>典型户型修正!R27</f>
        <v>27300</v>
      </c>
      <c r="H6" s="3159">
        <f>典型户型修正!S27</f>
        <v>96</v>
      </c>
      <c r="I6" s="3159">
        <f t="shared" si="0"/>
        <v>9.2148581690000286E-2</v>
      </c>
    </row>
    <row r="8" spans="1:9">
      <c r="A8" s="1405"/>
      <c r="B8" s="1405"/>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62" t="s">
        <v>2084</v>
      </c>
      <c r="D1" s="3263"/>
      <c r="E1" s="3263"/>
      <c r="F1" s="3263"/>
      <c r="G1" s="3263"/>
      <c r="H1" s="3263"/>
      <c r="I1" s="3263"/>
      <c r="J1" s="3263"/>
      <c r="K1" s="3263"/>
      <c r="L1" s="3263"/>
      <c r="M1" s="3263"/>
      <c r="N1" s="3263"/>
      <c r="O1" s="3263"/>
      <c r="P1" s="3263"/>
      <c r="Q1" s="3263"/>
      <c r="R1" s="3263"/>
      <c r="S1" s="3264"/>
      <c r="T1" s="929" t="s">
        <v>2085</v>
      </c>
    </row>
    <row r="2" spans="1:45" s="625" customFormat="1" ht="26.4">
      <c r="A2" s="930"/>
      <c r="B2" s="622" t="s">
        <v>2086</v>
      </c>
      <c r="C2" s="14" t="str">
        <f t="shared" ref="C2:L2" si="0">C3&amp;"(含)"&amp;"-"&amp;D3</f>
        <v>0(含)-40</v>
      </c>
      <c r="D2" s="623" t="str">
        <f t="shared" si="0"/>
        <v>40(含)-50</v>
      </c>
      <c r="E2" s="623" t="str">
        <f t="shared" si="0"/>
        <v>50(含)-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40</v>
      </c>
      <c r="E3" s="628">
        <v>50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430</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27265</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157.70999999999998</v>
      </c>
      <c r="C22" s="3259" t="s">
        <v>27</v>
      </c>
      <c r="D22" s="3260"/>
      <c r="E22" s="3260"/>
      <c r="F22" s="3260"/>
      <c r="G22" s="3260"/>
      <c r="H22" s="3260"/>
      <c r="I22" s="3260"/>
      <c r="J22" s="3260"/>
      <c r="K22" s="3260"/>
      <c r="L22" s="3260"/>
      <c r="M22" s="3260"/>
      <c r="N22" s="3260"/>
      <c r="O22" s="3260"/>
      <c r="P22" s="3260"/>
      <c r="Q22" s="3261"/>
      <c r="R22" s="21">
        <f>ROUND(S22*10000/B22,0)</f>
        <v>27265</v>
      </c>
      <c r="S22" s="21">
        <f>SUM(S24:S10000)</f>
        <v>430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216</v>
      </c>
      <c r="B24" s="633">
        <f>面积信息价值表!C3</f>
        <v>36.6</v>
      </c>
      <c r="C24" s="2571">
        <v>1</v>
      </c>
      <c r="D24" s="2572"/>
      <c r="E24" s="2571">
        <v>1</v>
      </c>
      <c r="F24" s="2572"/>
      <c r="G24" s="2571">
        <v>1</v>
      </c>
      <c r="H24" s="2572"/>
      <c r="I24" s="2571">
        <v>1</v>
      </c>
      <c r="J24" s="2572"/>
      <c r="K24" s="2571">
        <v>1</v>
      </c>
      <c r="L24" s="2572"/>
      <c r="M24" s="2571">
        <v>1</v>
      </c>
      <c r="N24" s="2572"/>
      <c r="O24" s="2571">
        <v>1</v>
      </c>
      <c r="P24" s="2572"/>
      <c r="Q24" s="2571">
        <v>1</v>
      </c>
      <c r="R24" s="633">
        <f>面积信息价值表!G3</f>
        <v>27300</v>
      </c>
      <c r="S24" s="634">
        <f t="shared" ref="S24:S54" si="11">ROUND(R24*B24/10000,0)</f>
        <v>100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面积信息价值表!B4</f>
        <v>217</v>
      </c>
      <c r="B25" s="52">
        <f>面积信息价值表!C4</f>
        <v>36.47</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27300</v>
      </c>
      <c r="S25" s="308">
        <f t="shared" si="11"/>
        <v>100</v>
      </c>
    </row>
    <row r="26" spans="1:45">
      <c r="A26" s="142">
        <f>面积信息价值表!B5</f>
        <v>218</v>
      </c>
      <c r="B26" s="52">
        <f>面积信息价值表!C5</f>
        <v>49.44</v>
      </c>
      <c r="C26" s="21">
        <f t="shared" ref="C26:C89" si="12">IF(B26="",1,(LOOKUP(B26,$3:$3,$4:$4)-LOOKUP($B$24,$3:$3,$4:$4)+100)/100)</f>
        <v>0.99</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27027</v>
      </c>
      <c r="S26" s="308">
        <f t="shared" si="11"/>
        <v>134</v>
      </c>
    </row>
    <row r="27" spans="1:45">
      <c r="A27" s="142">
        <f>面积信息价值表!B6</f>
        <v>233</v>
      </c>
      <c r="B27" s="52">
        <f>面积信息价值表!C6</f>
        <v>35.200000000000003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27300</v>
      </c>
      <c r="S27" s="308">
        <f t="shared" si="11"/>
        <v>96</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5" t="s">
        <v>1544</v>
      </c>
    </row>
    <row r="43" spans="1:7" ht="13.5" customHeight="1">
      <c r="A43" s="734" t="s">
        <v>347</v>
      </c>
      <c r="B43" s="207" t="s">
        <v>1545</v>
      </c>
      <c r="C43" s="230" t="e">
        <f ca="1">ROUND(IF('数据-取费表'!B22&lt;=1,C39*F22*'数据-取费表'!B21/2,C39*(POWER((1+F22),'数据-取费表'!B21/2)-1)),0)</f>
        <v>#VALUE!</v>
      </c>
      <c r="D43" s="230"/>
      <c r="E43" s="230"/>
      <c r="F43" s="231"/>
      <c r="G43" s="3266"/>
    </row>
    <row r="44" spans="1:7" ht="13.5" customHeight="1">
      <c r="A44" s="734" t="s">
        <v>348</v>
      </c>
      <c r="B44" s="207" t="s">
        <v>1546</v>
      </c>
      <c r="C44" s="230" t="e">
        <f ca="1">ROUND(IF('数据-取费表'!B22&lt;=1,C40*F22*'数据-取费表'!B21/2,C40*(POWER((1+F22),'数据-取费表'!B21/2)-1)),4)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5" t="s">
        <v>1591</v>
      </c>
    </row>
    <row r="43" spans="1:7" ht="13.5" customHeight="1">
      <c r="A43" s="734" t="s">
        <v>347</v>
      </c>
      <c r="B43" s="207" t="s">
        <v>1545</v>
      </c>
      <c r="C43" s="230" t="e">
        <f ca="1">ROUND(IF('数据-取费表'!B22&lt;=1,C39*F22*'数据-取费表'!B20/2,C39*(POWER((1+F22),'数据-取费表'!B20/2)-1)),0)</f>
        <v>#VALUE!</v>
      </c>
      <c r="D43" s="230"/>
      <c r="E43" s="230"/>
      <c r="F43" s="231"/>
      <c r="G43" s="3266"/>
    </row>
    <row r="44" spans="1:7" ht="13.5" customHeight="1">
      <c r="A44" s="734" t="s">
        <v>348</v>
      </c>
      <c r="B44" s="207" t="s">
        <v>1546</v>
      </c>
      <c r="C44" s="230" t="e">
        <f ca="1">ROUND(IF('数据-取费表'!B22&lt;=1,C40*F22*'数据-取费表'!B20/2,C40*(POWER((1+F22),'数据-取费表'!B20/2)-1)),4)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70" t="s">
        <v>694</v>
      </c>
      <c r="C6" s="1011">
        <f ca="1">ROUND(F6*F8*F7*(1-F9)/10000,0)</f>
        <v>0</v>
      </c>
      <c r="D6" s="147" t="s">
        <v>2108</v>
      </c>
      <c r="E6" s="294" t="s">
        <v>696</v>
      </c>
      <c r="F6" s="295">
        <f ca="1">INDIRECT("'数据-取费表'!u"&amp;$G$1)</f>
        <v>0</v>
      </c>
      <c r="G6" s="1292"/>
      <c r="H6" s="1006" t="s">
        <v>398</v>
      </c>
      <c r="I6" s="3270" t="s">
        <v>694</v>
      </c>
      <c r="J6" s="293">
        <f ca="1">ROUND(M6*M8*M7*(1-M9)/10000,0)</f>
        <v>0</v>
      </c>
      <c r="K6" s="147" t="s">
        <v>2107</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70" t="s">
        <v>694</v>
      </c>
      <c r="C6" s="1011">
        <f ca="1">ROUND(F6*F8*F7*(1-F9),0)</f>
        <v>0</v>
      </c>
      <c r="D6" s="147" t="s">
        <v>2105</v>
      </c>
      <c r="E6" s="294" t="s">
        <v>696</v>
      </c>
      <c r="F6" s="295">
        <f ca="1">INDIRECT("'数据-取费表'!u"&amp;$G$1)</f>
        <v>0</v>
      </c>
      <c r="G6" s="1292"/>
      <c r="H6" s="1006" t="s">
        <v>398</v>
      </c>
      <c r="I6" s="3270" t="s">
        <v>694</v>
      </c>
      <c r="J6" s="293">
        <f ca="1">ROUND(M6*M8*M7*(1-M9),0)</f>
        <v>0</v>
      </c>
      <c r="K6" s="1284" t="s">
        <v>2106</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273" t="s">
        <v>2316</v>
      </c>
      <c r="K2" s="3274"/>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275" t="s">
        <v>2326</v>
      </c>
      <c r="K3" s="3276"/>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275" t="s">
        <v>2328</v>
      </c>
      <c r="K4" s="3276"/>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277" t="s">
        <v>2332</v>
      </c>
      <c r="B6" s="3278"/>
      <c r="C6" s="3279"/>
      <c r="D6" s="2622"/>
      <c r="E6" s="2623"/>
      <c r="F6" s="2624"/>
      <c r="G6" s="2625"/>
      <c r="H6" s="2600"/>
      <c r="I6" s="2601"/>
      <c r="J6" s="3280">
        <v>1</v>
      </c>
      <c r="K6" s="328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280"/>
      <c r="K7" s="3282"/>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284" t="s">
        <v>2346</v>
      </c>
      <c r="C8" s="3285"/>
      <c r="D8" s="2641" t="s">
        <v>2347</v>
      </c>
      <c r="E8" s="2642" t="s">
        <v>2348</v>
      </c>
      <c r="F8" s="2643" t="s">
        <v>2349</v>
      </c>
      <c r="G8" s="2644"/>
      <c r="H8" s="2600"/>
      <c r="I8" s="2601"/>
      <c r="J8" s="3280"/>
      <c r="K8" s="3282"/>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284" t="s">
        <v>2352</v>
      </c>
      <c r="C9" s="3285"/>
      <c r="D9" s="2641">
        <f>ROUND(D6*E9,0)</f>
        <v>0</v>
      </c>
      <c r="E9" s="2645"/>
      <c r="F9" s="2646" t="s">
        <v>2353</v>
      </c>
      <c r="G9" s="2625"/>
      <c r="H9" s="2600"/>
      <c r="I9" s="2601"/>
      <c r="J9" s="3280"/>
      <c r="K9" s="3282"/>
      <c r="L9" s="2635" t="s">
        <v>2354</v>
      </c>
      <c r="M9" s="2636"/>
      <c r="N9" s="2612"/>
      <c r="O9" s="2637"/>
      <c r="P9" s="2637"/>
      <c r="Q9" s="2638">
        <v>365</v>
      </c>
      <c r="R9" s="2639">
        <f t="shared" si="0"/>
        <v>0</v>
      </c>
      <c r="S9" s="2593"/>
      <c r="T9" s="2593"/>
      <c r="U9" s="2593"/>
      <c r="V9" s="2601"/>
    </row>
    <row r="10" spans="1:22" s="2605" customFormat="1" ht="13.2" customHeight="1">
      <c r="A10" s="2640">
        <v>2</v>
      </c>
      <c r="B10" s="3284" t="s">
        <v>2355</v>
      </c>
      <c r="C10" s="3285"/>
      <c r="D10" s="2641">
        <f>ROUND(D6*E10,0)</f>
        <v>0</v>
      </c>
      <c r="E10" s="2645"/>
      <c r="F10" s="2646" t="s">
        <v>2356</v>
      </c>
      <c r="G10" s="2625"/>
      <c r="H10" s="2600"/>
      <c r="I10" s="2601"/>
      <c r="J10" s="3280"/>
      <c r="K10" s="3282"/>
      <c r="L10" s="2635" t="s">
        <v>2357</v>
      </c>
      <c r="M10" s="2636"/>
      <c r="N10" s="2612"/>
      <c r="O10" s="2637"/>
      <c r="P10" s="2637"/>
      <c r="Q10" s="2638">
        <v>365</v>
      </c>
      <c r="R10" s="2639">
        <f t="shared" si="0"/>
        <v>0</v>
      </c>
      <c r="S10" s="2593"/>
      <c r="T10" s="2593"/>
      <c r="U10" s="2593"/>
      <c r="V10" s="2601"/>
    </row>
    <row r="11" spans="1:22" s="2605" customFormat="1" ht="13.2" customHeight="1">
      <c r="A11" s="2640">
        <v>3</v>
      </c>
      <c r="B11" s="3284" t="s">
        <v>2358</v>
      </c>
      <c r="C11" s="3285"/>
      <c r="D11" s="2641">
        <f>D12+D14+D15+D16</f>
        <v>0</v>
      </c>
      <c r="E11" s="2647" t="e">
        <f>D11/D6</f>
        <v>#DIV/0!</v>
      </c>
      <c r="F11" s="2643"/>
      <c r="G11" s="2644"/>
      <c r="H11" s="2600"/>
      <c r="I11" s="2601"/>
      <c r="J11" s="3280"/>
      <c r="K11" s="3282"/>
      <c r="L11" s="2635" t="s">
        <v>2359</v>
      </c>
      <c r="M11" s="2636"/>
      <c r="N11" s="2612"/>
      <c r="O11" s="2637"/>
      <c r="P11" s="2637"/>
      <c r="Q11" s="2638">
        <v>365</v>
      </c>
      <c r="R11" s="2639">
        <f t="shared" si="0"/>
        <v>0</v>
      </c>
      <c r="S11" s="2593"/>
      <c r="T11" s="2593"/>
      <c r="U11" s="2593"/>
      <c r="V11" s="2601"/>
    </row>
    <row r="12" spans="1:22" s="2605" customFormat="1" ht="13.2" customHeight="1">
      <c r="A12" s="2648" t="s">
        <v>2360</v>
      </c>
      <c r="B12" s="3286" t="s">
        <v>2361</v>
      </c>
      <c r="C12" s="3287"/>
      <c r="D12" s="2649">
        <f>ROUND(D13*1.2%*(1-30%),0)</f>
        <v>0</v>
      </c>
      <c r="E12" s="2650">
        <v>1.2E-2</v>
      </c>
      <c r="F12" s="2643" t="s">
        <v>2362</v>
      </c>
      <c r="G12" s="2644"/>
      <c r="H12" s="2600"/>
      <c r="I12" s="2601"/>
      <c r="J12" s="3280"/>
      <c r="K12" s="3282"/>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280"/>
      <c r="K13" s="3282"/>
      <c r="L13" s="2635" t="s">
        <v>2365</v>
      </c>
      <c r="M13" s="2636"/>
      <c r="N13" s="2612"/>
      <c r="O13" s="2637"/>
      <c r="P13" s="2637"/>
      <c r="Q13" s="2638">
        <v>365</v>
      </c>
      <c r="R13" s="2639">
        <f t="shared" si="0"/>
        <v>0</v>
      </c>
      <c r="S13" s="2593"/>
      <c r="T13" s="2593"/>
      <c r="U13" s="2593"/>
      <c r="V13" s="2601"/>
    </row>
    <row r="14" spans="1:22" s="2605" customFormat="1" ht="13.2" customHeight="1">
      <c r="A14" s="2648" t="s">
        <v>2366</v>
      </c>
      <c r="B14" s="3286" t="s">
        <v>2367</v>
      </c>
      <c r="C14" s="3287"/>
      <c r="D14" s="2649">
        <f>ROUND(E14*B5/10000,0)</f>
        <v>0</v>
      </c>
      <c r="E14" s="2638"/>
      <c r="F14" s="2643" t="s">
        <v>2368</v>
      </c>
      <c r="G14" s="2644"/>
      <c r="H14" s="2600"/>
      <c r="I14" s="2601"/>
      <c r="J14" s="3280"/>
      <c r="K14" s="328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286" t="s">
        <v>2371</v>
      </c>
      <c r="C15" s="3287"/>
      <c r="D15" s="2649">
        <f>ROUND(D6*E15,0)</f>
        <v>0</v>
      </c>
      <c r="E15" s="2650">
        <v>5.5E-2</v>
      </c>
      <c r="F15" s="2643" t="s">
        <v>2372</v>
      </c>
      <c r="G15" s="2625"/>
      <c r="H15" s="2600"/>
      <c r="I15" s="2601"/>
      <c r="J15" s="3280">
        <v>2</v>
      </c>
      <c r="K15" s="328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286" t="s">
        <v>2380</v>
      </c>
      <c r="C16" s="3287"/>
      <c r="D16" s="2660">
        <f>D6*E16</f>
        <v>0</v>
      </c>
      <c r="E16" s="2661"/>
      <c r="F16" s="2646" t="s">
        <v>2381</v>
      </c>
      <c r="G16" s="2625"/>
      <c r="H16" s="2600"/>
      <c r="I16" s="2601"/>
      <c r="J16" s="3280"/>
      <c r="K16" s="3282"/>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288" t="s">
        <v>2383</v>
      </c>
      <c r="C17" s="3289"/>
      <c r="D17" s="2663">
        <f>ROUND(D6*E17,0)</f>
        <v>0</v>
      </c>
      <c r="E17" s="2664"/>
      <c r="F17" s="2665" t="s">
        <v>2384</v>
      </c>
      <c r="G17" s="2625"/>
      <c r="H17" s="2600"/>
      <c r="I17" s="2601"/>
      <c r="J17" s="3280"/>
      <c r="K17" s="3282"/>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280"/>
      <c r="K18" s="3282"/>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280"/>
      <c r="K19" s="328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280">
        <v>3</v>
      </c>
      <c r="K20" s="328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280"/>
      <c r="K21" s="3282"/>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280"/>
      <c r="K22" s="3282"/>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280"/>
      <c r="K23" s="3282"/>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280"/>
      <c r="K24" s="328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29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291"/>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273" t="s">
        <v>2316</v>
      </c>
      <c r="K32" s="3274"/>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275" t="s">
        <v>2326</v>
      </c>
      <c r="K33" s="3276"/>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275" t="s">
        <v>2328</v>
      </c>
      <c r="K34" s="3276"/>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280">
        <v>1</v>
      </c>
      <c r="K36" s="3281"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280"/>
      <c r="K37" s="3282"/>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280"/>
      <c r="K38" s="3282"/>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280"/>
      <c r="K39" s="3282"/>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280"/>
      <c r="K40" s="3283"/>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290">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291"/>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292" t="s">
        <v>1654</v>
      </c>
      <c r="C5" s="3293"/>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13" t="s">
        <v>1667</v>
      </c>
      <c r="D4" s="3314"/>
      <c r="E4" s="3315" t="s">
        <v>1668</v>
      </c>
      <c r="F4" s="3316"/>
      <c r="G4" s="3313" t="s">
        <v>1669</v>
      </c>
      <c r="H4" s="3314"/>
      <c r="I4" s="3313" t="s">
        <v>1670</v>
      </c>
      <c r="J4" s="3314"/>
      <c r="K4" s="1744" t="s">
        <v>1671</v>
      </c>
      <c r="L4" s="2487"/>
      <c r="M4" s="2488"/>
      <c r="N4" s="2488"/>
      <c r="O4" s="2488"/>
      <c r="P4" s="3317" t="s">
        <v>1672</v>
      </c>
      <c r="Q4" s="3318"/>
      <c r="R4" s="3299" t="s">
        <v>1668</v>
      </c>
      <c r="S4" s="3300"/>
      <c r="T4" s="3299" t="s">
        <v>1669</v>
      </c>
      <c r="U4" s="3300"/>
      <c r="V4" s="3325" t="s">
        <v>1670</v>
      </c>
      <c r="W4" s="3325"/>
      <c r="X4" s="1265"/>
      <c r="Y4" s="3299" t="s">
        <v>1672</v>
      </c>
      <c r="Z4" s="3300"/>
      <c r="AA4" s="3294" t="s">
        <v>1668</v>
      </c>
      <c r="AB4" s="3294" t="s">
        <v>1669</v>
      </c>
      <c r="AC4" s="3294" t="s">
        <v>1670</v>
      </c>
    </row>
    <row r="5" spans="1:29">
      <c r="A5" s="348"/>
      <c r="B5" s="349"/>
      <c r="C5" s="3305" t="s">
        <v>1673</v>
      </c>
      <c r="D5" s="3306"/>
      <c r="E5" s="3303" t="s">
        <v>1674</v>
      </c>
      <c r="F5" s="3304"/>
      <c r="G5" s="3305" t="s">
        <v>1675</v>
      </c>
      <c r="H5" s="3306"/>
      <c r="I5" s="3305" t="s">
        <v>1676</v>
      </c>
      <c r="J5" s="3306"/>
      <c r="K5" s="1745"/>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1745"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297" t="s">
        <v>1680</v>
      </c>
      <c r="Q7" s="3326"/>
      <c r="R7" s="664" t="s">
        <v>20</v>
      </c>
      <c r="S7" s="665">
        <f t="shared" ref="S7:S15" si="0">F7</f>
        <v>0</v>
      </c>
      <c r="T7" s="664" t="s">
        <v>20</v>
      </c>
      <c r="U7" s="665">
        <f t="shared" ref="U7:U15" si="1">H7</f>
        <v>0</v>
      </c>
      <c r="V7" s="664" t="s">
        <v>20</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297" t="s">
        <v>1683</v>
      </c>
      <c r="Q8" s="3298"/>
      <c r="R8" s="664" t="s">
        <v>20</v>
      </c>
      <c r="S8" s="665">
        <f t="shared" si="0"/>
        <v>100</v>
      </c>
      <c r="T8" s="664" t="s">
        <v>20</v>
      </c>
      <c r="U8" s="665">
        <f t="shared" si="1"/>
        <v>100</v>
      </c>
      <c r="V8" s="664" t="s">
        <v>20</v>
      </c>
      <c r="W8" s="665">
        <f t="shared" si="2"/>
        <v>100</v>
      </c>
      <c r="X8" s="666"/>
      <c r="Y8" s="3297" t="s">
        <v>1683</v>
      </c>
      <c r="Z8" s="329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11"/>
      <c r="Q11" s="530" t="str">
        <f t="shared" si="6"/>
        <v>容积率</v>
      </c>
      <c r="R11" s="664" t="s">
        <v>18</v>
      </c>
      <c r="S11" s="665" t="e">
        <f t="shared" si="0"/>
        <v>#N/A</v>
      </c>
      <c r="T11" s="664" t="s">
        <v>18</v>
      </c>
      <c r="U11" s="665" t="e">
        <f t="shared" si="1"/>
        <v>#N/A</v>
      </c>
      <c r="V11" s="664" t="s">
        <v>18</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11"/>
      <c r="Q12" s="530">
        <f t="shared" si="6"/>
        <v>111</v>
      </c>
      <c r="R12" s="664" t="s">
        <v>18</v>
      </c>
      <c r="S12" s="665">
        <f t="shared" si="0"/>
        <v>100</v>
      </c>
      <c r="T12" s="664" t="s">
        <v>18</v>
      </c>
      <c r="U12" s="665">
        <f t="shared" si="1"/>
        <v>100</v>
      </c>
      <c r="V12" s="664" t="s">
        <v>18</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11"/>
      <c r="Q13" s="530">
        <f t="shared" si="6"/>
        <v>111</v>
      </c>
      <c r="R13" s="664" t="s">
        <v>18</v>
      </c>
      <c r="S13" s="665">
        <f t="shared" si="0"/>
        <v>100</v>
      </c>
      <c r="T13" s="664" t="s">
        <v>18</v>
      </c>
      <c r="U13" s="665">
        <f t="shared" si="1"/>
        <v>100</v>
      </c>
      <c r="V13" s="664" t="s">
        <v>18</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11"/>
      <c r="Q14" s="530">
        <f t="shared" si="6"/>
        <v>111</v>
      </c>
      <c r="R14" s="664" t="s">
        <v>18</v>
      </c>
      <c r="S14" s="665">
        <f t="shared" si="0"/>
        <v>100</v>
      </c>
      <c r="T14" s="664" t="s">
        <v>18</v>
      </c>
      <c r="U14" s="665">
        <f t="shared" si="1"/>
        <v>100</v>
      </c>
      <c r="V14" s="664" t="s">
        <v>18</v>
      </c>
      <c r="W14" s="665">
        <f t="shared" si="2"/>
        <v>100</v>
      </c>
      <c r="X14" s="666"/>
      <c r="Y14" s="331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38" t="s">
        <v>1691</v>
      </c>
      <c r="Q15" s="1263" t="str">
        <f t="shared" si="6"/>
        <v>居住社区成熟度</v>
      </c>
      <c r="R15" s="667" t="s">
        <v>18</v>
      </c>
      <c r="S15" s="668">
        <f t="shared" si="0"/>
        <v>100</v>
      </c>
      <c r="T15" s="667" t="s">
        <v>18</v>
      </c>
      <c r="U15" s="668">
        <f t="shared" si="1"/>
        <v>100</v>
      </c>
      <c r="V15" s="667" t="s">
        <v>18</v>
      </c>
      <c r="W15" s="668">
        <f t="shared" si="2"/>
        <v>100</v>
      </c>
      <c r="X15" s="1265"/>
      <c r="Y15" s="33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39"/>
      <c r="Q16" s="1263"/>
      <c r="R16" s="667"/>
      <c r="S16" s="668"/>
      <c r="T16" s="667"/>
      <c r="U16" s="668"/>
      <c r="V16" s="667"/>
      <c r="W16" s="668"/>
      <c r="X16" s="1265"/>
      <c r="Y16" s="333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39"/>
      <c r="Q17" s="1263" t="str">
        <f>B17</f>
        <v>交通便捷度</v>
      </c>
      <c r="R17" s="667" t="s">
        <v>18</v>
      </c>
      <c r="S17" s="668">
        <f>F17</f>
        <v>100</v>
      </c>
      <c r="T17" s="667" t="s">
        <v>18</v>
      </c>
      <c r="U17" s="668">
        <f>H17</f>
        <v>100</v>
      </c>
      <c r="V17" s="667" t="s">
        <v>18</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39"/>
      <c r="Q18" s="1263"/>
      <c r="R18" s="667"/>
      <c r="S18" s="668"/>
      <c r="T18" s="667"/>
      <c r="U18" s="668"/>
      <c r="V18" s="667"/>
      <c r="W18" s="668"/>
      <c r="X18" s="1265"/>
      <c r="Y18" s="333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39"/>
      <c r="Q19" s="1263" t="str">
        <f>B19</f>
        <v>公共配套设施</v>
      </c>
      <c r="R19" s="667" t="s">
        <v>18</v>
      </c>
      <c r="S19" s="668">
        <f>F19</f>
        <v>100</v>
      </c>
      <c r="T19" s="667" t="s">
        <v>18</v>
      </c>
      <c r="U19" s="668">
        <f>H19</f>
        <v>100</v>
      </c>
      <c r="V19" s="667" t="s">
        <v>18</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39"/>
      <c r="Q20" s="1263"/>
      <c r="R20" s="667"/>
      <c r="S20" s="668"/>
      <c r="T20" s="667"/>
      <c r="U20" s="668"/>
      <c r="V20" s="667"/>
      <c r="W20" s="668"/>
      <c r="X20" s="1265"/>
      <c r="Y20" s="333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39"/>
      <c r="Q22" s="1263"/>
      <c r="R22" s="667"/>
      <c r="S22" s="668"/>
      <c r="T22" s="667"/>
      <c r="U22" s="668"/>
      <c r="V22" s="667"/>
      <c r="W22" s="668"/>
      <c r="X22" s="1265"/>
      <c r="Y22" s="333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39"/>
      <c r="Q23" s="1263" t="str">
        <f>B23</f>
        <v>自然及人文环境</v>
      </c>
      <c r="R23" s="667" t="s">
        <v>18</v>
      </c>
      <c r="S23" s="668">
        <f>F23</f>
        <v>100</v>
      </c>
      <c r="T23" s="667" t="s">
        <v>18</v>
      </c>
      <c r="U23" s="668">
        <f>H23</f>
        <v>100</v>
      </c>
      <c r="V23" s="667" t="s">
        <v>18</v>
      </c>
      <c r="W23" s="668">
        <f>J23</f>
        <v>100</v>
      </c>
      <c r="X23" s="1265"/>
      <c r="Y23" s="333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39"/>
      <c r="Q24" s="1263"/>
      <c r="R24" s="667"/>
      <c r="S24" s="668"/>
      <c r="T24" s="667"/>
      <c r="U24" s="668"/>
      <c r="V24" s="667"/>
      <c r="W24" s="668"/>
      <c r="X24" s="1265"/>
      <c r="Y24" s="333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3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39"/>
      <c r="Q26" s="1263" t="str">
        <f t="shared" si="11"/>
        <v>朝向</v>
      </c>
      <c r="R26" s="667" t="s">
        <v>18</v>
      </c>
      <c r="S26" s="668">
        <f t="shared" si="12"/>
        <v>100</v>
      </c>
      <c r="T26" s="667" t="s">
        <v>18</v>
      </c>
      <c r="U26" s="668">
        <f t="shared" si="13"/>
        <v>100</v>
      </c>
      <c r="V26" s="667" t="s">
        <v>18</v>
      </c>
      <c r="W26" s="668">
        <f t="shared" si="14"/>
        <v>100</v>
      </c>
      <c r="X26" s="1265"/>
      <c r="Y26" s="333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39"/>
      <c r="Q27" s="530">
        <f t="shared" si="11"/>
        <v>111</v>
      </c>
      <c r="R27" s="664" t="s">
        <v>18</v>
      </c>
      <c r="S27" s="665">
        <f t="shared" si="12"/>
        <v>100</v>
      </c>
      <c r="T27" s="664" t="s">
        <v>18</v>
      </c>
      <c r="U27" s="665">
        <f t="shared" si="13"/>
        <v>100</v>
      </c>
      <c r="V27" s="664" t="s">
        <v>18</v>
      </c>
      <c r="W27" s="665">
        <f t="shared" si="14"/>
        <v>100</v>
      </c>
      <c r="X27" s="666"/>
      <c r="Y27" s="333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39"/>
      <c r="Q28" s="1263">
        <f t="shared" si="11"/>
        <v>111</v>
      </c>
      <c r="R28" s="667" t="s">
        <v>18</v>
      </c>
      <c r="S28" s="668">
        <f t="shared" si="12"/>
        <v>100</v>
      </c>
      <c r="T28" s="667" t="s">
        <v>18</v>
      </c>
      <c r="U28" s="668">
        <f t="shared" si="13"/>
        <v>100</v>
      </c>
      <c r="V28" s="667" t="s">
        <v>18</v>
      </c>
      <c r="W28" s="668">
        <f t="shared" si="14"/>
        <v>100</v>
      </c>
      <c r="X28" s="1265"/>
      <c r="Y28" s="333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39"/>
      <c r="Q29" s="1263">
        <f t="shared" si="11"/>
        <v>111</v>
      </c>
      <c r="R29" s="667" t="s">
        <v>18</v>
      </c>
      <c r="S29" s="668">
        <f t="shared" si="12"/>
        <v>100</v>
      </c>
      <c r="T29" s="667" t="s">
        <v>18</v>
      </c>
      <c r="U29" s="668">
        <f t="shared" si="13"/>
        <v>100</v>
      </c>
      <c r="V29" s="667" t="s">
        <v>18</v>
      </c>
      <c r="W29" s="668">
        <f t="shared" si="14"/>
        <v>100</v>
      </c>
      <c r="X29" s="1265"/>
      <c r="Y29" s="333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39"/>
      <c r="Q30" s="1263">
        <f t="shared" si="11"/>
        <v>111</v>
      </c>
      <c r="R30" s="667" t="s">
        <v>18</v>
      </c>
      <c r="S30" s="668">
        <f t="shared" si="12"/>
        <v>100</v>
      </c>
      <c r="T30" s="667" t="s">
        <v>18</v>
      </c>
      <c r="U30" s="668">
        <f t="shared" si="13"/>
        <v>100</v>
      </c>
      <c r="V30" s="667" t="s">
        <v>18</v>
      </c>
      <c r="W30" s="668">
        <f t="shared" si="14"/>
        <v>100</v>
      </c>
      <c r="X30" s="1265"/>
      <c r="Y30" s="333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39"/>
      <c r="Q31" s="1263">
        <f t="shared" si="11"/>
        <v>111</v>
      </c>
      <c r="R31" s="667" t="s">
        <v>18</v>
      </c>
      <c r="S31" s="668">
        <f t="shared" si="12"/>
        <v>100</v>
      </c>
      <c r="T31" s="667" t="s">
        <v>18</v>
      </c>
      <c r="U31" s="668">
        <f t="shared" si="13"/>
        <v>100</v>
      </c>
      <c r="V31" s="667" t="s">
        <v>18</v>
      </c>
      <c r="W31" s="668">
        <f t="shared" si="14"/>
        <v>100</v>
      </c>
      <c r="X31" s="1265"/>
      <c r="Y31" s="333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33" t="s">
        <v>1696</v>
      </c>
      <c r="Q32" s="1263" t="str">
        <f t="shared" si="11"/>
        <v>建筑类型</v>
      </c>
      <c r="R32" s="667" t="s">
        <v>18</v>
      </c>
      <c r="S32" s="668">
        <f t="shared" si="12"/>
        <v>100</v>
      </c>
      <c r="T32" s="667" t="s">
        <v>18</v>
      </c>
      <c r="U32" s="668">
        <f t="shared" si="13"/>
        <v>100</v>
      </c>
      <c r="V32" s="667" t="s">
        <v>18</v>
      </c>
      <c r="W32" s="668">
        <f t="shared" si="14"/>
        <v>100</v>
      </c>
      <c r="X32" s="1265"/>
      <c r="Y32" s="333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34"/>
      <c r="Q33" s="531" t="str">
        <f t="shared" si="11"/>
        <v>项目建筑规模</v>
      </c>
      <c r="R33" s="669" t="s">
        <v>18</v>
      </c>
      <c r="S33" s="670" t="e">
        <f t="shared" si="12"/>
        <v>#N/A</v>
      </c>
      <c r="T33" s="669" t="s">
        <v>18</v>
      </c>
      <c r="U33" s="670" t="e">
        <f t="shared" si="13"/>
        <v>#N/A</v>
      </c>
      <c r="V33" s="669" t="s">
        <v>18</v>
      </c>
      <c r="W33" s="670" t="e">
        <f t="shared" si="14"/>
        <v>#N/A</v>
      </c>
      <c r="X33" s="671"/>
      <c r="Y33" s="333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34"/>
      <c r="Q34" s="1263" t="str">
        <f t="shared" si="11"/>
        <v>建筑结构</v>
      </c>
      <c r="R34" s="667" t="s">
        <v>18</v>
      </c>
      <c r="S34" s="668">
        <f t="shared" si="12"/>
        <v>100</v>
      </c>
      <c r="T34" s="667" t="s">
        <v>18</v>
      </c>
      <c r="U34" s="668">
        <f t="shared" si="13"/>
        <v>100</v>
      </c>
      <c r="V34" s="667" t="s">
        <v>18</v>
      </c>
      <c r="W34" s="668">
        <f t="shared" si="14"/>
        <v>100</v>
      </c>
      <c r="X34" s="1265"/>
      <c r="Y34" s="333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34"/>
      <c r="Q35" s="1263" t="str">
        <f t="shared" si="11"/>
        <v>建筑品质</v>
      </c>
      <c r="R35" s="667" t="s">
        <v>18</v>
      </c>
      <c r="S35" s="668">
        <f t="shared" si="12"/>
        <v>100</v>
      </c>
      <c r="T35" s="667" t="s">
        <v>18</v>
      </c>
      <c r="U35" s="668">
        <f t="shared" si="13"/>
        <v>100</v>
      </c>
      <c r="V35" s="667" t="s">
        <v>18</v>
      </c>
      <c r="W35" s="668">
        <f t="shared" si="14"/>
        <v>100</v>
      </c>
      <c r="X35" s="1265"/>
      <c r="Y35" s="333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34"/>
      <c r="Q36" s="1263" t="str">
        <f t="shared" si="11"/>
        <v>公共部分装修</v>
      </c>
      <c r="R36" s="667" t="s">
        <v>18</v>
      </c>
      <c r="S36" s="668">
        <f t="shared" si="12"/>
        <v>100</v>
      </c>
      <c r="T36" s="667" t="s">
        <v>18</v>
      </c>
      <c r="U36" s="668">
        <f t="shared" si="13"/>
        <v>100</v>
      </c>
      <c r="V36" s="667" t="s">
        <v>18</v>
      </c>
      <c r="W36" s="668">
        <f t="shared" si="14"/>
        <v>100</v>
      </c>
      <c r="X36" s="1265"/>
      <c r="Y36" s="333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34"/>
      <c r="Q37" s="530" t="str">
        <f t="shared" si="11"/>
        <v>成新度</v>
      </c>
      <c r="R37" s="664" t="s">
        <v>18</v>
      </c>
      <c r="S37" s="665" t="e">
        <f t="shared" si="12"/>
        <v>#N/A</v>
      </c>
      <c r="T37" s="664" t="s">
        <v>18</v>
      </c>
      <c r="U37" s="665" t="e">
        <f t="shared" si="13"/>
        <v>#N/A</v>
      </c>
      <c r="V37" s="664" t="s">
        <v>18</v>
      </c>
      <c r="W37" s="665" t="e">
        <f t="shared" si="14"/>
        <v>#N/A</v>
      </c>
      <c r="X37" s="666"/>
      <c r="Y37" s="333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34" t="s">
        <v>1696</v>
      </c>
      <c r="Q38" s="1263" t="str">
        <f t="shared" si="11"/>
        <v>物业管理</v>
      </c>
      <c r="R38" s="667" t="s">
        <v>18</v>
      </c>
      <c r="S38" s="668">
        <f t="shared" si="12"/>
        <v>100</v>
      </c>
      <c r="T38" s="667" t="s">
        <v>18</v>
      </c>
      <c r="U38" s="668">
        <f t="shared" si="13"/>
        <v>100</v>
      </c>
      <c r="V38" s="667" t="s">
        <v>18</v>
      </c>
      <c r="W38" s="668">
        <f t="shared" si="14"/>
        <v>100</v>
      </c>
      <c r="X38" s="1265"/>
      <c r="Y38" s="333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34"/>
      <c r="Q39" s="1263" t="str">
        <f t="shared" si="11"/>
        <v>市政基础设施</v>
      </c>
      <c r="R39" s="667" t="s">
        <v>18</v>
      </c>
      <c r="S39" s="668">
        <f t="shared" si="12"/>
        <v>100</v>
      </c>
      <c r="T39" s="667" t="s">
        <v>18</v>
      </c>
      <c r="U39" s="668">
        <f t="shared" si="13"/>
        <v>100</v>
      </c>
      <c r="V39" s="667" t="s">
        <v>18</v>
      </c>
      <c r="W39" s="668">
        <f t="shared" si="14"/>
        <v>100</v>
      </c>
      <c r="X39" s="1265"/>
      <c r="Y39" s="333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34"/>
      <c r="Q40" s="1263" t="str">
        <f t="shared" si="11"/>
        <v>房型</v>
      </c>
      <c r="R40" s="667" t="s">
        <v>18</v>
      </c>
      <c r="S40" s="668">
        <f t="shared" si="12"/>
        <v>100</v>
      </c>
      <c r="T40" s="667" t="s">
        <v>18</v>
      </c>
      <c r="U40" s="668">
        <f t="shared" si="13"/>
        <v>100</v>
      </c>
      <c r="V40" s="667" t="s">
        <v>18</v>
      </c>
      <c r="W40" s="668">
        <f t="shared" si="14"/>
        <v>100</v>
      </c>
      <c r="X40" s="1265"/>
      <c r="Y40" s="333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34"/>
      <c r="Q41" s="531" t="str">
        <f t="shared" si="11"/>
        <v>单套/主力户型建筑面积</v>
      </c>
      <c r="R41" s="669" t="s">
        <v>18</v>
      </c>
      <c r="S41" s="670">
        <f t="shared" si="12"/>
        <v>100</v>
      </c>
      <c r="T41" s="669" t="s">
        <v>18</v>
      </c>
      <c r="U41" s="670">
        <f t="shared" si="13"/>
        <v>100</v>
      </c>
      <c r="V41" s="669" t="s">
        <v>18</v>
      </c>
      <c r="W41" s="670">
        <f t="shared" si="14"/>
        <v>100</v>
      </c>
      <c r="X41" s="671"/>
      <c r="Y41" s="333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34"/>
      <c r="Q42" s="1263" t="str">
        <f t="shared" si="11"/>
        <v>内部装修</v>
      </c>
      <c r="R42" s="667" t="s">
        <v>18</v>
      </c>
      <c r="S42" s="668">
        <f t="shared" si="12"/>
        <v>100</v>
      </c>
      <c r="T42" s="667" t="s">
        <v>18</v>
      </c>
      <c r="U42" s="668">
        <f t="shared" si="13"/>
        <v>100</v>
      </c>
      <c r="V42" s="667" t="s">
        <v>18</v>
      </c>
      <c r="W42" s="668">
        <f t="shared" si="14"/>
        <v>100</v>
      </c>
      <c r="X42" s="1265"/>
      <c r="Y42" s="333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34"/>
      <c r="Q43" s="1263" t="str">
        <f t="shared" si="11"/>
        <v>内部装修维护情况</v>
      </c>
      <c r="R43" s="667" t="s">
        <v>18</v>
      </c>
      <c r="S43" s="668">
        <f t="shared" si="12"/>
        <v>100</v>
      </c>
      <c r="T43" s="667" t="s">
        <v>18</v>
      </c>
      <c r="U43" s="668">
        <f t="shared" si="13"/>
        <v>100</v>
      </c>
      <c r="V43" s="667" t="s">
        <v>18</v>
      </c>
      <c r="W43" s="668">
        <f t="shared" si="14"/>
        <v>100</v>
      </c>
      <c r="X43" s="1265"/>
      <c r="Y43" s="333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34"/>
      <c r="Q44" s="530">
        <f t="shared" si="11"/>
        <v>111</v>
      </c>
      <c r="R44" s="664" t="s">
        <v>18</v>
      </c>
      <c r="S44" s="665">
        <f t="shared" si="12"/>
        <v>100</v>
      </c>
      <c r="T44" s="664" t="s">
        <v>18</v>
      </c>
      <c r="U44" s="665">
        <f t="shared" si="13"/>
        <v>100</v>
      </c>
      <c r="V44" s="664" t="s">
        <v>18</v>
      </c>
      <c r="W44" s="665">
        <f t="shared" si="14"/>
        <v>100</v>
      </c>
      <c r="X44" s="666"/>
      <c r="Y44" s="333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34"/>
      <c r="Q45" s="1263">
        <f t="shared" si="11"/>
        <v>111</v>
      </c>
      <c r="R45" s="667" t="s">
        <v>18</v>
      </c>
      <c r="S45" s="668">
        <f t="shared" si="12"/>
        <v>100</v>
      </c>
      <c r="T45" s="667" t="s">
        <v>18</v>
      </c>
      <c r="U45" s="668">
        <f t="shared" si="13"/>
        <v>100</v>
      </c>
      <c r="V45" s="667" t="s">
        <v>18</v>
      </c>
      <c r="W45" s="668">
        <f t="shared" si="14"/>
        <v>100</v>
      </c>
      <c r="X45" s="1265"/>
      <c r="Y45" s="333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35"/>
      <c r="Q46" s="1263">
        <f t="shared" si="11"/>
        <v>111</v>
      </c>
      <c r="R46" s="667" t="s">
        <v>17</v>
      </c>
      <c r="S46" s="668">
        <f t="shared" si="12"/>
        <v>100</v>
      </c>
      <c r="T46" s="667" t="s">
        <v>17</v>
      </c>
      <c r="U46" s="668">
        <f t="shared" si="13"/>
        <v>100</v>
      </c>
      <c r="V46" s="667" t="s">
        <v>17</v>
      </c>
      <c r="W46" s="668">
        <f t="shared" si="14"/>
        <v>100</v>
      </c>
      <c r="X46" s="1265"/>
      <c r="Y46" s="333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30" t="str">
        <f>A47</f>
        <v>成交单价（元/平方米）</v>
      </c>
      <c r="Q47" s="3330"/>
      <c r="R47" s="3325">
        <f>E47</f>
        <v>0</v>
      </c>
      <c r="S47" s="3325"/>
      <c r="T47" s="3325">
        <f>G47</f>
        <v>0</v>
      </c>
      <c r="U47" s="3325"/>
      <c r="V47" s="3325">
        <f>I47</f>
        <v>0</v>
      </c>
      <c r="W47" s="3325"/>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30" t="str">
        <f>A48</f>
        <v>比较价值（元/平方米）</v>
      </c>
      <c r="Q48" s="3330"/>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32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32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325"/>
      <c r="AC6" s="3296"/>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11"/>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1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1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1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38" t="s">
        <v>1691</v>
      </c>
      <c r="Q15" s="1263" t="str">
        <f t="shared" si="6"/>
        <v>商业繁华度</v>
      </c>
      <c r="R15" s="667" t="s">
        <v>14</v>
      </c>
      <c r="S15" s="668">
        <f t="shared" si="0"/>
        <v>100</v>
      </c>
      <c r="T15" s="667" t="s">
        <v>14</v>
      </c>
      <c r="U15" s="668">
        <f t="shared" si="1"/>
        <v>100</v>
      </c>
      <c r="V15" s="667" t="s">
        <v>14</v>
      </c>
      <c r="W15" s="668">
        <f t="shared" si="2"/>
        <v>100</v>
      </c>
      <c r="X15" s="1265"/>
      <c r="Y15" s="333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39"/>
      <c r="Q16" s="1263"/>
      <c r="R16" s="667"/>
      <c r="S16" s="668"/>
      <c r="T16" s="667"/>
      <c r="U16" s="668"/>
      <c r="V16" s="667"/>
      <c r="W16" s="668"/>
      <c r="X16" s="1265"/>
      <c r="Y16" s="333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39"/>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39"/>
      <c r="Q18" s="1263"/>
      <c r="R18" s="667"/>
      <c r="S18" s="668"/>
      <c r="T18" s="667"/>
      <c r="U18" s="668"/>
      <c r="V18" s="667"/>
      <c r="W18" s="668"/>
      <c r="X18" s="1265"/>
      <c r="Y18" s="333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39"/>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39"/>
      <c r="Q20" s="1263"/>
      <c r="R20" s="667"/>
      <c r="S20" s="668"/>
      <c r="T20" s="667"/>
      <c r="U20" s="668"/>
      <c r="V20" s="667"/>
      <c r="W20" s="668"/>
      <c r="X20" s="1265"/>
      <c r="Y20" s="333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39"/>
      <c r="Q22" s="1263"/>
      <c r="R22" s="667"/>
      <c r="S22" s="668"/>
      <c r="T22" s="667"/>
      <c r="U22" s="668"/>
      <c r="V22" s="667"/>
      <c r="W22" s="668"/>
      <c r="X22" s="1265"/>
      <c r="Y22" s="333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39"/>
      <c r="Q23" s="1263" t="str">
        <f>B23</f>
        <v>自然及人文环境</v>
      </c>
      <c r="R23" s="667" t="s">
        <v>14</v>
      </c>
      <c r="S23" s="668">
        <f>F23</f>
        <v>100</v>
      </c>
      <c r="T23" s="667" t="s">
        <v>14</v>
      </c>
      <c r="U23" s="668">
        <f>H23</f>
        <v>100</v>
      </c>
      <c r="V23" s="667" t="s">
        <v>14</v>
      </c>
      <c r="W23" s="668">
        <f>J23</f>
        <v>100</v>
      </c>
      <c r="X23" s="1265"/>
      <c r="Y23" s="333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39"/>
      <c r="Q24" s="1263"/>
      <c r="R24" s="667"/>
      <c r="S24" s="668"/>
      <c r="T24" s="667"/>
      <c r="U24" s="668"/>
      <c r="V24" s="667"/>
      <c r="W24" s="668"/>
      <c r="X24" s="1265"/>
      <c r="Y24" s="33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39"/>
      <c r="Q25" s="1263" t="str">
        <f t="shared" ref="Q25:Q46" si="11">B25</f>
        <v>临街状况</v>
      </c>
      <c r="R25" s="667" t="s">
        <v>14</v>
      </c>
      <c r="S25" s="668">
        <f>F25</f>
        <v>100</v>
      </c>
      <c r="T25" s="667" t="s">
        <v>14</v>
      </c>
      <c r="U25" s="668">
        <f>H25</f>
        <v>100</v>
      </c>
      <c r="V25" s="667" t="s">
        <v>14</v>
      </c>
      <c r="W25" s="668">
        <f>J25</f>
        <v>100</v>
      </c>
      <c r="X25" s="1265"/>
      <c r="Y25" s="333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39"/>
      <c r="Q26" s="1263" t="str">
        <f t="shared" si="11"/>
        <v>平面位置/可视性</v>
      </c>
      <c r="R26" s="667" t="s">
        <v>14</v>
      </c>
      <c r="S26" s="668">
        <f>F26</f>
        <v>100</v>
      </c>
      <c r="T26" s="667" t="s">
        <v>14</v>
      </c>
      <c r="U26" s="668">
        <f>H26</f>
        <v>100</v>
      </c>
      <c r="V26" s="667" t="s">
        <v>14</v>
      </c>
      <c r="W26" s="668">
        <f>J26</f>
        <v>100</v>
      </c>
      <c r="X26" s="1265"/>
      <c r="Y26" s="333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39"/>
      <c r="Q27" s="530" t="str">
        <f t="shared" si="11"/>
        <v>人流量</v>
      </c>
      <c r="R27" s="664" t="s">
        <v>14</v>
      </c>
      <c r="S27" s="665">
        <f>F27</f>
        <v>100</v>
      </c>
      <c r="T27" s="664" t="s">
        <v>14</v>
      </c>
      <c r="U27" s="665">
        <f>H27</f>
        <v>100</v>
      </c>
      <c r="V27" s="664" t="s">
        <v>14</v>
      </c>
      <c r="W27" s="665">
        <f>J27</f>
        <v>100</v>
      </c>
      <c r="X27" s="666"/>
      <c r="Y27" s="333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39"/>
      <c r="Q29" s="1263">
        <f t="shared" si="11"/>
        <v>111</v>
      </c>
      <c r="R29" s="667" t="s">
        <v>14</v>
      </c>
      <c r="S29" s="668">
        <f t="shared" si="12"/>
        <v>100</v>
      </c>
      <c r="T29" s="667" t="s">
        <v>14</v>
      </c>
      <c r="U29" s="668">
        <f t="shared" si="13"/>
        <v>100</v>
      </c>
      <c r="V29" s="667" t="s">
        <v>14</v>
      </c>
      <c r="W29" s="668">
        <f t="shared" si="14"/>
        <v>100</v>
      </c>
      <c r="X29" s="1265"/>
      <c r="Y29" s="33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39"/>
      <c r="Q30" s="1263">
        <f t="shared" si="11"/>
        <v>111</v>
      </c>
      <c r="R30" s="667" t="s">
        <v>14</v>
      </c>
      <c r="S30" s="668">
        <f t="shared" si="12"/>
        <v>100</v>
      </c>
      <c r="T30" s="667" t="s">
        <v>14</v>
      </c>
      <c r="U30" s="668">
        <f t="shared" si="13"/>
        <v>100</v>
      </c>
      <c r="V30" s="667" t="s">
        <v>14</v>
      </c>
      <c r="W30" s="668">
        <f t="shared" si="14"/>
        <v>100</v>
      </c>
      <c r="X30" s="1265"/>
      <c r="Y30" s="333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39"/>
      <c r="Q31" s="1263">
        <f t="shared" si="11"/>
        <v>111</v>
      </c>
      <c r="R31" s="667" t="s">
        <v>14</v>
      </c>
      <c r="S31" s="668">
        <f t="shared" si="12"/>
        <v>100</v>
      </c>
      <c r="T31" s="667" t="s">
        <v>14</v>
      </c>
      <c r="U31" s="668">
        <f t="shared" si="13"/>
        <v>100</v>
      </c>
      <c r="V31" s="667" t="s">
        <v>14</v>
      </c>
      <c r="W31" s="668">
        <f t="shared" si="14"/>
        <v>100</v>
      </c>
      <c r="X31" s="1265"/>
      <c r="Y31" s="333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33" t="s">
        <v>1696</v>
      </c>
      <c r="Q32" s="1263" t="str">
        <f t="shared" si="11"/>
        <v>商业类型</v>
      </c>
      <c r="R32" s="667" t="s">
        <v>14</v>
      </c>
      <c r="S32" s="668">
        <f t="shared" si="12"/>
        <v>100</v>
      </c>
      <c r="T32" s="667" t="s">
        <v>14</v>
      </c>
      <c r="U32" s="668">
        <f t="shared" si="13"/>
        <v>100</v>
      </c>
      <c r="V32" s="667" t="s">
        <v>14</v>
      </c>
      <c r="W32" s="668">
        <f t="shared" si="14"/>
        <v>100</v>
      </c>
      <c r="X32" s="1265"/>
      <c r="Y32" s="333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34"/>
      <c r="Q33" s="531" t="str">
        <f t="shared" si="11"/>
        <v>项目建筑规模</v>
      </c>
      <c r="R33" s="669" t="s">
        <v>14</v>
      </c>
      <c r="S33" s="670" t="e">
        <f t="shared" si="12"/>
        <v>#N/A</v>
      </c>
      <c r="T33" s="669" t="s">
        <v>14</v>
      </c>
      <c r="U33" s="670" t="e">
        <f t="shared" si="13"/>
        <v>#N/A</v>
      </c>
      <c r="V33" s="669" t="s">
        <v>14</v>
      </c>
      <c r="W33" s="670" t="e">
        <f t="shared" si="14"/>
        <v>#N/A</v>
      </c>
      <c r="X33" s="671"/>
      <c r="Y33" s="333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34"/>
      <c r="Q34" s="1263" t="str">
        <f t="shared" si="11"/>
        <v>建筑结构</v>
      </c>
      <c r="R34" s="667" t="s">
        <v>14</v>
      </c>
      <c r="S34" s="668">
        <f t="shared" si="12"/>
        <v>100</v>
      </c>
      <c r="T34" s="667" t="s">
        <v>14</v>
      </c>
      <c r="U34" s="668">
        <f t="shared" si="13"/>
        <v>100</v>
      </c>
      <c r="V34" s="667" t="s">
        <v>14</v>
      </c>
      <c r="W34" s="668">
        <f t="shared" si="14"/>
        <v>100</v>
      </c>
      <c r="X34" s="1265"/>
      <c r="Y34" s="333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34"/>
      <c r="Q35" s="1263" t="str">
        <f t="shared" si="11"/>
        <v>公共部分装修</v>
      </c>
      <c r="R35" s="667" t="s">
        <v>14</v>
      </c>
      <c r="S35" s="668">
        <f t="shared" si="12"/>
        <v>100</v>
      </c>
      <c r="T35" s="667" t="s">
        <v>14</v>
      </c>
      <c r="U35" s="668">
        <f t="shared" si="13"/>
        <v>100</v>
      </c>
      <c r="V35" s="667" t="s">
        <v>14</v>
      </c>
      <c r="W35" s="668">
        <f t="shared" si="14"/>
        <v>100</v>
      </c>
      <c r="X35" s="1265"/>
      <c r="Y35" s="333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34"/>
      <c r="Q36" s="1263" t="str">
        <f t="shared" si="11"/>
        <v>成新度</v>
      </c>
      <c r="R36" s="667" t="s">
        <v>14</v>
      </c>
      <c r="S36" s="668" t="e">
        <f t="shared" si="12"/>
        <v>#N/A</v>
      </c>
      <c r="T36" s="667" t="s">
        <v>14</v>
      </c>
      <c r="U36" s="668" t="e">
        <f t="shared" si="13"/>
        <v>#N/A</v>
      </c>
      <c r="V36" s="667" t="s">
        <v>14</v>
      </c>
      <c r="W36" s="668" t="e">
        <f t="shared" si="14"/>
        <v>#N/A</v>
      </c>
      <c r="X36" s="1265"/>
      <c r="Y36" s="333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34"/>
      <c r="Q37" s="530" t="str">
        <f t="shared" si="11"/>
        <v>市政基础设施</v>
      </c>
      <c r="R37" s="664" t="s">
        <v>14</v>
      </c>
      <c r="S37" s="665">
        <f t="shared" si="12"/>
        <v>100</v>
      </c>
      <c r="T37" s="664" t="s">
        <v>14</v>
      </c>
      <c r="U37" s="665">
        <f t="shared" si="13"/>
        <v>100</v>
      </c>
      <c r="V37" s="664" t="s">
        <v>14</v>
      </c>
      <c r="W37" s="665">
        <f t="shared" si="14"/>
        <v>100</v>
      </c>
      <c r="X37" s="666"/>
      <c r="Y37" s="333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34" t="s">
        <v>1696</v>
      </c>
      <c r="Q38" s="1263" t="str">
        <f t="shared" si="11"/>
        <v>业态</v>
      </c>
      <c r="R38" s="667" t="s">
        <v>14</v>
      </c>
      <c r="S38" s="668">
        <f t="shared" si="12"/>
        <v>100</v>
      </c>
      <c r="T38" s="667" t="s">
        <v>14</v>
      </c>
      <c r="U38" s="668">
        <f t="shared" si="13"/>
        <v>100</v>
      </c>
      <c r="V38" s="667" t="s">
        <v>14</v>
      </c>
      <c r="W38" s="668">
        <f t="shared" si="14"/>
        <v>100</v>
      </c>
      <c r="X38" s="1265"/>
      <c r="Y38" s="333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34"/>
      <c r="Q39" s="1263" t="str">
        <f t="shared" si="11"/>
        <v>层高</v>
      </c>
      <c r="R39" s="667" t="s">
        <v>14</v>
      </c>
      <c r="S39" s="668">
        <f t="shared" si="12"/>
        <v>100</v>
      </c>
      <c r="T39" s="667" t="s">
        <v>14</v>
      </c>
      <c r="U39" s="668">
        <f t="shared" si="13"/>
        <v>100</v>
      </c>
      <c r="V39" s="667" t="s">
        <v>14</v>
      </c>
      <c r="W39" s="668">
        <f t="shared" si="14"/>
        <v>100</v>
      </c>
      <c r="X39" s="1265"/>
      <c r="Y39" s="333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34"/>
      <c r="Q40" s="1263" t="str">
        <f t="shared" si="11"/>
        <v>单套建筑面积</v>
      </c>
      <c r="R40" s="667" t="s">
        <v>14</v>
      </c>
      <c r="S40" s="668">
        <f t="shared" si="12"/>
        <v>100</v>
      </c>
      <c r="T40" s="667" t="s">
        <v>14</v>
      </c>
      <c r="U40" s="668">
        <f t="shared" si="13"/>
        <v>100</v>
      </c>
      <c r="V40" s="667" t="s">
        <v>14</v>
      </c>
      <c r="W40" s="668">
        <f t="shared" si="14"/>
        <v>100</v>
      </c>
      <c r="X40" s="1265"/>
      <c r="Y40" s="333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34"/>
      <c r="Q41" s="531" t="str">
        <f t="shared" si="11"/>
        <v>进深比</v>
      </c>
      <c r="R41" s="669" t="s">
        <v>14</v>
      </c>
      <c r="S41" s="670">
        <f t="shared" si="12"/>
        <v>100</v>
      </c>
      <c r="T41" s="669" t="s">
        <v>14</v>
      </c>
      <c r="U41" s="670">
        <f t="shared" si="13"/>
        <v>100</v>
      </c>
      <c r="V41" s="669" t="s">
        <v>14</v>
      </c>
      <c r="W41" s="670">
        <f t="shared" si="14"/>
        <v>100</v>
      </c>
      <c r="X41" s="671"/>
      <c r="Y41" s="333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34"/>
      <c r="Q42" s="1263" t="str">
        <f t="shared" si="11"/>
        <v>内部装修</v>
      </c>
      <c r="R42" s="667" t="s">
        <v>14</v>
      </c>
      <c r="S42" s="668">
        <f t="shared" si="12"/>
        <v>100</v>
      </c>
      <c r="T42" s="667" t="s">
        <v>14</v>
      </c>
      <c r="U42" s="668">
        <f t="shared" si="13"/>
        <v>100</v>
      </c>
      <c r="V42" s="667" t="s">
        <v>14</v>
      </c>
      <c r="W42" s="668">
        <f t="shared" si="14"/>
        <v>100</v>
      </c>
      <c r="X42" s="1265"/>
      <c r="Y42" s="333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34"/>
      <c r="Q43" s="1263" t="str">
        <f t="shared" si="11"/>
        <v>内部装修维护情况</v>
      </c>
      <c r="R43" s="667" t="s">
        <v>14</v>
      </c>
      <c r="S43" s="668">
        <f t="shared" si="12"/>
        <v>100</v>
      </c>
      <c r="T43" s="667" t="s">
        <v>14</v>
      </c>
      <c r="U43" s="668">
        <f t="shared" si="13"/>
        <v>100</v>
      </c>
      <c r="V43" s="667" t="s">
        <v>14</v>
      </c>
      <c r="W43" s="668">
        <f t="shared" si="14"/>
        <v>100</v>
      </c>
      <c r="X43" s="1265"/>
      <c r="Y43" s="333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34"/>
      <c r="Q44" s="530">
        <f t="shared" si="11"/>
        <v>111</v>
      </c>
      <c r="R44" s="664" t="s">
        <v>14</v>
      </c>
      <c r="S44" s="665">
        <f t="shared" si="12"/>
        <v>100</v>
      </c>
      <c r="T44" s="664" t="s">
        <v>14</v>
      </c>
      <c r="U44" s="665">
        <f t="shared" si="13"/>
        <v>100</v>
      </c>
      <c r="V44" s="664" t="s">
        <v>14</v>
      </c>
      <c r="W44" s="665">
        <f t="shared" si="14"/>
        <v>100</v>
      </c>
      <c r="X44" s="666"/>
      <c r="Y44" s="333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34"/>
      <c r="Q45" s="1263">
        <f t="shared" si="11"/>
        <v>111</v>
      </c>
      <c r="R45" s="667" t="s">
        <v>14</v>
      </c>
      <c r="S45" s="668">
        <f t="shared" si="12"/>
        <v>100</v>
      </c>
      <c r="T45" s="667" t="s">
        <v>14</v>
      </c>
      <c r="U45" s="668">
        <f t="shared" si="13"/>
        <v>100</v>
      </c>
      <c r="V45" s="667" t="s">
        <v>14</v>
      </c>
      <c r="W45" s="668">
        <f t="shared" si="14"/>
        <v>100</v>
      </c>
      <c r="X45" s="1265"/>
      <c r="Y45" s="333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35"/>
      <c r="Q46" s="1263">
        <f t="shared" si="11"/>
        <v>111</v>
      </c>
      <c r="R46" s="667" t="s">
        <v>14</v>
      </c>
      <c r="S46" s="668">
        <f t="shared" si="12"/>
        <v>100</v>
      </c>
      <c r="T46" s="667" t="s">
        <v>14</v>
      </c>
      <c r="U46" s="668">
        <f t="shared" si="13"/>
        <v>100</v>
      </c>
      <c r="V46" s="667" t="s">
        <v>14</v>
      </c>
      <c r="W46" s="668">
        <f t="shared" si="14"/>
        <v>100</v>
      </c>
      <c r="X46" s="1265"/>
      <c r="Y46" s="333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30" t="str">
        <f>A47</f>
        <v>成交单价（元/平方米）</v>
      </c>
      <c r="Q47" s="3330"/>
      <c r="R47" s="3325">
        <f>E47</f>
        <v>0</v>
      </c>
      <c r="S47" s="3325"/>
      <c r="T47" s="3325">
        <f>G47</f>
        <v>0</v>
      </c>
      <c r="U47" s="3325"/>
      <c r="V47" s="3325">
        <f>I47</f>
        <v>0</v>
      </c>
      <c r="W47" s="3325"/>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30" t="str">
        <f>A48</f>
        <v>比较价值（元/平方米）</v>
      </c>
      <c r="Q48" s="3330"/>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27" t="str">
        <f>A49</f>
        <v>估价对象XX用房的比较价值（楼面单价，元/平方米）</v>
      </c>
      <c r="Q49" s="3328"/>
      <c r="R49" s="3329" t="e">
        <f>IF(F1="售价",ROUND(IF(D48="简单平均",AVERAGE(R48:V48),R48*F48+T48*H48+V48*J48),0),ROUND(IF(D48="简单平均",AVERAGE(R48:V48),R48*F48+T48*H48+V48*J48),1))</f>
        <v>#DIV/0!</v>
      </c>
      <c r="S49" s="3329"/>
      <c r="T49" s="3329"/>
      <c r="U49" s="3329"/>
      <c r="V49" s="3329"/>
      <c r="W49" s="332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46" t="s">
        <v>1775</v>
      </c>
      <c r="Q4" s="3347"/>
      <c r="R4" s="3341" t="s">
        <v>1771</v>
      </c>
      <c r="S4" s="3342"/>
      <c r="T4" s="3341" t="s">
        <v>1772</v>
      </c>
      <c r="U4" s="3342"/>
      <c r="V4" s="3350" t="s">
        <v>1773</v>
      </c>
      <c r="W4" s="3350"/>
      <c r="X4" s="1809"/>
      <c r="Y4" s="3341" t="s">
        <v>1775</v>
      </c>
      <c r="Z4" s="3342"/>
      <c r="AA4" s="3340" t="s">
        <v>1771</v>
      </c>
      <c r="AB4" s="3340" t="s">
        <v>1772</v>
      </c>
      <c r="AC4" s="3343" t="s">
        <v>1773</v>
      </c>
    </row>
    <row r="5" spans="1:29">
      <c r="A5" s="348"/>
      <c r="B5" s="349"/>
      <c r="C5" s="3305" t="s">
        <v>1673</v>
      </c>
      <c r="D5" s="3306"/>
      <c r="E5" s="3303" t="s">
        <v>1674</v>
      </c>
      <c r="F5" s="3304"/>
      <c r="G5" s="3305" t="s">
        <v>1675</v>
      </c>
      <c r="H5" s="3306"/>
      <c r="I5" s="3305" t="s">
        <v>1676</v>
      </c>
      <c r="J5" s="3306"/>
      <c r="K5" s="537"/>
      <c r="L5" s="2487"/>
      <c r="M5" s="2488"/>
      <c r="N5" s="2488"/>
      <c r="O5" s="2488"/>
      <c r="P5" s="3348"/>
      <c r="Q5" s="3320"/>
      <c r="R5" s="3301"/>
      <c r="S5" s="3302"/>
      <c r="T5" s="3301"/>
      <c r="U5" s="3302"/>
      <c r="V5" s="3325"/>
      <c r="W5" s="3325"/>
      <c r="X5" s="1265"/>
      <c r="Y5" s="3301"/>
      <c r="Z5" s="3302"/>
      <c r="AA5" s="3295"/>
      <c r="AB5" s="3295"/>
      <c r="AC5" s="3344"/>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49"/>
      <c r="Q6" s="3322"/>
      <c r="R6" s="3301"/>
      <c r="S6" s="3302"/>
      <c r="T6" s="3323"/>
      <c r="U6" s="3324"/>
      <c r="V6" s="3325"/>
      <c r="W6" s="3325"/>
      <c r="X6" s="1265"/>
      <c r="Y6" s="3323"/>
      <c r="Z6" s="3324"/>
      <c r="AA6" s="3296"/>
      <c r="AB6" s="3296"/>
      <c r="AC6" s="3345"/>
    </row>
    <row r="7" spans="1:29" s="102" customFormat="1" ht="1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9"/>
      <c r="M7" s="2440"/>
      <c r="N7" s="2440"/>
      <c r="O7" s="2440"/>
      <c r="P7" s="3351"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351" t="s">
        <v>1683</v>
      </c>
      <c r="Q8" s="3298"/>
      <c r="R8" s="664" t="s">
        <v>14</v>
      </c>
      <c r="S8" s="665">
        <f t="shared" si="0"/>
        <v>100</v>
      </c>
      <c r="T8" s="664" t="s">
        <v>14</v>
      </c>
      <c r="U8" s="665">
        <f t="shared" si="1"/>
        <v>100</v>
      </c>
      <c r="V8" s="664" t="s">
        <v>14</v>
      </c>
      <c r="W8" s="665">
        <f t="shared" si="2"/>
        <v>100</v>
      </c>
      <c r="X8" s="666"/>
      <c r="Y8" s="3297" t="s">
        <v>1683</v>
      </c>
      <c r="Z8" s="329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1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1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11"/>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1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1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1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38" t="s">
        <v>1691</v>
      </c>
      <c r="Q15" s="1263" t="str">
        <f t="shared" si="6"/>
        <v>办公集聚程度</v>
      </c>
      <c r="R15" s="667" t="s">
        <v>14</v>
      </c>
      <c r="S15" s="668">
        <f t="shared" si="0"/>
        <v>100</v>
      </c>
      <c r="T15" s="667" t="s">
        <v>14</v>
      </c>
      <c r="U15" s="668">
        <f t="shared" si="1"/>
        <v>100</v>
      </c>
      <c r="V15" s="667" t="s">
        <v>14</v>
      </c>
      <c r="W15" s="668">
        <f t="shared" si="2"/>
        <v>100</v>
      </c>
      <c r="X15" s="1265"/>
      <c r="Y15" s="333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39"/>
      <c r="Q16" s="1263"/>
      <c r="R16" s="667"/>
      <c r="S16" s="668"/>
      <c r="T16" s="667"/>
      <c r="U16" s="668"/>
      <c r="V16" s="667"/>
      <c r="W16" s="668"/>
      <c r="X16" s="1265"/>
      <c r="Y16" s="333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39"/>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39"/>
      <c r="Q18" s="1263"/>
      <c r="R18" s="667"/>
      <c r="S18" s="668"/>
      <c r="T18" s="667"/>
      <c r="U18" s="668"/>
      <c r="V18" s="667"/>
      <c r="W18" s="668"/>
      <c r="X18" s="1265"/>
      <c r="Y18" s="333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39"/>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39"/>
      <c r="Q20" s="1263"/>
      <c r="R20" s="667"/>
      <c r="S20" s="668"/>
      <c r="T20" s="667"/>
      <c r="U20" s="668"/>
      <c r="V20" s="667"/>
      <c r="W20" s="668"/>
      <c r="X20" s="1265"/>
      <c r="Y20" s="333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39"/>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39"/>
      <c r="Q22" s="1263"/>
      <c r="R22" s="667"/>
      <c r="S22" s="668"/>
      <c r="T22" s="667"/>
      <c r="U22" s="668"/>
      <c r="V22" s="667"/>
      <c r="W22" s="668"/>
      <c r="X22" s="1265"/>
      <c r="Y22" s="333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39"/>
      <c r="Q23" s="1263" t="str">
        <f>B23</f>
        <v>环境质量</v>
      </c>
      <c r="R23" s="667" t="s">
        <v>14</v>
      </c>
      <c r="S23" s="668">
        <f>F23</f>
        <v>100</v>
      </c>
      <c r="T23" s="667" t="s">
        <v>14</v>
      </c>
      <c r="U23" s="668">
        <f>H23</f>
        <v>100</v>
      </c>
      <c r="V23" s="667" t="s">
        <v>14</v>
      </c>
      <c r="W23" s="668">
        <f>J23</f>
        <v>100</v>
      </c>
      <c r="X23" s="1265"/>
      <c r="Y23" s="333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39"/>
      <c r="Q24" s="1263"/>
      <c r="R24" s="667"/>
      <c r="S24" s="668"/>
      <c r="T24" s="667"/>
      <c r="U24" s="668"/>
      <c r="V24" s="667"/>
      <c r="W24" s="668"/>
      <c r="X24" s="1265"/>
      <c r="Y24" s="333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39"/>
      <c r="Q25" s="1263" t="str">
        <f>B25</f>
        <v>毗邻道路的类型与等级</v>
      </c>
      <c r="R25" s="667" t="s">
        <v>14</v>
      </c>
      <c r="S25" s="668">
        <f>F25</f>
        <v>100</v>
      </c>
      <c r="T25" s="667" t="s">
        <v>14</v>
      </c>
      <c r="U25" s="668">
        <f>H25</f>
        <v>100</v>
      </c>
      <c r="V25" s="667" t="s">
        <v>14</v>
      </c>
      <c r="W25" s="668">
        <f>J25</f>
        <v>100</v>
      </c>
      <c r="X25" s="1265"/>
      <c r="Y25" s="333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39"/>
      <c r="Q26" s="1263"/>
      <c r="R26" s="667"/>
      <c r="S26" s="668"/>
      <c r="T26" s="667"/>
      <c r="U26" s="668"/>
      <c r="V26" s="667"/>
      <c r="W26" s="668"/>
      <c r="X26" s="1265"/>
      <c r="Y26" s="333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39"/>
      <c r="Q27" s="1263" t="str">
        <f t="shared" ref="Q27:Q47" si="11">B27</f>
        <v>楼层</v>
      </c>
      <c r="R27" s="667" t="s">
        <v>14</v>
      </c>
      <c r="S27" s="668">
        <f>F27</f>
        <v>100</v>
      </c>
      <c r="T27" s="667" t="s">
        <v>14</v>
      </c>
      <c r="U27" s="668">
        <f>H27</f>
        <v>100</v>
      </c>
      <c r="V27" s="667" t="s">
        <v>14</v>
      </c>
      <c r="W27" s="668">
        <f>J27</f>
        <v>100</v>
      </c>
      <c r="X27" s="1265"/>
      <c r="Y27" s="333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39"/>
      <c r="Q28" s="530" t="str">
        <f t="shared" si="11"/>
        <v>朝向</v>
      </c>
      <c r="R28" s="664" t="s">
        <v>14</v>
      </c>
      <c r="S28" s="665">
        <f>F28</f>
        <v>100</v>
      </c>
      <c r="T28" s="664" t="s">
        <v>14</v>
      </c>
      <c r="U28" s="665">
        <f>H28</f>
        <v>100</v>
      </c>
      <c r="V28" s="664" t="s">
        <v>14</v>
      </c>
      <c r="W28" s="665">
        <f>J28</f>
        <v>100</v>
      </c>
      <c r="X28" s="666"/>
      <c r="Y28" s="333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39"/>
      <c r="Q29" s="1263">
        <f t="shared" si="11"/>
        <v>111</v>
      </c>
      <c r="R29" s="667" t="s">
        <v>14</v>
      </c>
      <c r="S29" s="668">
        <f t="shared" ref="S29:S47" si="12">F29</f>
        <v>100</v>
      </c>
      <c r="T29" s="667" t="s">
        <v>14</v>
      </c>
      <c r="U29" s="668">
        <f t="shared" ref="U29:U47" si="13">H29</f>
        <v>100</v>
      </c>
      <c r="V29" s="667" t="s">
        <v>14</v>
      </c>
      <c r="W29" s="668">
        <f t="shared" ref="W29:W47" si="14">J29</f>
        <v>100</v>
      </c>
      <c r="X29" s="1265"/>
      <c r="Y29" s="333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39"/>
      <c r="Q30" s="1263">
        <f t="shared" si="11"/>
        <v>111</v>
      </c>
      <c r="R30" s="667" t="s">
        <v>14</v>
      </c>
      <c r="S30" s="668">
        <f t="shared" si="12"/>
        <v>100</v>
      </c>
      <c r="T30" s="667" t="s">
        <v>14</v>
      </c>
      <c r="U30" s="668">
        <f t="shared" si="13"/>
        <v>100</v>
      </c>
      <c r="V30" s="667" t="s">
        <v>14</v>
      </c>
      <c r="W30" s="668">
        <f t="shared" si="14"/>
        <v>100</v>
      </c>
      <c r="X30" s="1265"/>
      <c r="Y30" s="333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39"/>
      <c r="Q31" s="1263">
        <f t="shared" si="11"/>
        <v>111</v>
      </c>
      <c r="R31" s="667" t="s">
        <v>14</v>
      </c>
      <c r="S31" s="668">
        <f t="shared" si="12"/>
        <v>100</v>
      </c>
      <c r="T31" s="667" t="s">
        <v>14</v>
      </c>
      <c r="U31" s="668">
        <f t="shared" si="13"/>
        <v>100</v>
      </c>
      <c r="V31" s="667" t="s">
        <v>14</v>
      </c>
      <c r="W31" s="668">
        <f t="shared" si="14"/>
        <v>100</v>
      </c>
      <c r="X31" s="1265"/>
      <c r="Y31" s="333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39"/>
      <c r="Q32" s="1263">
        <f t="shared" si="11"/>
        <v>111</v>
      </c>
      <c r="R32" s="667" t="s">
        <v>14</v>
      </c>
      <c r="S32" s="668">
        <f t="shared" si="12"/>
        <v>100</v>
      </c>
      <c r="T32" s="667" t="s">
        <v>14</v>
      </c>
      <c r="U32" s="668">
        <f t="shared" si="13"/>
        <v>100</v>
      </c>
      <c r="V32" s="667" t="s">
        <v>14</v>
      </c>
      <c r="W32" s="668">
        <f t="shared" si="14"/>
        <v>100</v>
      </c>
      <c r="X32" s="1265"/>
      <c r="Y32" s="333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33" t="s">
        <v>1696</v>
      </c>
      <c r="Q33" s="1263" t="str">
        <f t="shared" si="11"/>
        <v>建筑类型</v>
      </c>
      <c r="R33" s="667" t="s">
        <v>14</v>
      </c>
      <c r="S33" s="668">
        <f t="shared" si="12"/>
        <v>100</v>
      </c>
      <c r="T33" s="667" t="s">
        <v>14</v>
      </c>
      <c r="U33" s="668">
        <f t="shared" si="13"/>
        <v>100</v>
      </c>
      <c r="V33" s="667" t="s">
        <v>14</v>
      </c>
      <c r="W33" s="668">
        <f t="shared" si="14"/>
        <v>100</v>
      </c>
      <c r="X33" s="1265"/>
      <c r="Y33" s="333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34"/>
      <c r="Q34" s="531" t="str">
        <f t="shared" si="11"/>
        <v>项目建筑规模</v>
      </c>
      <c r="R34" s="669" t="s">
        <v>14</v>
      </c>
      <c r="S34" s="670" t="e">
        <f t="shared" si="12"/>
        <v>#N/A</v>
      </c>
      <c r="T34" s="669" t="s">
        <v>14</v>
      </c>
      <c r="U34" s="670" t="e">
        <f t="shared" si="13"/>
        <v>#N/A</v>
      </c>
      <c r="V34" s="669" t="s">
        <v>14</v>
      </c>
      <c r="W34" s="670" t="e">
        <f t="shared" si="14"/>
        <v>#N/A</v>
      </c>
      <c r="X34" s="671"/>
      <c r="Y34" s="333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34"/>
      <c r="Q35" s="1263" t="str">
        <f t="shared" si="11"/>
        <v>建筑结构</v>
      </c>
      <c r="R35" s="667" t="s">
        <v>14</v>
      </c>
      <c r="S35" s="668">
        <f t="shared" si="12"/>
        <v>100</v>
      </c>
      <c r="T35" s="667" t="s">
        <v>14</v>
      </c>
      <c r="U35" s="668">
        <f t="shared" si="13"/>
        <v>100</v>
      </c>
      <c r="V35" s="667" t="s">
        <v>14</v>
      </c>
      <c r="W35" s="668">
        <f t="shared" si="14"/>
        <v>100</v>
      </c>
      <c r="X35" s="1265"/>
      <c r="Y35" s="333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34"/>
      <c r="Q36" s="1263" t="str">
        <f t="shared" si="11"/>
        <v>公共部分装修</v>
      </c>
      <c r="R36" s="667" t="s">
        <v>14</v>
      </c>
      <c r="S36" s="668">
        <f t="shared" si="12"/>
        <v>100</v>
      </c>
      <c r="T36" s="667" t="s">
        <v>14</v>
      </c>
      <c r="U36" s="668">
        <f t="shared" si="13"/>
        <v>100</v>
      </c>
      <c r="V36" s="667" t="s">
        <v>14</v>
      </c>
      <c r="W36" s="668">
        <f t="shared" si="14"/>
        <v>100</v>
      </c>
      <c r="X36" s="1265"/>
      <c r="Y36" s="333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34"/>
      <c r="Q37" s="1263" t="str">
        <f t="shared" si="11"/>
        <v>成新度</v>
      </c>
      <c r="R37" s="667" t="s">
        <v>14</v>
      </c>
      <c r="S37" s="668" t="e">
        <f t="shared" si="12"/>
        <v>#N/A</v>
      </c>
      <c r="T37" s="667" t="s">
        <v>14</v>
      </c>
      <c r="U37" s="668" t="e">
        <f t="shared" si="13"/>
        <v>#N/A</v>
      </c>
      <c r="V37" s="667" t="s">
        <v>14</v>
      </c>
      <c r="W37" s="668" t="e">
        <f t="shared" si="14"/>
        <v>#N/A</v>
      </c>
      <c r="X37" s="1265"/>
      <c r="Y37" s="333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34"/>
      <c r="Q38" s="530" t="str">
        <f t="shared" si="11"/>
        <v>写字楼等级</v>
      </c>
      <c r="R38" s="664" t="s">
        <v>14</v>
      </c>
      <c r="S38" s="665">
        <f t="shared" si="12"/>
        <v>100</v>
      </c>
      <c r="T38" s="664" t="s">
        <v>14</v>
      </c>
      <c r="U38" s="665">
        <f t="shared" si="13"/>
        <v>100</v>
      </c>
      <c r="V38" s="664" t="s">
        <v>14</v>
      </c>
      <c r="W38" s="665">
        <f t="shared" si="14"/>
        <v>100</v>
      </c>
      <c r="X38" s="666"/>
      <c r="Y38" s="333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34" t="s">
        <v>1696</v>
      </c>
      <c r="Q39" s="1263" t="str">
        <f t="shared" si="11"/>
        <v>物业管理</v>
      </c>
      <c r="R39" s="667" t="s">
        <v>14</v>
      </c>
      <c r="S39" s="668">
        <f t="shared" si="12"/>
        <v>100</v>
      </c>
      <c r="T39" s="667" t="s">
        <v>14</v>
      </c>
      <c r="U39" s="668">
        <f t="shared" si="13"/>
        <v>100</v>
      </c>
      <c r="V39" s="667" t="s">
        <v>14</v>
      </c>
      <c r="W39" s="668">
        <f t="shared" si="14"/>
        <v>100</v>
      </c>
      <c r="X39" s="1265"/>
      <c r="Y39" s="333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34"/>
      <c r="Q40" s="1263" t="str">
        <f t="shared" si="11"/>
        <v>市政基础设施</v>
      </c>
      <c r="R40" s="667" t="s">
        <v>14</v>
      </c>
      <c r="S40" s="668">
        <f t="shared" si="12"/>
        <v>100</v>
      </c>
      <c r="T40" s="667" t="s">
        <v>14</v>
      </c>
      <c r="U40" s="668">
        <f t="shared" si="13"/>
        <v>100</v>
      </c>
      <c r="V40" s="667" t="s">
        <v>14</v>
      </c>
      <c r="W40" s="668">
        <f t="shared" si="14"/>
        <v>100</v>
      </c>
      <c r="X40" s="1265"/>
      <c r="Y40" s="333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34"/>
      <c r="Q41" s="1263" t="str">
        <f t="shared" si="11"/>
        <v>层高</v>
      </c>
      <c r="R41" s="667" t="s">
        <v>14</v>
      </c>
      <c r="S41" s="668">
        <f t="shared" si="12"/>
        <v>100</v>
      </c>
      <c r="T41" s="667" t="s">
        <v>14</v>
      </c>
      <c r="U41" s="668">
        <f t="shared" si="13"/>
        <v>100</v>
      </c>
      <c r="V41" s="667" t="s">
        <v>14</v>
      </c>
      <c r="W41" s="668">
        <f t="shared" si="14"/>
        <v>100</v>
      </c>
      <c r="X41" s="1265"/>
      <c r="Y41" s="333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34"/>
      <c r="Q42" s="531" t="str">
        <f t="shared" si="11"/>
        <v>单套建筑面积</v>
      </c>
      <c r="R42" s="669" t="s">
        <v>14</v>
      </c>
      <c r="S42" s="670">
        <f t="shared" si="12"/>
        <v>100</v>
      </c>
      <c r="T42" s="669" t="s">
        <v>14</v>
      </c>
      <c r="U42" s="670">
        <f t="shared" si="13"/>
        <v>100</v>
      </c>
      <c r="V42" s="669" t="s">
        <v>14</v>
      </c>
      <c r="W42" s="670">
        <f t="shared" si="14"/>
        <v>100</v>
      </c>
      <c r="X42" s="671"/>
      <c r="Y42" s="333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34"/>
      <c r="Q43" s="1263" t="str">
        <f t="shared" si="11"/>
        <v>内部装修</v>
      </c>
      <c r="R43" s="667" t="s">
        <v>14</v>
      </c>
      <c r="S43" s="668">
        <f t="shared" si="12"/>
        <v>100</v>
      </c>
      <c r="T43" s="667" t="s">
        <v>14</v>
      </c>
      <c r="U43" s="668">
        <f t="shared" si="13"/>
        <v>100</v>
      </c>
      <c r="V43" s="667" t="s">
        <v>14</v>
      </c>
      <c r="W43" s="668">
        <f t="shared" si="14"/>
        <v>100</v>
      </c>
      <c r="X43" s="1265"/>
      <c r="Y43" s="333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34"/>
      <c r="Q44" s="1263" t="str">
        <f t="shared" si="11"/>
        <v>内部装修维护情况</v>
      </c>
      <c r="R44" s="667" t="s">
        <v>14</v>
      </c>
      <c r="S44" s="668">
        <f t="shared" si="12"/>
        <v>100</v>
      </c>
      <c r="T44" s="667" t="s">
        <v>14</v>
      </c>
      <c r="U44" s="668">
        <f t="shared" si="13"/>
        <v>100</v>
      </c>
      <c r="V44" s="667" t="s">
        <v>14</v>
      </c>
      <c r="W44" s="668">
        <f t="shared" si="14"/>
        <v>100</v>
      </c>
      <c r="X44" s="1265"/>
      <c r="Y44" s="333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34"/>
      <c r="Q45" s="530">
        <f t="shared" si="11"/>
        <v>111</v>
      </c>
      <c r="R45" s="664" t="s">
        <v>14</v>
      </c>
      <c r="S45" s="665">
        <f t="shared" si="12"/>
        <v>100</v>
      </c>
      <c r="T45" s="664" t="s">
        <v>14</v>
      </c>
      <c r="U45" s="665">
        <f t="shared" si="13"/>
        <v>100</v>
      </c>
      <c r="V45" s="664" t="s">
        <v>14</v>
      </c>
      <c r="W45" s="665">
        <f t="shared" si="14"/>
        <v>100</v>
      </c>
      <c r="X45" s="666"/>
      <c r="Y45" s="333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34"/>
      <c r="Q46" s="1263">
        <f t="shared" si="11"/>
        <v>111</v>
      </c>
      <c r="R46" s="667" t="s">
        <v>14</v>
      </c>
      <c r="S46" s="668">
        <f t="shared" si="12"/>
        <v>100</v>
      </c>
      <c r="T46" s="667" t="s">
        <v>14</v>
      </c>
      <c r="U46" s="668">
        <f t="shared" si="13"/>
        <v>100</v>
      </c>
      <c r="V46" s="667" t="s">
        <v>14</v>
      </c>
      <c r="W46" s="668">
        <f t="shared" si="14"/>
        <v>100</v>
      </c>
      <c r="X46" s="1265"/>
      <c r="Y46" s="333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35"/>
      <c r="Q47" s="1263">
        <f t="shared" si="11"/>
        <v>111</v>
      </c>
      <c r="R47" s="667" t="s">
        <v>14</v>
      </c>
      <c r="S47" s="668">
        <f t="shared" si="12"/>
        <v>100</v>
      </c>
      <c r="T47" s="667" t="s">
        <v>14</v>
      </c>
      <c r="U47" s="668">
        <f t="shared" si="13"/>
        <v>100</v>
      </c>
      <c r="V47" s="667" t="s">
        <v>14</v>
      </c>
      <c r="W47" s="668">
        <f t="shared" si="14"/>
        <v>100</v>
      </c>
      <c r="X47" s="1265"/>
      <c r="Y47" s="333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11" t="str">
        <f>A48</f>
        <v>成交单价（元/平方米）</v>
      </c>
      <c r="Q48" s="3330"/>
      <c r="R48" s="3325">
        <f>E48</f>
        <v>0</v>
      </c>
      <c r="S48" s="3325"/>
      <c r="T48" s="3325">
        <f>G48</f>
        <v>0</v>
      </c>
      <c r="U48" s="3325"/>
      <c r="V48" s="3325">
        <f>I48</f>
        <v>0</v>
      </c>
      <c r="W48" s="3325"/>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11" t="str">
        <f>A49</f>
        <v>比较价值（元/平方米）</v>
      </c>
      <c r="Q49" s="3330"/>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352" t="str">
        <f>A50</f>
        <v>估价对象XX用房的比较价值（楼面单价，元/平方米）</v>
      </c>
      <c r="Q50" s="3353"/>
      <c r="R50" s="3354" t="e">
        <f>IF(F1="售价",ROUND(IF(D49="简单平均",AVERAGE(R49:V49),R49*F49+T49*H49+V49*J49),0),ROUND(IF(D49="简单平均",AVERAGE(R49:V49),R49*F49+T49*H49+V49*J49),1))</f>
        <v>#DIV/0!</v>
      </c>
      <c r="S50" s="3354"/>
      <c r="T50" s="3354"/>
      <c r="U50" s="3354"/>
      <c r="V50" s="3354"/>
      <c r="W50" s="335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860"/>
      <c r="M4" s="861"/>
      <c r="N4" s="861"/>
      <c r="O4" s="861"/>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860"/>
      <c r="M5" s="861"/>
      <c r="N5" s="861"/>
      <c r="O5" s="861"/>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860"/>
      <c r="M6" s="861"/>
      <c r="N6" s="861"/>
      <c r="O6" s="861"/>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297" t="s">
        <v>1683</v>
      </c>
      <c r="Q8" s="3298"/>
      <c r="R8" s="664" t="s">
        <v>14</v>
      </c>
      <c r="S8" s="665">
        <f t="shared" si="0"/>
        <v>100</v>
      </c>
      <c r="T8" s="664" t="s">
        <v>14</v>
      </c>
      <c r="U8" s="665">
        <f t="shared" si="1"/>
        <v>100</v>
      </c>
      <c r="V8" s="664" t="s">
        <v>14</v>
      </c>
      <c r="W8" s="665">
        <f t="shared" si="2"/>
        <v>100</v>
      </c>
      <c r="X8" s="666"/>
      <c r="Y8" s="3297" t="s">
        <v>1683</v>
      </c>
      <c r="Z8" s="329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30"/>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31" t="s">
        <v>1691</v>
      </c>
      <c r="Q15" s="1263" t="str">
        <f t="shared" si="6"/>
        <v>产业集聚程度</v>
      </c>
      <c r="R15" s="667" t="s">
        <v>14</v>
      </c>
      <c r="S15" s="668">
        <f t="shared" si="0"/>
        <v>100</v>
      </c>
      <c r="T15" s="667" t="s">
        <v>14</v>
      </c>
      <c r="U15" s="668">
        <f t="shared" si="1"/>
        <v>100</v>
      </c>
      <c r="V15" s="667" t="s">
        <v>14</v>
      </c>
      <c r="W15" s="668">
        <f t="shared" si="2"/>
        <v>100</v>
      </c>
      <c r="X15" s="1265"/>
      <c r="Y15" s="333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32"/>
      <c r="Q16" s="1263"/>
      <c r="R16" s="667"/>
      <c r="S16" s="668"/>
      <c r="T16" s="667"/>
      <c r="U16" s="668"/>
      <c r="V16" s="667"/>
      <c r="W16" s="668"/>
      <c r="X16" s="1265"/>
      <c r="Y16" s="333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32"/>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32"/>
      <c r="Q18" s="1263"/>
      <c r="R18" s="667"/>
      <c r="S18" s="668"/>
      <c r="T18" s="667"/>
      <c r="U18" s="668"/>
      <c r="V18" s="667"/>
      <c r="W18" s="668"/>
      <c r="X18" s="1265"/>
      <c r="Y18" s="333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32"/>
      <c r="Q19" s="1263" t="str">
        <f>B19</f>
        <v>公共配套设施</v>
      </c>
      <c r="R19" s="667" t="s">
        <v>14</v>
      </c>
      <c r="S19" s="668">
        <f>F19</f>
        <v>100</v>
      </c>
      <c r="T19" s="667" t="s">
        <v>14</v>
      </c>
      <c r="U19" s="668">
        <f>H19</f>
        <v>100</v>
      </c>
      <c r="V19" s="667" t="s">
        <v>14</v>
      </c>
      <c r="W19" s="668">
        <f>J19</f>
        <v>100</v>
      </c>
      <c r="X19" s="1265"/>
      <c r="Y19" s="33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32"/>
      <c r="Q20" s="1263"/>
      <c r="R20" s="667"/>
      <c r="S20" s="668"/>
      <c r="T20" s="667"/>
      <c r="U20" s="668"/>
      <c r="V20" s="667"/>
      <c r="W20" s="668"/>
      <c r="X20" s="1265"/>
      <c r="Y20" s="333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32"/>
      <c r="Q21" s="1263" t="str">
        <f>B21</f>
        <v>基础设施水平</v>
      </c>
      <c r="R21" s="667" t="s">
        <v>14</v>
      </c>
      <c r="S21" s="668">
        <f>F21</f>
        <v>100</v>
      </c>
      <c r="T21" s="667" t="s">
        <v>14</v>
      </c>
      <c r="U21" s="668">
        <f>H21</f>
        <v>100</v>
      </c>
      <c r="V21" s="667" t="s">
        <v>14</v>
      </c>
      <c r="W21" s="668">
        <f>J21</f>
        <v>100</v>
      </c>
      <c r="X21" s="1265"/>
      <c r="Y21" s="33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32"/>
      <c r="Q22" s="1263"/>
      <c r="R22" s="667"/>
      <c r="S22" s="668"/>
      <c r="T22" s="667"/>
      <c r="U22" s="668"/>
      <c r="V22" s="667"/>
      <c r="W22" s="668"/>
      <c r="X22" s="1265"/>
      <c r="Y22" s="333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32"/>
      <c r="Q23" s="1263" t="str">
        <f>B23</f>
        <v>环境质量</v>
      </c>
      <c r="R23" s="667" t="s">
        <v>14</v>
      </c>
      <c r="S23" s="668">
        <f>F23</f>
        <v>100</v>
      </c>
      <c r="T23" s="667" t="s">
        <v>14</v>
      </c>
      <c r="U23" s="668">
        <f>H23</f>
        <v>100</v>
      </c>
      <c r="V23" s="667" t="s">
        <v>14</v>
      </c>
      <c r="W23" s="668">
        <f>J23</f>
        <v>100</v>
      </c>
      <c r="X23" s="1265"/>
      <c r="Y23" s="333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32"/>
      <c r="Q24" s="1263"/>
      <c r="R24" s="667"/>
      <c r="S24" s="668"/>
      <c r="T24" s="667"/>
      <c r="U24" s="668"/>
      <c r="V24" s="667"/>
      <c r="W24" s="668"/>
      <c r="X24" s="1265"/>
      <c r="Y24" s="33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32"/>
      <c r="Q25" s="1263">
        <f>B25</f>
        <v>111</v>
      </c>
      <c r="R25" s="667" t="s">
        <v>14</v>
      </c>
      <c r="S25" s="668">
        <f>F25</f>
        <v>100</v>
      </c>
      <c r="T25" s="667" t="s">
        <v>14</v>
      </c>
      <c r="U25" s="668">
        <f>H25</f>
        <v>100</v>
      </c>
      <c r="V25" s="667" t="s">
        <v>14</v>
      </c>
      <c r="W25" s="668">
        <f>J25</f>
        <v>100</v>
      </c>
      <c r="X25" s="1265"/>
      <c r="Y25" s="33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32"/>
      <c r="Q26" s="1263">
        <f t="shared" ref="Q26:Q40" si="11">B26</f>
        <v>111</v>
      </c>
      <c r="R26" s="667" t="s">
        <v>14</v>
      </c>
      <c r="S26" s="668">
        <f>F26</f>
        <v>100</v>
      </c>
      <c r="T26" s="667" t="s">
        <v>14</v>
      </c>
      <c r="U26" s="668">
        <f>H26</f>
        <v>100</v>
      </c>
      <c r="V26" s="667" t="s">
        <v>14</v>
      </c>
      <c r="W26" s="668">
        <f>J26</f>
        <v>100</v>
      </c>
      <c r="X26" s="1265"/>
      <c r="Y26" s="33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32"/>
      <c r="Q27" s="530">
        <f t="shared" si="11"/>
        <v>111</v>
      </c>
      <c r="R27" s="664" t="s">
        <v>14</v>
      </c>
      <c r="S27" s="665">
        <f>F27</f>
        <v>100</v>
      </c>
      <c r="T27" s="664" t="s">
        <v>14</v>
      </c>
      <c r="U27" s="665">
        <f>H27</f>
        <v>100</v>
      </c>
      <c r="V27" s="664" t="s">
        <v>14</v>
      </c>
      <c r="W27" s="665">
        <f>J27</f>
        <v>100</v>
      </c>
      <c r="X27" s="666"/>
      <c r="Y27" s="333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32"/>
      <c r="Q28" s="1263">
        <f t="shared" si="11"/>
        <v>111</v>
      </c>
      <c r="R28" s="667" t="s">
        <v>14</v>
      </c>
      <c r="S28" s="668">
        <f t="shared" ref="S28:S40" si="12">F28</f>
        <v>100</v>
      </c>
      <c r="T28" s="667" t="s">
        <v>14</v>
      </c>
      <c r="U28" s="668">
        <f t="shared" ref="U28:U40" si="13">H28</f>
        <v>100</v>
      </c>
      <c r="V28" s="667" t="s">
        <v>14</v>
      </c>
      <c r="W28" s="668">
        <f t="shared" ref="W28:W40" si="14">J28</f>
        <v>100</v>
      </c>
      <c r="X28" s="1265"/>
      <c r="Y28" s="333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3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36"/>
      <c r="Q30" s="531" t="str">
        <f t="shared" si="11"/>
        <v>项目建筑规模</v>
      </c>
      <c r="R30" s="669" t="s">
        <v>14</v>
      </c>
      <c r="S30" s="670" t="e">
        <f t="shared" si="12"/>
        <v>#N/A</v>
      </c>
      <c r="T30" s="669" t="s">
        <v>14</v>
      </c>
      <c r="U30" s="670" t="e">
        <f t="shared" si="13"/>
        <v>#N/A</v>
      </c>
      <c r="V30" s="669" t="s">
        <v>14</v>
      </c>
      <c r="W30" s="670" t="e">
        <f t="shared" si="14"/>
        <v>#N/A</v>
      </c>
      <c r="X30" s="671"/>
      <c r="Y30" s="333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36"/>
      <c r="Q31" s="1263" t="str">
        <f t="shared" si="11"/>
        <v>建筑结构</v>
      </c>
      <c r="R31" s="667" t="s">
        <v>14</v>
      </c>
      <c r="S31" s="668">
        <f t="shared" si="12"/>
        <v>100</v>
      </c>
      <c r="T31" s="667" t="s">
        <v>14</v>
      </c>
      <c r="U31" s="668">
        <f t="shared" si="13"/>
        <v>100</v>
      </c>
      <c r="V31" s="667" t="s">
        <v>14</v>
      </c>
      <c r="W31" s="668">
        <f t="shared" si="14"/>
        <v>100</v>
      </c>
      <c r="X31" s="1265"/>
      <c r="Y31" s="333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36"/>
      <c r="Q32" s="1263" t="str">
        <f t="shared" si="11"/>
        <v>公共部分装修</v>
      </c>
      <c r="R32" s="667" t="s">
        <v>14</v>
      </c>
      <c r="S32" s="668">
        <f t="shared" si="12"/>
        <v>100</v>
      </c>
      <c r="T32" s="667" t="s">
        <v>14</v>
      </c>
      <c r="U32" s="668">
        <f t="shared" si="13"/>
        <v>100</v>
      </c>
      <c r="V32" s="667" t="s">
        <v>14</v>
      </c>
      <c r="W32" s="668">
        <f t="shared" si="14"/>
        <v>100</v>
      </c>
      <c r="X32" s="1265"/>
      <c r="Y32" s="333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36"/>
      <c r="Q33" s="1263" t="str">
        <f t="shared" si="11"/>
        <v>成新度</v>
      </c>
      <c r="R33" s="667" t="s">
        <v>14</v>
      </c>
      <c r="S33" s="668" t="e">
        <f t="shared" si="12"/>
        <v>#N/A</v>
      </c>
      <c r="T33" s="667" t="s">
        <v>14</v>
      </c>
      <c r="U33" s="668" t="e">
        <f t="shared" si="13"/>
        <v>#N/A</v>
      </c>
      <c r="V33" s="667" t="s">
        <v>14</v>
      </c>
      <c r="W33" s="668" t="e">
        <f t="shared" si="14"/>
        <v>#N/A</v>
      </c>
      <c r="X33" s="1265"/>
      <c r="Y33" s="333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36"/>
      <c r="Q34" s="530" t="str">
        <f t="shared" si="11"/>
        <v>物业管理</v>
      </c>
      <c r="R34" s="664" t="s">
        <v>14</v>
      </c>
      <c r="S34" s="665">
        <f t="shared" si="12"/>
        <v>100</v>
      </c>
      <c r="T34" s="664" t="s">
        <v>14</v>
      </c>
      <c r="U34" s="665">
        <f t="shared" si="13"/>
        <v>100</v>
      </c>
      <c r="V34" s="664" t="s">
        <v>14</v>
      </c>
      <c r="W34" s="665">
        <f t="shared" si="14"/>
        <v>100</v>
      </c>
      <c r="X34" s="666"/>
      <c r="Y34" s="333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36" t="s">
        <v>1696</v>
      </c>
      <c r="Q35" s="1263" t="str">
        <f t="shared" si="11"/>
        <v>市政基础设施</v>
      </c>
      <c r="R35" s="667" t="s">
        <v>14</v>
      </c>
      <c r="S35" s="668">
        <f t="shared" si="12"/>
        <v>100</v>
      </c>
      <c r="T35" s="667" t="s">
        <v>14</v>
      </c>
      <c r="U35" s="668">
        <f t="shared" si="13"/>
        <v>100</v>
      </c>
      <c r="V35" s="667" t="s">
        <v>14</v>
      </c>
      <c r="W35" s="668">
        <f t="shared" si="14"/>
        <v>100</v>
      </c>
      <c r="X35" s="1265"/>
      <c r="Y35" s="333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36"/>
      <c r="Q36" s="1263" t="str">
        <f t="shared" si="11"/>
        <v>内部装修</v>
      </c>
      <c r="R36" s="667" t="s">
        <v>14</v>
      </c>
      <c r="S36" s="668">
        <f t="shared" si="12"/>
        <v>100</v>
      </c>
      <c r="T36" s="667" t="s">
        <v>14</v>
      </c>
      <c r="U36" s="668">
        <f t="shared" si="13"/>
        <v>100</v>
      </c>
      <c r="V36" s="667" t="s">
        <v>14</v>
      </c>
      <c r="W36" s="668">
        <f t="shared" si="14"/>
        <v>100</v>
      </c>
      <c r="X36" s="1265"/>
      <c r="Y36" s="333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36"/>
      <c r="Q37" s="1263" t="str">
        <f t="shared" si="11"/>
        <v>内部装修状况</v>
      </c>
      <c r="R37" s="667" t="s">
        <v>14</v>
      </c>
      <c r="S37" s="668">
        <f t="shared" si="12"/>
        <v>100</v>
      </c>
      <c r="T37" s="667" t="s">
        <v>14</v>
      </c>
      <c r="U37" s="668">
        <f t="shared" si="13"/>
        <v>100</v>
      </c>
      <c r="V37" s="667" t="s">
        <v>14</v>
      </c>
      <c r="W37" s="668">
        <f t="shared" si="14"/>
        <v>100</v>
      </c>
      <c r="X37" s="1265"/>
      <c r="Y37" s="333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36"/>
      <c r="Q38" s="531">
        <f t="shared" si="11"/>
        <v>111</v>
      </c>
      <c r="R38" s="669" t="s">
        <v>14</v>
      </c>
      <c r="S38" s="670">
        <f t="shared" si="12"/>
        <v>100</v>
      </c>
      <c r="T38" s="669" t="s">
        <v>14</v>
      </c>
      <c r="U38" s="670">
        <f t="shared" si="13"/>
        <v>100</v>
      </c>
      <c r="V38" s="669" t="s">
        <v>14</v>
      </c>
      <c r="W38" s="670">
        <f t="shared" si="14"/>
        <v>100</v>
      </c>
      <c r="X38" s="671"/>
      <c r="Y38" s="333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36"/>
      <c r="Q39" s="1263">
        <f t="shared" si="11"/>
        <v>111</v>
      </c>
      <c r="R39" s="667" t="s">
        <v>14</v>
      </c>
      <c r="S39" s="668">
        <f t="shared" si="12"/>
        <v>100</v>
      </c>
      <c r="T39" s="667" t="s">
        <v>14</v>
      </c>
      <c r="U39" s="668">
        <f t="shared" si="13"/>
        <v>100</v>
      </c>
      <c r="V39" s="667" t="s">
        <v>14</v>
      </c>
      <c r="W39" s="668">
        <f t="shared" si="14"/>
        <v>100</v>
      </c>
      <c r="X39" s="1265"/>
      <c r="Y39" s="333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37"/>
      <c r="Q40" s="1263">
        <f t="shared" si="11"/>
        <v>111</v>
      </c>
      <c r="R40" s="667" t="s">
        <v>14</v>
      </c>
      <c r="S40" s="668">
        <f t="shared" si="12"/>
        <v>100</v>
      </c>
      <c r="T40" s="667" t="s">
        <v>14</v>
      </c>
      <c r="U40" s="668">
        <f t="shared" si="13"/>
        <v>100</v>
      </c>
      <c r="V40" s="667" t="s">
        <v>14</v>
      </c>
      <c r="W40" s="668">
        <f t="shared" si="14"/>
        <v>100</v>
      </c>
      <c r="X40" s="1265"/>
      <c r="Y40" s="333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30" t="str">
        <f>A41</f>
        <v>成交单价（元/平方米）</v>
      </c>
      <c r="Q41" s="3330"/>
      <c r="R41" s="3325">
        <f>E41</f>
        <v>0</v>
      </c>
      <c r="S41" s="3325"/>
      <c r="T41" s="3325">
        <f>G41</f>
        <v>0</v>
      </c>
      <c r="U41" s="3325"/>
      <c r="V41" s="3325">
        <f>I41</f>
        <v>0</v>
      </c>
      <c r="W41" s="3325"/>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30" t="str">
        <f>A42</f>
        <v>比较价值（元/平方米）</v>
      </c>
      <c r="Q42" s="3330"/>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27" t="str">
        <f>A43</f>
        <v>估价对象XX用房的比较价值（楼面单价，元/平方米）</v>
      </c>
      <c r="Q43" s="3328"/>
      <c r="R43" s="3329" t="e">
        <f>IF(F1="售价",ROUND(IF(D42="简单平均",AVERAGE(R42:V42),R42*F42+T42*H42+V42*J42),0),ROUND(IF(D42="简单平均",AVERAGE(R42:V42),R42*F42+T42*H42+V42*J42),1))</f>
        <v>#DIV/0!</v>
      </c>
      <c r="S43" s="3329"/>
      <c r="T43" s="3329"/>
      <c r="U43" s="3329"/>
      <c r="V43" s="3329"/>
      <c r="W43" s="332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9"/>
      <c r="M7" s="2440"/>
      <c r="N7" s="2440"/>
      <c r="O7" s="2440"/>
      <c r="P7" s="3297" t="s">
        <v>1680</v>
      </c>
      <c r="Q7" s="3326"/>
      <c r="R7" s="664" t="s">
        <v>14</v>
      </c>
      <c r="S7" s="665">
        <f t="shared" ref="S7:S14" si="0">F7</f>
        <v>0</v>
      </c>
      <c r="T7" s="664" t="s">
        <v>14</v>
      </c>
      <c r="U7" s="665">
        <f t="shared" ref="U7:U14" si="1">H7</f>
        <v>0</v>
      </c>
      <c r="V7" s="664" t="s">
        <v>14</v>
      </c>
      <c r="W7" s="665">
        <f t="shared" ref="W7:W14"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3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3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31" t="s">
        <v>1691</v>
      </c>
      <c r="Q14" s="1263" t="str">
        <f t="shared" si="6"/>
        <v>交通便捷度</v>
      </c>
      <c r="R14" s="667" t="s">
        <v>14</v>
      </c>
      <c r="S14" s="668">
        <f t="shared" si="0"/>
        <v>100</v>
      </c>
      <c r="T14" s="667" t="s">
        <v>14</v>
      </c>
      <c r="U14" s="668">
        <f t="shared" si="1"/>
        <v>100</v>
      </c>
      <c r="V14" s="667" t="s">
        <v>14</v>
      </c>
      <c r="W14" s="668">
        <f t="shared" si="2"/>
        <v>100</v>
      </c>
      <c r="X14" s="1265"/>
      <c r="Y14" s="33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32"/>
      <c r="Q15" s="1263"/>
      <c r="R15" s="667"/>
      <c r="S15" s="668"/>
      <c r="T15" s="667"/>
      <c r="U15" s="668"/>
      <c r="V15" s="667"/>
      <c r="W15" s="668"/>
      <c r="X15" s="1265"/>
      <c r="Y15" s="333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32"/>
      <c r="Q16" s="1263" t="str">
        <f>B16</f>
        <v>公共配套设施</v>
      </c>
      <c r="R16" s="667" t="s">
        <v>14</v>
      </c>
      <c r="S16" s="668">
        <f>F16</f>
        <v>100</v>
      </c>
      <c r="T16" s="667" t="s">
        <v>14</v>
      </c>
      <c r="U16" s="668">
        <f>H16</f>
        <v>100</v>
      </c>
      <c r="V16" s="667" t="s">
        <v>14</v>
      </c>
      <c r="W16" s="668">
        <f>J16</f>
        <v>100</v>
      </c>
      <c r="X16" s="1265"/>
      <c r="Y16" s="333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32"/>
      <c r="Q17" s="1263"/>
      <c r="R17" s="667"/>
      <c r="S17" s="668"/>
      <c r="T17" s="667"/>
      <c r="U17" s="668"/>
      <c r="V17" s="667"/>
      <c r="W17" s="668"/>
      <c r="X17" s="1265"/>
      <c r="Y17" s="333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32"/>
      <c r="Q18" s="1263" t="str">
        <f>B18</f>
        <v>基础设施水平</v>
      </c>
      <c r="R18" s="667" t="s">
        <v>14</v>
      </c>
      <c r="S18" s="668">
        <f>F18</f>
        <v>100</v>
      </c>
      <c r="T18" s="667" t="s">
        <v>14</v>
      </c>
      <c r="U18" s="668">
        <f>H18</f>
        <v>100</v>
      </c>
      <c r="V18" s="667" t="s">
        <v>14</v>
      </c>
      <c r="W18" s="668">
        <f>J18</f>
        <v>100</v>
      </c>
      <c r="X18" s="1265"/>
      <c r="Y18" s="333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32"/>
      <c r="Q19" s="1263"/>
      <c r="R19" s="667"/>
      <c r="S19" s="668"/>
      <c r="T19" s="667"/>
      <c r="U19" s="668"/>
      <c r="V19" s="667"/>
      <c r="W19" s="668"/>
      <c r="X19" s="1265"/>
      <c r="Y19" s="333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32"/>
      <c r="Q20" s="1263" t="str">
        <f>B20</f>
        <v>自然及人文环境</v>
      </c>
      <c r="R20" s="667" t="s">
        <v>14</v>
      </c>
      <c r="S20" s="668">
        <f>F20</f>
        <v>100</v>
      </c>
      <c r="T20" s="667" t="s">
        <v>14</v>
      </c>
      <c r="U20" s="668">
        <f>H20</f>
        <v>100</v>
      </c>
      <c r="V20" s="667" t="s">
        <v>14</v>
      </c>
      <c r="W20" s="668">
        <f>J20</f>
        <v>100</v>
      </c>
      <c r="X20" s="1265"/>
      <c r="Y20" s="33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32"/>
      <c r="Q21" s="1263"/>
      <c r="R21" s="667"/>
      <c r="S21" s="668"/>
      <c r="T21" s="667"/>
      <c r="U21" s="668"/>
      <c r="V21" s="667"/>
      <c r="W21" s="668"/>
      <c r="X21" s="1265"/>
      <c r="Y21" s="33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32"/>
      <c r="Q22" s="1263" t="str">
        <f>B22</f>
        <v>楼层</v>
      </c>
      <c r="R22" s="667" t="s">
        <v>14</v>
      </c>
      <c r="S22" s="668">
        <f>F22</f>
        <v>100</v>
      </c>
      <c r="T22" s="667" t="s">
        <v>14</v>
      </c>
      <c r="U22" s="668">
        <f>H22</f>
        <v>100</v>
      </c>
      <c r="V22" s="667" t="s">
        <v>14</v>
      </c>
      <c r="W22" s="668">
        <f>J22</f>
        <v>100</v>
      </c>
      <c r="X22" s="1265"/>
      <c r="Y22" s="33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32"/>
      <c r="Q23" s="1263">
        <f>B23</f>
        <v>111</v>
      </c>
      <c r="R23" s="667" t="s">
        <v>14</v>
      </c>
      <c r="S23" s="668">
        <f>F23</f>
        <v>100</v>
      </c>
      <c r="T23" s="667" t="s">
        <v>14</v>
      </c>
      <c r="U23" s="668">
        <f>H23</f>
        <v>100</v>
      </c>
      <c r="V23" s="667" t="s">
        <v>14</v>
      </c>
      <c r="W23" s="668">
        <f>J23</f>
        <v>100</v>
      </c>
      <c r="X23" s="1265"/>
      <c r="Y23" s="33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32"/>
      <c r="Q24" s="1263">
        <f t="shared" ref="Q24:Q36" si="11">B24</f>
        <v>111</v>
      </c>
      <c r="R24" s="667" t="s">
        <v>14</v>
      </c>
      <c r="S24" s="668">
        <f>F24</f>
        <v>100</v>
      </c>
      <c r="T24" s="667" t="s">
        <v>14</v>
      </c>
      <c r="U24" s="668">
        <f>H24</f>
        <v>100</v>
      </c>
      <c r="V24" s="667" t="s">
        <v>14</v>
      </c>
      <c r="W24" s="668">
        <f>J24</f>
        <v>100</v>
      </c>
      <c r="X24" s="1265"/>
      <c r="Y24" s="333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32"/>
      <c r="Q25" s="530">
        <f t="shared" si="11"/>
        <v>111</v>
      </c>
      <c r="R25" s="664" t="s">
        <v>14</v>
      </c>
      <c r="S25" s="665">
        <f>F25</f>
        <v>100</v>
      </c>
      <c r="T25" s="664" t="s">
        <v>14</v>
      </c>
      <c r="U25" s="665">
        <f>H25</f>
        <v>100</v>
      </c>
      <c r="V25" s="664" t="s">
        <v>14</v>
      </c>
      <c r="W25" s="665">
        <f>J25</f>
        <v>100</v>
      </c>
      <c r="X25" s="666"/>
      <c r="Y25" s="333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3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36"/>
      <c r="Q27" s="531" t="str">
        <f t="shared" si="11"/>
        <v>项目停车位配比</v>
      </c>
      <c r="R27" s="669" t="s">
        <v>14</v>
      </c>
      <c r="S27" s="670">
        <f t="shared" si="12"/>
        <v>100</v>
      </c>
      <c r="T27" s="669" t="s">
        <v>14</v>
      </c>
      <c r="U27" s="670">
        <f t="shared" si="13"/>
        <v>100</v>
      </c>
      <c r="V27" s="669" t="s">
        <v>14</v>
      </c>
      <c r="W27" s="670">
        <f t="shared" si="14"/>
        <v>100</v>
      </c>
      <c r="X27" s="671"/>
      <c r="Y27" s="333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36"/>
      <c r="Q28" s="1263" t="str">
        <f t="shared" si="11"/>
        <v>公共部分装修</v>
      </c>
      <c r="R28" s="667" t="s">
        <v>14</v>
      </c>
      <c r="S28" s="668">
        <f t="shared" si="12"/>
        <v>100</v>
      </c>
      <c r="T28" s="667" t="s">
        <v>14</v>
      </c>
      <c r="U28" s="668">
        <f t="shared" si="13"/>
        <v>100</v>
      </c>
      <c r="V28" s="667" t="s">
        <v>14</v>
      </c>
      <c r="W28" s="668">
        <f t="shared" si="14"/>
        <v>100</v>
      </c>
      <c r="X28" s="1265"/>
      <c r="Y28" s="333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36"/>
      <c r="Q29" s="1263" t="str">
        <f t="shared" si="11"/>
        <v>成新率</v>
      </c>
      <c r="R29" s="667" t="s">
        <v>14</v>
      </c>
      <c r="S29" s="668" t="e">
        <f t="shared" si="12"/>
        <v>#N/A</v>
      </c>
      <c r="T29" s="667" t="s">
        <v>14</v>
      </c>
      <c r="U29" s="668" t="e">
        <f t="shared" si="13"/>
        <v>#N/A</v>
      </c>
      <c r="V29" s="667" t="s">
        <v>14</v>
      </c>
      <c r="W29" s="668" t="e">
        <f t="shared" si="14"/>
        <v>#N/A</v>
      </c>
      <c r="X29" s="1265"/>
      <c r="Y29" s="333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36"/>
      <c r="Q30" s="1263" t="str">
        <f t="shared" si="11"/>
        <v>物业等级</v>
      </c>
      <c r="R30" s="667" t="s">
        <v>14</v>
      </c>
      <c r="S30" s="668">
        <f t="shared" si="12"/>
        <v>100</v>
      </c>
      <c r="T30" s="667" t="s">
        <v>14</v>
      </c>
      <c r="U30" s="668">
        <f t="shared" si="13"/>
        <v>100</v>
      </c>
      <c r="V30" s="667" t="s">
        <v>14</v>
      </c>
      <c r="W30" s="668">
        <f t="shared" si="14"/>
        <v>100</v>
      </c>
      <c r="X30" s="1265"/>
      <c r="Y30" s="333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36"/>
      <c r="Q31" s="530" t="str">
        <f t="shared" si="11"/>
        <v>停车位面积</v>
      </c>
      <c r="R31" s="664" t="s">
        <v>14</v>
      </c>
      <c r="S31" s="665" t="e">
        <f t="shared" si="12"/>
        <v>#N/A</v>
      </c>
      <c r="T31" s="664" t="s">
        <v>14</v>
      </c>
      <c r="U31" s="665" t="e">
        <f t="shared" si="13"/>
        <v>#N/A</v>
      </c>
      <c r="V31" s="664" t="s">
        <v>14</v>
      </c>
      <c r="W31" s="665" t="e">
        <f t="shared" si="14"/>
        <v>#N/A</v>
      </c>
      <c r="X31" s="666"/>
      <c r="Y31" s="333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36" t="s">
        <v>1696</v>
      </c>
      <c r="Q32" s="1263" t="str">
        <f t="shared" si="11"/>
        <v>车位类型</v>
      </c>
      <c r="R32" s="667" t="s">
        <v>14</v>
      </c>
      <c r="S32" s="668">
        <f t="shared" si="12"/>
        <v>100</v>
      </c>
      <c r="T32" s="667" t="s">
        <v>14</v>
      </c>
      <c r="U32" s="668">
        <f t="shared" si="13"/>
        <v>100</v>
      </c>
      <c r="V32" s="667" t="s">
        <v>14</v>
      </c>
      <c r="W32" s="668">
        <f t="shared" si="14"/>
        <v>100</v>
      </c>
      <c r="X32" s="1265"/>
      <c r="Y32" s="333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36"/>
      <c r="Q33" s="1263" t="str">
        <f t="shared" si="11"/>
        <v>是否直接入户</v>
      </c>
      <c r="R33" s="667" t="s">
        <v>14</v>
      </c>
      <c r="S33" s="668">
        <f t="shared" si="12"/>
        <v>100</v>
      </c>
      <c r="T33" s="667" t="s">
        <v>14</v>
      </c>
      <c r="U33" s="668">
        <f t="shared" si="13"/>
        <v>100</v>
      </c>
      <c r="V33" s="667" t="s">
        <v>14</v>
      </c>
      <c r="W33" s="668">
        <f t="shared" si="14"/>
        <v>100</v>
      </c>
      <c r="X33" s="1265"/>
      <c r="Y33" s="33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36"/>
      <c r="Q34" s="1263">
        <f t="shared" si="11"/>
        <v>111</v>
      </c>
      <c r="R34" s="667" t="s">
        <v>14</v>
      </c>
      <c r="S34" s="668">
        <f t="shared" si="12"/>
        <v>100</v>
      </c>
      <c r="T34" s="667" t="s">
        <v>14</v>
      </c>
      <c r="U34" s="668">
        <f t="shared" si="13"/>
        <v>100</v>
      </c>
      <c r="V34" s="667" t="s">
        <v>14</v>
      </c>
      <c r="W34" s="668">
        <f t="shared" si="14"/>
        <v>100</v>
      </c>
      <c r="X34" s="1265"/>
      <c r="Y34" s="33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36"/>
      <c r="Q35" s="531">
        <f t="shared" si="11"/>
        <v>111</v>
      </c>
      <c r="R35" s="669" t="s">
        <v>14</v>
      </c>
      <c r="S35" s="670">
        <f t="shared" si="12"/>
        <v>100</v>
      </c>
      <c r="T35" s="669" t="s">
        <v>14</v>
      </c>
      <c r="U35" s="670">
        <f t="shared" si="13"/>
        <v>100</v>
      </c>
      <c r="V35" s="669" t="s">
        <v>14</v>
      </c>
      <c r="W35" s="670">
        <f t="shared" si="14"/>
        <v>100</v>
      </c>
      <c r="X35" s="671"/>
      <c r="Y35" s="333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36"/>
      <c r="Q36" s="1263">
        <f t="shared" si="11"/>
        <v>111</v>
      </c>
      <c r="R36" s="667" t="s">
        <v>14</v>
      </c>
      <c r="S36" s="668">
        <f t="shared" si="12"/>
        <v>100</v>
      </c>
      <c r="T36" s="667" t="s">
        <v>14</v>
      </c>
      <c r="U36" s="668">
        <f t="shared" si="13"/>
        <v>100</v>
      </c>
      <c r="V36" s="667" t="s">
        <v>14</v>
      </c>
      <c r="W36" s="668">
        <f t="shared" si="14"/>
        <v>100</v>
      </c>
      <c r="X36" s="1265"/>
      <c r="Y36" s="3336"/>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330" t="str">
        <f>A37</f>
        <v>成交单价</v>
      </c>
      <c r="Q37" s="3330"/>
      <c r="R37" s="3325">
        <f>E37</f>
        <v>0</v>
      </c>
      <c r="S37" s="3325"/>
      <c r="T37" s="3325">
        <f>G37</f>
        <v>0</v>
      </c>
      <c r="U37" s="3325"/>
      <c r="V37" s="3325">
        <f>I37</f>
        <v>0</v>
      </c>
      <c r="W37" s="3325"/>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30" t="str">
        <f>A38</f>
        <v>比较价值（元/平方米）</v>
      </c>
      <c r="Q38" s="3330"/>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27" t="str">
        <f>A39</f>
        <v>估价对象XX用房的比较价值（楼面单价，元/平方米）</v>
      </c>
      <c r="Q39" s="3328"/>
      <c r="R39" s="3356" t="e">
        <f>IF(F1="售价",ROUND(IF(D38="简单平均",AVERAGE(R38:W38),R38*F38+T38*H38+V38*J38),0),ROUND(IF(D38="简单平均",AVERAGE(R38:V38),R38*F38+T38*H38+V38*J38),1))</f>
        <v>#DIV/0!</v>
      </c>
      <c r="S39" s="3356"/>
      <c r="T39" s="3356"/>
      <c r="U39" s="3356"/>
      <c r="V39" s="3356"/>
      <c r="W39" s="335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297" t="s">
        <v>1680</v>
      </c>
      <c r="Q7" s="3326"/>
      <c r="R7" s="664" t="s">
        <v>14</v>
      </c>
      <c r="S7" s="665">
        <f t="shared" ref="S7:S14" si="0">F7</f>
        <v>0</v>
      </c>
      <c r="T7" s="664" t="s">
        <v>14</v>
      </c>
      <c r="U7" s="665">
        <f t="shared" ref="U7:U14" si="1">H7</f>
        <v>0</v>
      </c>
      <c r="V7" s="664" t="s">
        <v>14</v>
      </c>
      <c r="W7" s="665">
        <f t="shared" ref="W7:W14" si="2">J7</f>
        <v>0</v>
      </c>
      <c r="X7" s="666"/>
      <c r="Y7" s="3297" t="s">
        <v>1680</v>
      </c>
      <c r="Z7" s="329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297" t="s">
        <v>1683</v>
      </c>
      <c r="Q8" s="3298"/>
      <c r="R8" s="664" t="s">
        <v>14</v>
      </c>
      <c r="S8" s="665">
        <f t="shared" si="0"/>
        <v>100</v>
      </c>
      <c r="T8" s="664" t="s">
        <v>14</v>
      </c>
      <c r="U8" s="665">
        <f t="shared" si="1"/>
        <v>100</v>
      </c>
      <c r="V8" s="664" t="s">
        <v>14</v>
      </c>
      <c r="W8" s="665">
        <f t="shared" si="2"/>
        <v>100</v>
      </c>
      <c r="X8" s="666"/>
      <c r="Y8" s="3297" t="s">
        <v>1683</v>
      </c>
      <c r="Z8" s="329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30"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30"/>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30"/>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31" t="s">
        <v>1691</v>
      </c>
      <c r="Q14" s="1263" t="str">
        <f t="shared" si="6"/>
        <v>交通便捷度</v>
      </c>
      <c r="R14" s="667" t="s">
        <v>14</v>
      </c>
      <c r="S14" s="668">
        <f t="shared" si="0"/>
        <v>100</v>
      </c>
      <c r="T14" s="667" t="s">
        <v>14</v>
      </c>
      <c r="U14" s="668">
        <f t="shared" si="1"/>
        <v>100</v>
      </c>
      <c r="V14" s="667" t="s">
        <v>14</v>
      </c>
      <c r="W14" s="668">
        <f t="shared" si="2"/>
        <v>100</v>
      </c>
      <c r="X14" s="1265"/>
      <c r="Y14" s="33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32"/>
      <c r="Q15" s="1263"/>
      <c r="R15" s="667"/>
      <c r="S15" s="668"/>
      <c r="T15" s="667"/>
      <c r="U15" s="668"/>
      <c r="V15" s="667"/>
      <c r="W15" s="668"/>
      <c r="X15" s="1265"/>
      <c r="Y15" s="333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32"/>
      <c r="Q16" s="1263" t="str">
        <f>B16</f>
        <v>公共配套设施</v>
      </c>
      <c r="R16" s="667" t="s">
        <v>14</v>
      </c>
      <c r="S16" s="668">
        <f>F16</f>
        <v>100</v>
      </c>
      <c r="T16" s="667" t="s">
        <v>14</v>
      </c>
      <c r="U16" s="668">
        <f>H16</f>
        <v>100</v>
      </c>
      <c r="V16" s="667" t="s">
        <v>14</v>
      </c>
      <c r="W16" s="668">
        <f>J16</f>
        <v>100</v>
      </c>
      <c r="X16" s="1265"/>
      <c r="Y16" s="333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32"/>
      <c r="Q17" s="1263"/>
      <c r="R17" s="667"/>
      <c r="S17" s="668"/>
      <c r="T17" s="667"/>
      <c r="U17" s="668"/>
      <c r="V17" s="667"/>
      <c r="W17" s="668"/>
      <c r="X17" s="1265"/>
      <c r="Y17" s="333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32"/>
      <c r="Q18" s="1263" t="str">
        <f>B18</f>
        <v>基础设施水平</v>
      </c>
      <c r="R18" s="667" t="s">
        <v>14</v>
      </c>
      <c r="S18" s="668">
        <f>F18</f>
        <v>100</v>
      </c>
      <c r="T18" s="667" t="s">
        <v>14</v>
      </c>
      <c r="U18" s="668">
        <f>H18</f>
        <v>100</v>
      </c>
      <c r="V18" s="667" t="s">
        <v>14</v>
      </c>
      <c r="W18" s="668">
        <f>J18</f>
        <v>100</v>
      </c>
      <c r="X18" s="1265"/>
      <c r="Y18" s="333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32"/>
      <c r="Q19" s="1263"/>
      <c r="R19" s="667"/>
      <c r="S19" s="668"/>
      <c r="T19" s="667"/>
      <c r="U19" s="668"/>
      <c r="V19" s="667"/>
      <c r="W19" s="668"/>
      <c r="X19" s="1265"/>
      <c r="Y19" s="333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32"/>
      <c r="Q20" s="1263" t="str">
        <f>B20</f>
        <v>自然及人文环境</v>
      </c>
      <c r="R20" s="667" t="s">
        <v>14</v>
      </c>
      <c r="S20" s="668">
        <f>F20</f>
        <v>100</v>
      </c>
      <c r="T20" s="667" t="s">
        <v>14</v>
      </c>
      <c r="U20" s="668">
        <f>H20</f>
        <v>100</v>
      </c>
      <c r="V20" s="667" t="s">
        <v>14</v>
      </c>
      <c r="W20" s="668">
        <f>J20</f>
        <v>100</v>
      </c>
      <c r="X20" s="1265"/>
      <c r="Y20" s="33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32"/>
      <c r="Q21" s="1263"/>
      <c r="R21" s="667"/>
      <c r="S21" s="668"/>
      <c r="T21" s="667"/>
      <c r="U21" s="668"/>
      <c r="V21" s="667"/>
      <c r="W21" s="668"/>
      <c r="X21" s="1265"/>
      <c r="Y21" s="33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32"/>
      <c r="Q22" s="1263" t="str">
        <f>B22</f>
        <v>楼层</v>
      </c>
      <c r="R22" s="667" t="s">
        <v>14</v>
      </c>
      <c r="S22" s="668">
        <f>F22</f>
        <v>100</v>
      </c>
      <c r="T22" s="667" t="s">
        <v>14</v>
      </c>
      <c r="U22" s="668">
        <f>H22</f>
        <v>100</v>
      </c>
      <c r="V22" s="667" t="s">
        <v>14</v>
      </c>
      <c r="W22" s="668">
        <f>J22</f>
        <v>100</v>
      </c>
      <c r="X22" s="1265"/>
      <c r="Y22" s="33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32"/>
      <c r="Q23" s="1263">
        <f>B23</f>
        <v>111</v>
      </c>
      <c r="R23" s="667" t="s">
        <v>14</v>
      </c>
      <c r="S23" s="668">
        <f>F23</f>
        <v>100</v>
      </c>
      <c r="T23" s="667" t="s">
        <v>14</v>
      </c>
      <c r="U23" s="668">
        <f>H23</f>
        <v>100</v>
      </c>
      <c r="V23" s="667" t="s">
        <v>14</v>
      </c>
      <c r="W23" s="668">
        <f>J23</f>
        <v>100</v>
      </c>
      <c r="X23" s="1265"/>
      <c r="Y23" s="33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32"/>
      <c r="Q24" s="1263">
        <f t="shared" ref="Q24:Q34" si="11">B24</f>
        <v>111</v>
      </c>
      <c r="R24" s="667" t="s">
        <v>14</v>
      </c>
      <c r="S24" s="668">
        <f>F24</f>
        <v>100</v>
      </c>
      <c r="T24" s="667" t="s">
        <v>14</v>
      </c>
      <c r="U24" s="668">
        <f>H24</f>
        <v>100</v>
      </c>
      <c r="V24" s="667" t="s">
        <v>14</v>
      </c>
      <c r="W24" s="668">
        <f>J24</f>
        <v>100</v>
      </c>
      <c r="X24" s="1265"/>
      <c r="Y24" s="333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32"/>
      <c r="Q25" s="530">
        <f t="shared" si="11"/>
        <v>111</v>
      </c>
      <c r="R25" s="664" t="s">
        <v>14</v>
      </c>
      <c r="S25" s="665">
        <f>F25</f>
        <v>100</v>
      </c>
      <c r="T25" s="664" t="s">
        <v>14</v>
      </c>
      <c r="U25" s="665">
        <f>H25</f>
        <v>100</v>
      </c>
      <c r="V25" s="664" t="s">
        <v>14</v>
      </c>
      <c r="W25" s="665">
        <f>J25</f>
        <v>100</v>
      </c>
      <c r="X25" s="666"/>
      <c r="Y25" s="333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3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36"/>
      <c r="Q27" s="531" t="str">
        <f t="shared" si="11"/>
        <v>成新率</v>
      </c>
      <c r="R27" s="669" t="s">
        <v>14</v>
      </c>
      <c r="S27" s="670" t="e">
        <f t="shared" si="12"/>
        <v>#N/A</v>
      </c>
      <c r="T27" s="669" t="s">
        <v>14</v>
      </c>
      <c r="U27" s="670" t="e">
        <f t="shared" si="13"/>
        <v>#N/A</v>
      </c>
      <c r="V27" s="669" t="s">
        <v>14</v>
      </c>
      <c r="W27" s="670" t="e">
        <f t="shared" si="14"/>
        <v>#N/A</v>
      </c>
      <c r="X27" s="671"/>
      <c r="Y27" s="333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36"/>
      <c r="Q28" s="1263" t="str">
        <f t="shared" si="11"/>
        <v>物业等级</v>
      </c>
      <c r="R28" s="667" t="s">
        <v>14</v>
      </c>
      <c r="S28" s="668">
        <f t="shared" si="12"/>
        <v>100</v>
      </c>
      <c r="T28" s="667" t="s">
        <v>14</v>
      </c>
      <c r="U28" s="668">
        <f t="shared" si="13"/>
        <v>100</v>
      </c>
      <c r="V28" s="667" t="s">
        <v>14</v>
      </c>
      <c r="W28" s="668">
        <f t="shared" si="14"/>
        <v>100</v>
      </c>
      <c r="X28" s="1265"/>
      <c r="Y28" s="333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36"/>
      <c r="Q29" s="1263" t="str">
        <f t="shared" si="11"/>
        <v>有无电梯</v>
      </c>
      <c r="R29" s="667" t="s">
        <v>14</v>
      </c>
      <c r="S29" s="668">
        <f t="shared" si="12"/>
        <v>100</v>
      </c>
      <c r="T29" s="667" t="s">
        <v>14</v>
      </c>
      <c r="U29" s="668">
        <f t="shared" si="13"/>
        <v>100</v>
      </c>
      <c r="V29" s="667" t="s">
        <v>14</v>
      </c>
      <c r="W29" s="668">
        <f t="shared" si="14"/>
        <v>100</v>
      </c>
      <c r="X29" s="1265"/>
      <c r="Y29" s="333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36"/>
      <c r="Q30" s="1263" t="str">
        <f t="shared" si="11"/>
        <v>建筑面积</v>
      </c>
      <c r="R30" s="667" t="s">
        <v>14</v>
      </c>
      <c r="S30" s="668" t="e">
        <f t="shared" si="12"/>
        <v>#N/A</v>
      </c>
      <c r="T30" s="667" t="s">
        <v>14</v>
      </c>
      <c r="U30" s="668" t="e">
        <f t="shared" si="13"/>
        <v>#N/A</v>
      </c>
      <c r="V30" s="667" t="s">
        <v>14</v>
      </c>
      <c r="W30" s="668" t="e">
        <f t="shared" si="14"/>
        <v>#N/A</v>
      </c>
      <c r="X30" s="1265"/>
      <c r="Y30" s="333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36"/>
      <c r="Q31" s="530" t="str">
        <f t="shared" si="11"/>
        <v>是否封闭</v>
      </c>
      <c r="R31" s="664" t="s">
        <v>14</v>
      </c>
      <c r="S31" s="665">
        <f t="shared" si="12"/>
        <v>100</v>
      </c>
      <c r="T31" s="664" t="s">
        <v>14</v>
      </c>
      <c r="U31" s="665">
        <f t="shared" si="13"/>
        <v>100</v>
      </c>
      <c r="V31" s="664" t="s">
        <v>14</v>
      </c>
      <c r="W31" s="665">
        <f t="shared" si="14"/>
        <v>100</v>
      </c>
      <c r="X31" s="666"/>
      <c r="Y31" s="33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36" t="s">
        <v>1696</v>
      </c>
      <c r="Q32" s="1263">
        <f t="shared" si="11"/>
        <v>111</v>
      </c>
      <c r="R32" s="667" t="s">
        <v>14</v>
      </c>
      <c r="S32" s="668">
        <f t="shared" si="12"/>
        <v>100</v>
      </c>
      <c r="T32" s="667" t="s">
        <v>14</v>
      </c>
      <c r="U32" s="668">
        <f t="shared" si="13"/>
        <v>100</v>
      </c>
      <c r="V32" s="667" t="s">
        <v>14</v>
      </c>
      <c r="W32" s="668">
        <f t="shared" si="14"/>
        <v>100</v>
      </c>
      <c r="X32" s="1265"/>
      <c r="Y32" s="333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36"/>
      <c r="Q33" s="1263">
        <f t="shared" si="11"/>
        <v>111</v>
      </c>
      <c r="R33" s="667" t="s">
        <v>14</v>
      </c>
      <c r="S33" s="668">
        <f t="shared" si="12"/>
        <v>100</v>
      </c>
      <c r="T33" s="667" t="s">
        <v>14</v>
      </c>
      <c r="U33" s="668">
        <f t="shared" si="13"/>
        <v>100</v>
      </c>
      <c r="V33" s="667" t="s">
        <v>14</v>
      </c>
      <c r="W33" s="668">
        <f t="shared" si="14"/>
        <v>100</v>
      </c>
      <c r="X33" s="1265"/>
      <c r="Y33" s="333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36"/>
      <c r="Q34" s="1263">
        <f t="shared" si="11"/>
        <v>111</v>
      </c>
      <c r="R34" s="667" t="s">
        <v>14</v>
      </c>
      <c r="S34" s="668">
        <f t="shared" si="12"/>
        <v>100</v>
      </c>
      <c r="T34" s="667" t="s">
        <v>14</v>
      </c>
      <c r="U34" s="668">
        <f t="shared" si="13"/>
        <v>100</v>
      </c>
      <c r="V34" s="667" t="s">
        <v>14</v>
      </c>
      <c r="W34" s="668">
        <f t="shared" si="14"/>
        <v>100</v>
      </c>
      <c r="X34" s="1265"/>
      <c r="Y34" s="333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30" t="str">
        <f>A35</f>
        <v>成交单价（元/平方米）</v>
      </c>
      <c r="Q35" s="3330"/>
      <c r="R35" s="3325">
        <f>E35</f>
        <v>0</v>
      </c>
      <c r="S35" s="3325"/>
      <c r="T35" s="3325">
        <f>G35</f>
        <v>0</v>
      </c>
      <c r="U35" s="3325"/>
      <c r="V35" s="3325">
        <f>I35</f>
        <v>0</v>
      </c>
      <c r="W35" s="3325"/>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30" t="str">
        <f>A36</f>
        <v>比较价值（元/平方米）</v>
      </c>
      <c r="Q36" s="3330"/>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27" t="str">
        <f>A37</f>
        <v>估价对象XX用房的比较价值（楼面单价，元/平方米）</v>
      </c>
      <c r="Q37" s="3328"/>
      <c r="R37" s="3356" t="e">
        <f>IF(F1="售价",ROUND(IF(D36="简单平均",AVERAGE(R36:W36),R36*F36+T36*H36+V36*J36),0),ROUND(IF(D36="简单平均",AVERAGE(R36:V36),R36*F36+T36*H36+V36*J36),1))</f>
        <v>#DIV/0!</v>
      </c>
      <c r="S37" s="3356"/>
      <c r="T37" s="3356"/>
      <c r="U37" s="3356"/>
      <c r="V37" s="3356"/>
      <c r="W37" s="335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07" t="s">
        <v>1677</v>
      </c>
      <c r="D6" s="3308"/>
      <c r="E6" s="3309" t="s">
        <v>1677</v>
      </c>
      <c r="F6" s="3310"/>
      <c r="G6" s="3307" t="s">
        <v>1677</v>
      </c>
      <c r="H6" s="3308"/>
      <c r="I6" s="3307" t="s">
        <v>1677</v>
      </c>
      <c r="J6" s="3308"/>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297" t="s">
        <v>1683</v>
      </c>
      <c r="Q8" s="3298"/>
      <c r="R8" s="664" t="s">
        <v>14</v>
      </c>
      <c r="S8" s="665">
        <f t="shared" si="0"/>
        <v>0</v>
      </c>
      <c r="T8" s="664" t="s">
        <v>14</v>
      </c>
      <c r="U8" s="665">
        <f t="shared" si="1"/>
        <v>0</v>
      </c>
      <c r="V8" s="664" t="s">
        <v>14</v>
      </c>
      <c r="W8" s="665">
        <f t="shared" si="2"/>
        <v>0</v>
      </c>
      <c r="X8" s="666"/>
      <c r="Y8" s="3297" t="s">
        <v>1683</v>
      </c>
      <c r="Z8" s="329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30"/>
      <c r="Q10" s="530" t="str">
        <f t="shared" si="6"/>
        <v>土地使用年限（年）</v>
      </c>
      <c r="R10" s="664" t="s">
        <v>14</v>
      </c>
      <c r="S10" s="665" t="e">
        <f t="shared" si="0"/>
        <v>#DIV/0!</v>
      </c>
      <c r="T10" s="664" t="s">
        <v>14</v>
      </c>
      <c r="U10" s="665" t="e">
        <f t="shared" si="1"/>
        <v>#DIV/0!</v>
      </c>
      <c r="V10" s="664" t="s">
        <v>14</v>
      </c>
      <c r="W10" s="665" t="e">
        <f t="shared" si="2"/>
        <v>#DIV/0!</v>
      </c>
      <c r="X10" s="666"/>
      <c r="Y10" s="331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3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30"/>
      <c r="Q12" s="530" t="str">
        <f t="shared" si="6"/>
        <v>配建</v>
      </c>
      <c r="R12" s="664" t="s">
        <v>14</v>
      </c>
      <c r="S12" s="665">
        <f t="shared" si="0"/>
        <v>100</v>
      </c>
      <c r="T12" s="664" t="s">
        <v>14</v>
      </c>
      <c r="U12" s="665">
        <f t="shared" si="1"/>
        <v>100</v>
      </c>
      <c r="V12" s="664" t="s">
        <v>14</v>
      </c>
      <c r="W12" s="665">
        <f t="shared" si="2"/>
        <v>100</v>
      </c>
      <c r="X12" s="666"/>
      <c r="Y12" s="33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31" t="s">
        <v>1691</v>
      </c>
      <c r="Q15" s="1263" t="str">
        <f t="shared" si="6"/>
        <v>居住社区成熟度</v>
      </c>
      <c r="R15" s="667" t="s">
        <v>14</v>
      </c>
      <c r="S15" s="668">
        <f t="shared" si="0"/>
        <v>100</v>
      </c>
      <c r="T15" s="667" t="s">
        <v>14</v>
      </c>
      <c r="U15" s="668">
        <f t="shared" si="1"/>
        <v>100</v>
      </c>
      <c r="V15" s="667" t="s">
        <v>14</v>
      </c>
      <c r="W15" s="668">
        <f t="shared" si="2"/>
        <v>100</v>
      </c>
      <c r="X15" s="1265"/>
      <c r="Y15" s="333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32"/>
      <c r="Q16" s="1263"/>
      <c r="R16" s="667"/>
      <c r="S16" s="668"/>
      <c r="T16" s="667"/>
      <c r="U16" s="668"/>
      <c r="V16" s="667"/>
      <c r="W16" s="668"/>
      <c r="X16" s="1265"/>
      <c r="Y16" s="333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32"/>
      <c r="Q17" s="1263" t="str">
        <f>B17</f>
        <v>商业繁华度</v>
      </c>
      <c r="R17" s="667" t="s">
        <v>14</v>
      </c>
      <c r="S17" s="668">
        <f>F17</f>
        <v>100</v>
      </c>
      <c r="T17" s="667" t="s">
        <v>14</v>
      </c>
      <c r="U17" s="668">
        <f>H17</f>
        <v>100</v>
      </c>
      <c r="V17" s="667" t="s">
        <v>14</v>
      </c>
      <c r="W17" s="668">
        <f>J17</f>
        <v>100</v>
      </c>
      <c r="X17" s="1265"/>
      <c r="Y17" s="333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32"/>
      <c r="Q18" s="1263"/>
      <c r="R18" s="667"/>
      <c r="S18" s="668"/>
      <c r="T18" s="667"/>
      <c r="U18" s="668"/>
      <c r="V18" s="667"/>
      <c r="W18" s="668"/>
      <c r="X18" s="1265"/>
      <c r="Y18" s="333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32"/>
      <c r="Q19" s="1263" t="str">
        <f>B19</f>
        <v>办公集聚程度</v>
      </c>
      <c r="R19" s="667" t="s">
        <v>14</v>
      </c>
      <c r="S19" s="668">
        <f>F19</f>
        <v>100</v>
      </c>
      <c r="T19" s="667" t="s">
        <v>14</v>
      </c>
      <c r="U19" s="668">
        <f>H19</f>
        <v>100</v>
      </c>
      <c r="V19" s="667" t="s">
        <v>14</v>
      </c>
      <c r="W19" s="668">
        <f>J19</f>
        <v>100</v>
      </c>
      <c r="X19" s="1265"/>
      <c r="Y19" s="333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32"/>
      <c r="Q20" s="1263"/>
      <c r="R20" s="667"/>
      <c r="S20" s="668"/>
      <c r="T20" s="667"/>
      <c r="U20" s="668"/>
      <c r="V20" s="667"/>
      <c r="W20" s="668"/>
      <c r="X20" s="1265"/>
      <c r="Y20" s="333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32"/>
      <c r="Q21" s="1263" t="str">
        <f>B21</f>
        <v>交通便捷度</v>
      </c>
      <c r="R21" s="667" t="s">
        <v>14</v>
      </c>
      <c r="S21" s="668">
        <f>F21</f>
        <v>100</v>
      </c>
      <c r="T21" s="667" t="s">
        <v>14</v>
      </c>
      <c r="U21" s="668">
        <f>H21</f>
        <v>100</v>
      </c>
      <c r="V21" s="667" t="s">
        <v>14</v>
      </c>
      <c r="W21" s="668">
        <f>J21</f>
        <v>100</v>
      </c>
      <c r="X21" s="1265"/>
      <c r="Y21" s="333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32"/>
      <c r="Q22" s="1263"/>
      <c r="R22" s="667"/>
      <c r="S22" s="668"/>
      <c r="T22" s="667"/>
      <c r="U22" s="668"/>
      <c r="V22" s="667"/>
      <c r="W22" s="668"/>
      <c r="X22" s="1265"/>
      <c r="Y22" s="333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32"/>
      <c r="Q23" s="1263" t="str">
        <f t="shared" ref="Q23:Q37" si="8">B23</f>
        <v>区域土地利用方向</v>
      </c>
      <c r="R23" s="667" t="s">
        <v>14</v>
      </c>
      <c r="S23" s="668">
        <f>F23</f>
        <v>100</v>
      </c>
      <c r="T23" s="667" t="s">
        <v>14</v>
      </c>
      <c r="U23" s="668">
        <f>H23</f>
        <v>100</v>
      </c>
      <c r="V23" s="667" t="s">
        <v>14</v>
      </c>
      <c r="W23" s="668">
        <f>J23</f>
        <v>100</v>
      </c>
      <c r="X23" s="1265"/>
      <c r="Y23" s="333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32"/>
      <c r="Q24" s="1263"/>
      <c r="R24" s="667"/>
      <c r="S24" s="668"/>
      <c r="T24" s="667"/>
      <c r="U24" s="668"/>
      <c r="V24" s="667"/>
      <c r="W24" s="668"/>
      <c r="X24" s="1265"/>
      <c r="Y24" s="333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32"/>
      <c r="Q25" s="1263" t="str">
        <f t="shared" si="8"/>
        <v>自然及人文环境状况</v>
      </c>
      <c r="R25" s="667" t="s">
        <v>14</v>
      </c>
      <c r="S25" s="668">
        <f>F25</f>
        <v>100</v>
      </c>
      <c r="T25" s="667" t="s">
        <v>14</v>
      </c>
      <c r="U25" s="668">
        <f>H25</f>
        <v>100</v>
      </c>
      <c r="V25" s="667" t="s">
        <v>14</v>
      </c>
      <c r="W25" s="668">
        <f>J25</f>
        <v>100</v>
      </c>
      <c r="X25" s="1265"/>
      <c r="Y25" s="333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32"/>
      <c r="Q26" s="1263"/>
      <c r="R26" s="667"/>
      <c r="S26" s="668"/>
      <c r="T26" s="667"/>
      <c r="U26" s="668"/>
      <c r="V26" s="667"/>
      <c r="W26" s="668"/>
      <c r="X26" s="1265"/>
      <c r="Y26" s="333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32"/>
      <c r="Q27" s="530" t="str">
        <f t="shared" si="8"/>
        <v>公共配套设施</v>
      </c>
      <c r="R27" s="664" t="s">
        <v>14</v>
      </c>
      <c r="S27" s="665">
        <f>F27</f>
        <v>100</v>
      </c>
      <c r="T27" s="664" t="s">
        <v>14</v>
      </c>
      <c r="U27" s="665">
        <f>H27</f>
        <v>100</v>
      </c>
      <c r="V27" s="664" t="s">
        <v>14</v>
      </c>
      <c r="W27" s="665">
        <f>J27</f>
        <v>100</v>
      </c>
      <c r="X27" s="666"/>
      <c r="Y27" s="333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32"/>
      <c r="Q28" s="530"/>
      <c r="R28" s="664"/>
      <c r="S28" s="665"/>
      <c r="T28" s="664"/>
      <c r="U28" s="665"/>
      <c r="V28" s="664"/>
      <c r="W28" s="665"/>
      <c r="X28" s="666"/>
      <c r="Y28" s="333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32"/>
      <c r="Q29" s="530" t="str">
        <f t="shared" ref="Q29" si="9">B29</f>
        <v>基础设施水平</v>
      </c>
      <c r="R29" s="664" t="s">
        <v>14</v>
      </c>
      <c r="S29" s="665">
        <f>F29</f>
        <v>100</v>
      </c>
      <c r="T29" s="664" t="s">
        <v>14</v>
      </c>
      <c r="U29" s="665">
        <f>H29</f>
        <v>100</v>
      </c>
      <c r="V29" s="664" t="s">
        <v>14</v>
      </c>
      <c r="W29" s="665">
        <f>J29</f>
        <v>100</v>
      </c>
      <c r="X29" s="666"/>
      <c r="Y29" s="333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32"/>
      <c r="Q30" s="530"/>
      <c r="R30" s="664"/>
      <c r="S30" s="665"/>
      <c r="T30" s="664"/>
      <c r="U30" s="665"/>
      <c r="V30" s="664"/>
      <c r="W30" s="665"/>
      <c r="X30" s="666"/>
      <c r="Y30" s="33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3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32"/>
      <c r="Q32" s="1263" t="str">
        <f t="shared" si="8"/>
        <v>毗邻道路的类型与等级</v>
      </c>
      <c r="R32" s="667" t="s">
        <v>14</v>
      </c>
      <c r="S32" s="668">
        <f t="shared" si="10"/>
        <v>100</v>
      </c>
      <c r="T32" s="667" t="s">
        <v>14</v>
      </c>
      <c r="U32" s="668">
        <f t="shared" si="11"/>
        <v>100</v>
      </c>
      <c r="V32" s="667" t="s">
        <v>14</v>
      </c>
      <c r="W32" s="668">
        <f t="shared" si="12"/>
        <v>100</v>
      </c>
      <c r="X32" s="1265"/>
      <c r="Y32" s="333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32"/>
      <c r="Q33" s="1263"/>
      <c r="R33" s="667"/>
      <c r="S33" s="668"/>
      <c r="T33" s="667"/>
      <c r="U33" s="668"/>
      <c r="V33" s="667"/>
      <c r="W33" s="668"/>
      <c r="X33" s="1265"/>
      <c r="Y33" s="33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32"/>
      <c r="Q34" s="1263" t="str">
        <f t="shared" si="8"/>
        <v>土地级别</v>
      </c>
      <c r="R34" s="667" t="s">
        <v>14</v>
      </c>
      <c r="S34" s="668">
        <f t="shared" si="10"/>
        <v>100</v>
      </c>
      <c r="T34" s="667" t="s">
        <v>14</v>
      </c>
      <c r="U34" s="668">
        <f t="shared" si="11"/>
        <v>100</v>
      </c>
      <c r="V34" s="667" t="s">
        <v>14</v>
      </c>
      <c r="W34" s="668">
        <f t="shared" si="12"/>
        <v>100</v>
      </c>
      <c r="X34" s="1265"/>
      <c r="Y34" s="33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32"/>
      <c r="Q35" s="1263">
        <f t="shared" si="8"/>
        <v>111</v>
      </c>
      <c r="R35" s="667" t="s">
        <v>14</v>
      </c>
      <c r="S35" s="668">
        <f t="shared" si="10"/>
        <v>100</v>
      </c>
      <c r="T35" s="667" t="s">
        <v>14</v>
      </c>
      <c r="U35" s="668">
        <f t="shared" si="11"/>
        <v>100</v>
      </c>
      <c r="V35" s="667" t="s">
        <v>14</v>
      </c>
      <c r="W35" s="668">
        <f t="shared" si="12"/>
        <v>100</v>
      </c>
      <c r="X35" s="1265"/>
      <c r="Y35" s="33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55" t="s">
        <v>1696</v>
      </c>
      <c r="Q36" s="1263">
        <f t="shared" si="8"/>
        <v>111</v>
      </c>
      <c r="R36" s="667" t="s">
        <v>14</v>
      </c>
      <c r="S36" s="668">
        <f t="shared" si="10"/>
        <v>100</v>
      </c>
      <c r="T36" s="667" t="s">
        <v>14</v>
      </c>
      <c r="U36" s="668">
        <f t="shared" si="11"/>
        <v>100</v>
      </c>
      <c r="V36" s="667" t="s">
        <v>14</v>
      </c>
      <c r="W36" s="668">
        <f t="shared" si="12"/>
        <v>100</v>
      </c>
      <c r="X36" s="1265"/>
      <c r="Y36" s="333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36"/>
      <c r="Q37" s="1263">
        <f t="shared" si="8"/>
        <v>111</v>
      </c>
      <c r="R37" s="669" t="s">
        <v>14</v>
      </c>
      <c r="S37" s="670">
        <f t="shared" si="10"/>
        <v>100</v>
      </c>
      <c r="T37" s="669" t="s">
        <v>14</v>
      </c>
      <c r="U37" s="670">
        <f t="shared" si="11"/>
        <v>100</v>
      </c>
      <c r="V37" s="669" t="s">
        <v>14</v>
      </c>
      <c r="W37" s="670">
        <f t="shared" si="12"/>
        <v>100</v>
      </c>
      <c r="X37" s="671"/>
      <c r="Y37" s="333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36"/>
      <c r="Q38" s="1263" t="str">
        <f>B38</f>
        <v>宗地面积</v>
      </c>
      <c r="R38" s="667" t="s">
        <v>14</v>
      </c>
      <c r="S38" s="668" t="e">
        <f t="shared" si="10"/>
        <v>#N/A</v>
      </c>
      <c r="T38" s="667" t="s">
        <v>14</v>
      </c>
      <c r="U38" s="668" t="e">
        <f t="shared" si="11"/>
        <v>#N/A</v>
      </c>
      <c r="V38" s="667" t="s">
        <v>14</v>
      </c>
      <c r="W38" s="668" t="e">
        <f t="shared" si="12"/>
        <v>#N/A</v>
      </c>
      <c r="X38" s="1265"/>
      <c r="Y38" s="333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36"/>
      <c r="Q39" s="1263" t="str">
        <f t="shared" ref="Q39:Q45" si="14">B39</f>
        <v>宗地形状</v>
      </c>
      <c r="R39" s="667" t="s">
        <v>14</v>
      </c>
      <c r="S39" s="668">
        <f t="shared" si="10"/>
        <v>100</v>
      </c>
      <c r="T39" s="667" t="s">
        <v>14</v>
      </c>
      <c r="U39" s="668">
        <f t="shared" si="11"/>
        <v>100</v>
      </c>
      <c r="V39" s="667" t="s">
        <v>14</v>
      </c>
      <c r="W39" s="668">
        <f t="shared" si="12"/>
        <v>100</v>
      </c>
      <c r="X39" s="1265"/>
      <c r="Y39" s="333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36"/>
      <c r="Q40" s="1263" t="str">
        <f t="shared" si="14"/>
        <v>临街宽度及深度</v>
      </c>
      <c r="R40" s="667" t="s">
        <v>14</v>
      </c>
      <c r="S40" s="668">
        <f t="shared" si="10"/>
        <v>100</v>
      </c>
      <c r="T40" s="667" t="s">
        <v>14</v>
      </c>
      <c r="U40" s="668">
        <f t="shared" si="11"/>
        <v>100</v>
      </c>
      <c r="V40" s="667" t="s">
        <v>14</v>
      </c>
      <c r="W40" s="668">
        <f t="shared" si="12"/>
        <v>100</v>
      </c>
      <c r="X40" s="1265"/>
      <c r="Y40" s="333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36"/>
      <c r="Q41" s="1263" t="str">
        <f t="shared" si="14"/>
        <v>宗地开发程度</v>
      </c>
      <c r="R41" s="664" t="s">
        <v>14</v>
      </c>
      <c r="S41" s="665">
        <f t="shared" si="10"/>
        <v>100</v>
      </c>
      <c r="T41" s="664" t="s">
        <v>14</v>
      </c>
      <c r="U41" s="665">
        <f t="shared" si="11"/>
        <v>100</v>
      </c>
      <c r="V41" s="664" t="s">
        <v>14</v>
      </c>
      <c r="W41" s="665">
        <f t="shared" si="12"/>
        <v>100</v>
      </c>
      <c r="X41" s="666"/>
      <c r="Y41" s="333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36" t="s">
        <v>1696</v>
      </c>
      <c r="Q42" s="1263" t="str">
        <f t="shared" si="14"/>
        <v>工程地质条件</v>
      </c>
      <c r="R42" s="667" t="s">
        <v>14</v>
      </c>
      <c r="S42" s="668">
        <f t="shared" si="10"/>
        <v>100</v>
      </c>
      <c r="T42" s="667" t="s">
        <v>14</v>
      </c>
      <c r="U42" s="668">
        <f t="shared" si="11"/>
        <v>100</v>
      </c>
      <c r="V42" s="667" t="s">
        <v>14</v>
      </c>
      <c r="W42" s="668">
        <f t="shared" si="12"/>
        <v>100</v>
      </c>
      <c r="X42" s="1265"/>
      <c r="Y42" s="333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36"/>
      <c r="Q43" s="1263">
        <f t="shared" si="14"/>
        <v>111</v>
      </c>
      <c r="R43" s="667" t="s">
        <v>14</v>
      </c>
      <c r="S43" s="668">
        <f t="shared" si="10"/>
        <v>100</v>
      </c>
      <c r="T43" s="667" t="s">
        <v>14</v>
      </c>
      <c r="U43" s="668">
        <f t="shared" si="11"/>
        <v>100</v>
      </c>
      <c r="V43" s="667" t="s">
        <v>14</v>
      </c>
      <c r="W43" s="668">
        <f t="shared" si="12"/>
        <v>100</v>
      </c>
      <c r="X43" s="1265"/>
      <c r="Y43" s="33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36"/>
      <c r="Q44" s="1263">
        <f t="shared" si="14"/>
        <v>111</v>
      </c>
      <c r="R44" s="667" t="s">
        <v>14</v>
      </c>
      <c r="S44" s="668">
        <f t="shared" si="10"/>
        <v>100</v>
      </c>
      <c r="T44" s="667" t="s">
        <v>14</v>
      </c>
      <c r="U44" s="668">
        <f t="shared" si="11"/>
        <v>100</v>
      </c>
      <c r="V44" s="667" t="s">
        <v>14</v>
      </c>
      <c r="W44" s="668">
        <f t="shared" si="12"/>
        <v>100</v>
      </c>
      <c r="X44" s="1265"/>
      <c r="Y44" s="333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36"/>
      <c r="Q45" s="1263">
        <f t="shared" si="14"/>
        <v>111</v>
      </c>
      <c r="R45" s="669" t="s">
        <v>14</v>
      </c>
      <c r="S45" s="670">
        <f t="shared" si="10"/>
        <v>100</v>
      </c>
      <c r="T45" s="669" t="s">
        <v>14</v>
      </c>
      <c r="U45" s="670">
        <f t="shared" si="11"/>
        <v>100</v>
      </c>
      <c r="V45" s="669" t="s">
        <v>14</v>
      </c>
      <c r="W45" s="670">
        <f t="shared" si="12"/>
        <v>100</v>
      </c>
      <c r="X45" s="671"/>
      <c r="Y45" s="333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30" t="str">
        <f>A46</f>
        <v>成交单价</v>
      </c>
      <c r="Q46" s="3330"/>
      <c r="R46" s="3325">
        <f>E46</f>
        <v>0</v>
      </c>
      <c r="S46" s="3325"/>
      <c r="T46" s="3325">
        <f>G46</f>
        <v>0</v>
      </c>
      <c r="U46" s="3325"/>
      <c r="V46" s="3325">
        <f>I46</f>
        <v>0</v>
      </c>
      <c r="W46" s="3325"/>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30" t="str">
        <f>A47</f>
        <v>比较价值（元/平方米）</v>
      </c>
      <c r="Q47" s="3330"/>
      <c r="R47" s="3357" t="e">
        <f>ROUND(PRODUCT(R46,AA7:AA45),0)</f>
        <v>#DIV/0!</v>
      </c>
      <c r="S47" s="3357"/>
      <c r="T47" s="3357" t="e">
        <f>ROUND(PRODUCT(T46,AB7:AB45),0)</f>
        <v>#DIV/0!</v>
      </c>
      <c r="U47" s="3357"/>
      <c r="V47" s="3357" t="e">
        <f>ROUND(PRODUCT(V46,AC7:AC45),0)</f>
        <v>#DIV/0!</v>
      </c>
      <c r="W47" s="33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27" t="str">
        <f>A48</f>
        <v>估价对象XX用房的比较价值（楼面单价，元/平方米）</v>
      </c>
      <c r="Q48" s="3328"/>
      <c r="R48" s="3358" t="e">
        <f>ROUND(IF(D47="简单平均",AVERAGE(R47:W47),R47*F47+T47*H47+V47*J47),0)</f>
        <v>#DIV/0!</v>
      </c>
      <c r="S48" s="3358"/>
      <c r="T48" s="3358"/>
      <c r="U48" s="3358"/>
      <c r="V48" s="3358"/>
      <c r="W48" s="335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13" t="s">
        <v>1887</v>
      </c>
      <c r="H55" s="335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11"/>
      <c r="H56" s="333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299" t="s">
        <v>1771</v>
      </c>
      <c r="S4" s="3300"/>
      <c r="T4" s="3299" t="s">
        <v>1772</v>
      </c>
      <c r="U4" s="3300"/>
      <c r="V4" s="3325" t="s">
        <v>1773</v>
      </c>
      <c r="W4" s="3325"/>
      <c r="X4" s="1265"/>
      <c r="Y4" s="3299" t="s">
        <v>1775</v>
      </c>
      <c r="Z4" s="3300"/>
      <c r="AA4" s="3294" t="s">
        <v>1771</v>
      </c>
      <c r="AB4" s="3295" t="s">
        <v>1772</v>
      </c>
      <c r="AC4" s="3294" t="s">
        <v>1773</v>
      </c>
    </row>
    <row r="5" spans="1:29">
      <c r="A5" s="348"/>
      <c r="B5" s="349"/>
      <c r="C5" s="3305" t="s">
        <v>1673</v>
      </c>
      <c r="D5" s="3306"/>
      <c r="E5" s="3303" t="s">
        <v>1674</v>
      </c>
      <c r="F5" s="3304"/>
      <c r="G5" s="3305" t="s">
        <v>1675</v>
      </c>
      <c r="H5" s="3306"/>
      <c r="I5" s="3305" t="s">
        <v>1676</v>
      </c>
      <c r="J5" s="3306"/>
      <c r="K5" s="537"/>
      <c r="L5" s="2487"/>
      <c r="M5" s="2488"/>
      <c r="N5" s="2488"/>
      <c r="O5" s="2488"/>
      <c r="P5" s="3319"/>
      <c r="Q5" s="3320"/>
      <c r="R5" s="3301"/>
      <c r="S5" s="3302"/>
      <c r="T5" s="3301"/>
      <c r="U5" s="3302"/>
      <c r="V5" s="3325"/>
      <c r="W5" s="3325"/>
      <c r="X5" s="1265"/>
      <c r="Y5" s="3301"/>
      <c r="Z5" s="3302"/>
      <c r="AA5" s="3295"/>
      <c r="AB5" s="3295"/>
      <c r="AC5" s="3295"/>
    </row>
    <row r="6" spans="1:29" ht="15" thickBot="1">
      <c r="A6" s="350"/>
      <c r="B6" s="351"/>
      <c r="C6" s="3360" t="s">
        <v>1919</v>
      </c>
      <c r="D6" s="3361"/>
      <c r="E6" s="3362" t="s">
        <v>1919</v>
      </c>
      <c r="F6" s="3363"/>
      <c r="G6" s="3360" t="s">
        <v>1919</v>
      </c>
      <c r="H6" s="3361"/>
      <c r="I6" s="3360" t="s">
        <v>1919</v>
      </c>
      <c r="J6" s="3361"/>
      <c r="K6" s="537" t="s">
        <v>1678</v>
      </c>
      <c r="L6" s="2487"/>
      <c r="M6" s="2488"/>
      <c r="N6" s="2488"/>
      <c r="O6" s="2488"/>
      <c r="P6" s="3321"/>
      <c r="Q6" s="3322"/>
      <c r="R6" s="3301"/>
      <c r="S6" s="3302"/>
      <c r="T6" s="3323"/>
      <c r="U6" s="3324"/>
      <c r="V6" s="3325"/>
      <c r="W6" s="3325"/>
      <c r="X6" s="1265"/>
      <c r="Y6" s="3323"/>
      <c r="Z6" s="3324"/>
      <c r="AA6" s="3296"/>
      <c r="AB6" s="3296"/>
      <c r="AC6" s="3296"/>
    </row>
    <row r="7" spans="1:29" s="102" customFormat="1" ht="1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297" t="s">
        <v>1680</v>
      </c>
      <c r="Q7" s="3326"/>
      <c r="R7" s="664" t="s">
        <v>14</v>
      </c>
      <c r="S7" s="665">
        <f t="shared" ref="S7:S15" si="0">F7</f>
        <v>0</v>
      </c>
      <c r="T7" s="664" t="s">
        <v>14</v>
      </c>
      <c r="U7" s="665">
        <f t="shared" ref="U7:U15" si="1">H7</f>
        <v>0</v>
      </c>
      <c r="V7" s="664" t="s">
        <v>14</v>
      </c>
      <c r="W7" s="665">
        <f t="shared" ref="W7:W15" si="2">J7</f>
        <v>0</v>
      </c>
      <c r="X7" s="666"/>
      <c r="Y7" s="3297" t="s">
        <v>1680</v>
      </c>
      <c r="Z7" s="329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297" t="s">
        <v>1683</v>
      </c>
      <c r="Q8" s="3298"/>
      <c r="R8" s="664" t="s">
        <v>14</v>
      </c>
      <c r="S8" s="665">
        <f t="shared" si="0"/>
        <v>0</v>
      </c>
      <c r="T8" s="664" t="s">
        <v>14</v>
      </c>
      <c r="U8" s="665">
        <f t="shared" si="1"/>
        <v>0</v>
      </c>
      <c r="V8" s="664" t="s">
        <v>14</v>
      </c>
      <c r="W8" s="665">
        <f t="shared" si="2"/>
        <v>0</v>
      </c>
      <c r="X8" s="666"/>
      <c r="Y8" s="3297" t="s">
        <v>1683</v>
      </c>
      <c r="Z8" s="329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30"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30"/>
      <c r="Q10" s="530" t="str">
        <f t="shared" si="6"/>
        <v>土地使用年限（年）</v>
      </c>
      <c r="R10" s="664" t="s">
        <v>14</v>
      </c>
      <c r="S10" s="665" t="e">
        <f t="shared" si="0"/>
        <v>#DIV/0!</v>
      </c>
      <c r="T10" s="664" t="s">
        <v>14</v>
      </c>
      <c r="U10" s="665" t="e">
        <f t="shared" si="1"/>
        <v>#DIV/0!</v>
      </c>
      <c r="V10" s="664" t="s">
        <v>14</v>
      </c>
      <c r="W10" s="665" t="e">
        <f t="shared" si="2"/>
        <v>#DIV/0!</v>
      </c>
      <c r="X10" s="666"/>
      <c r="Y10" s="331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30"/>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30"/>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30"/>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30"/>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31" t="s">
        <v>1691</v>
      </c>
      <c r="Q15" s="1263" t="str">
        <f t="shared" si="6"/>
        <v>产业集聚程度</v>
      </c>
      <c r="R15" s="667" t="s">
        <v>14</v>
      </c>
      <c r="S15" s="668">
        <f t="shared" si="0"/>
        <v>100</v>
      </c>
      <c r="T15" s="667" t="s">
        <v>14</v>
      </c>
      <c r="U15" s="668">
        <f t="shared" si="1"/>
        <v>100</v>
      </c>
      <c r="V15" s="667" t="s">
        <v>14</v>
      </c>
      <c r="W15" s="668">
        <f t="shared" si="2"/>
        <v>100</v>
      </c>
      <c r="X15" s="1265"/>
      <c r="Y15" s="333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32"/>
      <c r="Q16" s="1263"/>
      <c r="R16" s="667"/>
      <c r="S16" s="668"/>
      <c r="T16" s="667"/>
      <c r="U16" s="668"/>
      <c r="V16" s="667"/>
      <c r="W16" s="668"/>
      <c r="X16" s="1265"/>
      <c r="Y16" s="333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32"/>
      <c r="Q17" s="1263" t="str">
        <f>B17</f>
        <v>交通便捷度</v>
      </c>
      <c r="R17" s="667" t="s">
        <v>14</v>
      </c>
      <c r="S17" s="668">
        <f>F17</f>
        <v>100</v>
      </c>
      <c r="T17" s="667" t="s">
        <v>14</v>
      </c>
      <c r="U17" s="668">
        <f>H17</f>
        <v>100</v>
      </c>
      <c r="V17" s="667" t="s">
        <v>14</v>
      </c>
      <c r="W17" s="668">
        <f>J17</f>
        <v>100</v>
      </c>
      <c r="X17" s="1265"/>
      <c r="Y17" s="333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32"/>
      <c r="Q18" s="1263"/>
      <c r="R18" s="667"/>
      <c r="S18" s="668"/>
      <c r="T18" s="667"/>
      <c r="U18" s="668"/>
      <c r="V18" s="667"/>
      <c r="W18" s="668"/>
      <c r="X18" s="1265"/>
      <c r="Y18" s="333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32"/>
      <c r="Q19" s="1263" t="str">
        <f t="shared" ref="Q19:Q33" si="8">B19</f>
        <v>区域土地利用方向</v>
      </c>
      <c r="R19" s="667" t="s">
        <v>14</v>
      </c>
      <c r="S19" s="668">
        <f>F19</f>
        <v>100</v>
      </c>
      <c r="T19" s="667" t="s">
        <v>14</v>
      </c>
      <c r="U19" s="668">
        <f>H19</f>
        <v>100</v>
      </c>
      <c r="V19" s="667" t="s">
        <v>14</v>
      </c>
      <c r="W19" s="668">
        <f>J19</f>
        <v>100</v>
      </c>
      <c r="X19" s="1265"/>
      <c r="Y19" s="333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32"/>
      <c r="Q20" s="1263"/>
      <c r="R20" s="667"/>
      <c r="S20" s="668"/>
      <c r="T20" s="667"/>
      <c r="U20" s="668"/>
      <c r="V20" s="667"/>
      <c r="W20" s="668"/>
      <c r="X20" s="1265"/>
      <c r="Y20" s="333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32"/>
      <c r="Q21" s="1263" t="str">
        <f t="shared" si="8"/>
        <v>环境状况</v>
      </c>
      <c r="R21" s="667" t="s">
        <v>14</v>
      </c>
      <c r="S21" s="668">
        <f>F21</f>
        <v>100</v>
      </c>
      <c r="T21" s="667" t="s">
        <v>14</v>
      </c>
      <c r="U21" s="668">
        <f>H21</f>
        <v>100</v>
      </c>
      <c r="V21" s="667" t="s">
        <v>14</v>
      </c>
      <c r="W21" s="668">
        <f>J21</f>
        <v>100</v>
      </c>
      <c r="X21" s="1265"/>
      <c r="Y21" s="333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32"/>
      <c r="Q22" s="1263"/>
      <c r="R22" s="667"/>
      <c r="S22" s="668"/>
      <c r="T22" s="667"/>
      <c r="U22" s="668"/>
      <c r="V22" s="667"/>
      <c r="W22" s="668"/>
      <c r="X22" s="1265"/>
      <c r="Y22" s="333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32"/>
      <c r="Q23" s="530" t="str">
        <f t="shared" si="8"/>
        <v>公共配套设施</v>
      </c>
      <c r="R23" s="664" t="s">
        <v>14</v>
      </c>
      <c r="S23" s="665">
        <f>F23</f>
        <v>100</v>
      </c>
      <c r="T23" s="664" t="s">
        <v>14</v>
      </c>
      <c r="U23" s="665">
        <f>H23</f>
        <v>100</v>
      </c>
      <c r="V23" s="664" t="s">
        <v>14</v>
      </c>
      <c r="W23" s="665">
        <f>J23</f>
        <v>100</v>
      </c>
      <c r="X23" s="666"/>
      <c r="Y23" s="333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32"/>
      <c r="Q24" s="530"/>
      <c r="R24" s="664"/>
      <c r="S24" s="665"/>
      <c r="T24" s="664"/>
      <c r="U24" s="665"/>
      <c r="V24" s="664"/>
      <c r="W24" s="665"/>
      <c r="X24" s="666"/>
      <c r="Y24" s="333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32"/>
      <c r="Q25" s="530" t="str">
        <f t="shared" ref="Q25" si="9">B25</f>
        <v>基础设施水平</v>
      </c>
      <c r="R25" s="664" t="s">
        <v>14</v>
      </c>
      <c r="S25" s="665">
        <f>F25</f>
        <v>100</v>
      </c>
      <c r="T25" s="664" t="s">
        <v>14</v>
      </c>
      <c r="U25" s="665">
        <f>H25</f>
        <v>100</v>
      </c>
      <c r="V25" s="664" t="s">
        <v>14</v>
      </c>
      <c r="W25" s="665">
        <f>J25</f>
        <v>100</v>
      </c>
      <c r="X25" s="666"/>
      <c r="Y25" s="333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32"/>
      <c r="Q26" s="530"/>
      <c r="R26" s="664"/>
      <c r="S26" s="665"/>
      <c r="T26" s="664"/>
      <c r="U26" s="665"/>
      <c r="V26" s="664"/>
      <c r="W26" s="665"/>
      <c r="X26" s="666"/>
      <c r="Y26" s="33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3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32"/>
      <c r="Q28" s="1263" t="str">
        <f t="shared" si="8"/>
        <v>毗邻道路的类型与等级</v>
      </c>
      <c r="R28" s="667" t="s">
        <v>14</v>
      </c>
      <c r="S28" s="668">
        <f t="shared" si="10"/>
        <v>100</v>
      </c>
      <c r="T28" s="667" t="s">
        <v>14</v>
      </c>
      <c r="U28" s="668">
        <f t="shared" si="11"/>
        <v>100</v>
      </c>
      <c r="V28" s="667" t="s">
        <v>14</v>
      </c>
      <c r="W28" s="668">
        <f t="shared" si="12"/>
        <v>100</v>
      </c>
      <c r="X28" s="1265"/>
      <c r="Y28" s="333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32"/>
      <c r="Q29" s="1263"/>
      <c r="R29" s="667"/>
      <c r="S29" s="668"/>
      <c r="T29" s="667"/>
      <c r="U29" s="668"/>
      <c r="V29" s="667"/>
      <c r="W29" s="668"/>
      <c r="X29" s="1265"/>
      <c r="Y29" s="33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32"/>
      <c r="Q30" s="1263" t="str">
        <f t="shared" si="8"/>
        <v>土地级别</v>
      </c>
      <c r="R30" s="667" t="s">
        <v>14</v>
      </c>
      <c r="S30" s="668">
        <f t="shared" si="10"/>
        <v>100</v>
      </c>
      <c r="T30" s="667" t="s">
        <v>14</v>
      </c>
      <c r="U30" s="668">
        <f t="shared" si="11"/>
        <v>100</v>
      </c>
      <c r="V30" s="667" t="s">
        <v>14</v>
      </c>
      <c r="W30" s="668">
        <f t="shared" si="12"/>
        <v>100</v>
      </c>
      <c r="X30" s="1265"/>
      <c r="Y30" s="33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32"/>
      <c r="Q31" s="1263">
        <f t="shared" si="8"/>
        <v>111</v>
      </c>
      <c r="R31" s="667" t="s">
        <v>14</v>
      </c>
      <c r="S31" s="668">
        <f t="shared" si="10"/>
        <v>100</v>
      </c>
      <c r="T31" s="667" t="s">
        <v>14</v>
      </c>
      <c r="U31" s="668">
        <f t="shared" si="11"/>
        <v>100</v>
      </c>
      <c r="V31" s="667" t="s">
        <v>14</v>
      </c>
      <c r="W31" s="668">
        <f t="shared" si="12"/>
        <v>100</v>
      </c>
      <c r="X31" s="1265"/>
      <c r="Y31" s="333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55" t="s">
        <v>1696</v>
      </c>
      <c r="Q32" s="1263">
        <f t="shared" si="8"/>
        <v>111</v>
      </c>
      <c r="R32" s="667" t="s">
        <v>14</v>
      </c>
      <c r="S32" s="668">
        <f t="shared" si="10"/>
        <v>100</v>
      </c>
      <c r="T32" s="667" t="s">
        <v>14</v>
      </c>
      <c r="U32" s="668">
        <f t="shared" si="11"/>
        <v>100</v>
      </c>
      <c r="V32" s="667" t="s">
        <v>14</v>
      </c>
      <c r="W32" s="668">
        <f t="shared" si="12"/>
        <v>100</v>
      </c>
      <c r="X32" s="1265"/>
      <c r="Y32" s="333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36"/>
      <c r="Q33" s="1263">
        <f t="shared" si="8"/>
        <v>111</v>
      </c>
      <c r="R33" s="669" t="s">
        <v>14</v>
      </c>
      <c r="S33" s="670">
        <f t="shared" si="10"/>
        <v>100</v>
      </c>
      <c r="T33" s="669" t="s">
        <v>14</v>
      </c>
      <c r="U33" s="670">
        <f t="shared" si="11"/>
        <v>100</v>
      </c>
      <c r="V33" s="669" t="s">
        <v>14</v>
      </c>
      <c r="W33" s="670">
        <f t="shared" si="12"/>
        <v>100</v>
      </c>
      <c r="X33" s="671"/>
      <c r="Y33" s="333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36"/>
      <c r="Q34" s="1263" t="str">
        <f>B34</f>
        <v>宗地面积</v>
      </c>
      <c r="R34" s="667" t="s">
        <v>14</v>
      </c>
      <c r="S34" s="668" t="e">
        <f t="shared" si="10"/>
        <v>#N/A</v>
      </c>
      <c r="T34" s="667" t="s">
        <v>14</v>
      </c>
      <c r="U34" s="668" t="e">
        <f t="shared" si="11"/>
        <v>#N/A</v>
      </c>
      <c r="V34" s="667" t="s">
        <v>14</v>
      </c>
      <c r="W34" s="668" t="e">
        <f t="shared" si="12"/>
        <v>#N/A</v>
      </c>
      <c r="X34" s="1265"/>
      <c r="Y34" s="333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36"/>
      <c r="Q35" s="1263" t="str">
        <f t="shared" ref="Q35:Q40" si="14">B35</f>
        <v>宗地形状</v>
      </c>
      <c r="R35" s="667" t="s">
        <v>14</v>
      </c>
      <c r="S35" s="668">
        <f t="shared" si="10"/>
        <v>100</v>
      </c>
      <c r="T35" s="667" t="s">
        <v>14</v>
      </c>
      <c r="U35" s="668">
        <f t="shared" si="11"/>
        <v>100</v>
      </c>
      <c r="V35" s="667" t="s">
        <v>14</v>
      </c>
      <c r="W35" s="668">
        <f t="shared" si="12"/>
        <v>100</v>
      </c>
      <c r="X35" s="1265"/>
      <c r="Y35" s="333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36"/>
      <c r="Q36" s="1263" t="str">
        <f t="shared" si="14"/>
        <v>宗地开发程度</v>
      </c>
      <c r="R36" s="664" t="s">
        <v>14</v>
      </c>
      <c r="S36" s="665">
        <f t="shared" si="10"/>
        <v>100</v>
      </c>
      <c r="T36" s="664" t="s">
        <v>14</v>
      </c>
      <c r="U36" s="665">
        <f t="shared" si="11"/>
        <v>100</v>
      </c>
      <c r="V36" s="664" t="s">
        <v>14</v>
      </c>
      <c r="W36" s="665">
        <f t="shared" si="12"/>
        <v>100</v>
      </c>
      <c r="X36" s="666"/>
      <c r="Y36" s="333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36" t="s">
        <v>1696</v>
      </c>
      <c r="Q37" s="1263" t="str">
        <f t="shared" si="14"/>
        <v>工程地质条件</v>
      </c>
      <c r="R37" s="667" t="s">
        <v>14</v>
      </c>
      <c r="S37" s="668">
        <f t="shared" si="10"/>
        <v>100</v>
      </c>
      <c r="T37" s="667" t="s">
        <v>14</v>
      </c>
      <c r="U37" s="668">
        <f t="shared" si="11"/>
        <v>100</v>
      </c>
      <c r="V37" s="667" t="s">
        <v>14</v>
      </c>
      <c r="W37" s="668">
        <f t="shared" si="12"/>
        <v>100</v>
      </c>
      <c r="X37" s="1265"/>
      <c r="Y37" s="333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36"/>
      <c r="Q38" s="1263">
        <f t="shared" si="14"/>
        <v>111</v>
      </c>
      <c r="R38" s="667" t="s">
        <v>14</v>
      </c>
      <c r="S38" s="668">
        <f t="shared" si="10"/>
        <v>100</v>
      </c>
      <c r="T38" s="667" t="s">
        <v>14</v>
      </c>
      <c r="U38" s="668">
        <f t="shared" si="11"/>
        <v>100</v>
      </c>
      <c r="V38" s="667" t="s">
        <v>14</v>
      </c>
      <c r="W38" s="668">
        <f t="shared" si="12"/>
        <v>100</v>
      </c>
      <c r="X38" s="1265"/>
      <c r="Y38" s="33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36"/>
      <c r="Q39" s="1263">
        <f t="shared" si="14"/>
        <v>111</v>
      </c>
      <c r="R39" s="667" t="s">
        <v>14</v>
      </c>
      <c r="S39" s="668">
        <f t="shared" si="10"/>
        <v>100</v>
      </c>
      <c r="T39" s="667" t="s">
        <v>14</v>
      </c>
      <c r="U39" s="668">
        <f t="shared" si="11"/>
        <v>100</v>
      </c>
      <c r="V39" s="667" t="s">
        <v>14</v>
      </c>
      <c r="W39" s="668">
        <f t="shared" si="12"/>
        <v>100</v>
      </c>
      <c r="X39" s="1265"/>
      <c r="Y39" s="333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36"/>
      <c r="Q40" s="1263">
        <f t="shared" si="14"/>
        <v>111</v>
      </c>
      <c r="R40" s="669" t="s">
        <v>14</v>
      </c>
      <c r="S40" s="670">
        <f t="shared" si="10"/>
        <v>100</v>
      </c>
      <c r="T40" s="669" t="s">
        <v>14</v>
      </c>
      <c r="U40" s="670">
        <f t="shared" si="11"/>
        <v>100</v>
      </c>
      <c r="V40" s="669" t="s">
        <v>14</v>
      </c>
      <c r="W40" s="670">
        <f t="shared" si="12"/>
        <v>100</v>
      </c>
      <c r="X40" s="671"/>
      <c r="Y40" s="333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30" t="str">
        <f>A41</f>
        <v>成交单价</v>
      </c>
      <c r="Q41" s="3330"/>
      <c r="R41" s="3325">
        <f>E41</f>
        <v>0</v>
      </c>
      <c r="S41" s="3325"/>
      <c r="T41" s="3325">
        <f>G41</f>
        <v>0</v>
      </c>
      <c r="U41" s="3325"/>
      <c r="V41" s="3325">
        <f>I41</f>
        <v>0</v>
      </c>
      <c r="W41" s="3325"/>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30" t="str">
        <f>A42</f>
        <v>比较价值（元/平方米）</v>
      </c>
      <c r="Q42" s="3330"/>
      <c r="R42" s="3357" t="e">
        <f>ROUND(PRODUCT(R41,AA7:AA40),0)</f>
        <v>#DIV/0!</v>
      </c>
      <c r="S42" s="3357"/>
      <c r="T42" s="3357" t="e">
        <f>ROUND(PRODUCT(T41,AB7:AB40),0)</f>
        <v>#DIV/0!</v>
      </c>
      <c r="U42" s="3357"/>
      <c r="V42" s="3357" t="e">
        <f>ROUND(PRODUCT(V41,AC7:AC40),0)</f>
        <v>#DIV/0!</v>
      </c>
      <c r="W42" s="33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27" t="str">
        <f>A43</f>
        <v>估价对象XX用房的比较价值（楼面单价，元/平方米）</v>
      </c>
      <c r="Q43" s="3328"/>
      <c r="R43" s="3358" t="e">
        <f>ROUND(IF(D42="简单平均",AVERAGE(R42:W42),R42*F42+T42*H42+V42*J42),0)</f>
        <v>#DIV/0!</v>
      </c>
      <c r="S43" s="3358"/>
      <c r="T43" s="3358"/>
      <c r="U43" s="3358"/>
      <c r="V43" s="3358"/>
      <c r="W43" s="335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13" t="s">
        <v>1887</v>
      </c>
      <c r="H50" s="335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11"/>
      <c r="H51" s="333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371"/>
      <c r="B4" s="3372"/>
      <c r="C4" s="3372"/>
      <c r="D4" s="3373"/>
      <c r="E4" s="3373"/>
      <c r="F4" s="3373"/>
      <c r="G4" s="3373"/>
      <c r="H4" s="3373"/>
      <c r="I4" s="3373"/>
      <c r="J4" s="33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8" t="s">
        <v>1960</v>
      </c>
      <c r="X8" s="33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70"/>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5" t="s">
        <v>3253</v>
      </c>
      <c r="B20" s="159" t="s">
        <v>1994</v>
      </c>
      <c r="C20" s="3032" t="e">
        <f>ROUND(IF(F21="与级别开发程度一致",0,(G21-E21)/C21),0)</f>
        <v>#DIV/0!</v>
      </c>
      <c r="D20" s="3047" t="s">
        <v>1998</v>
      </c>
      <c r="E20" s="3048"/>
      <c r="F20" s="3381" t="s">
        <v>1995</v>
      </c>
      <c r="G20" s="33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3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45845</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0"/>
      <c r="B39" s="1884" t="s">
        <v>3258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7" t="s">
        <v>3293</v>
      </c>
      <c r="B103" s="3377"/>
      <c r="C103" s="3377"/>
      <c r="D103" s="3377"/>
      <c r="E103" s="3377"/>
      <c r="F103" s="3377"/>
      <c r="G103" s="3377"/>
      <c r="H103" s="3377"/>
      <c r="I103" s="3377"/>
      <c r="J103" s="3377"/>
      <c r="K103" s="1667"/>
      <c r="L103" s="1667"/>
      <c r="M103" s="1667"/>
      <c r="N103" s="1667"/>
    </row>
    <row r="104" spans="1:14">
      <c r="A104" s="3378" t="s">
        <v>3294</v>
      </c>
      <c r="B104" s="3378" t="s">
        <v>3295</v>
      </c>
      <c r="C104" s="3091" t="s">
        <v>3296</v>
      </c>
      <c r="D104" s="3092"/>
      <c r="E104" s="3092"/>
      <c r="F104" s="3092"/>
      <c r="G104" s="3092"/>
      <c r="H104" s="3092"/>
      <c r="I104" s="3092"/>
      <c r="J104" s="3093"/>
      <c r="K104" s="3094"/>
      <c r="L104" s="3094"/>
      <c r="M104" s="3094"/>
      <c r="N104" s="3094"/>
    </row>
    <row r="105" spans="1:14">
      <c r="A105" s="3378"/>
      <c r="B105" s="3378"/>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64"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5"/>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7" t="s">
        <v>3310</v>
      </c>
      <c r="B113" s="3367"/>
      <c r="C113" s="3367"/>
      <c r="D113" s="3367"/>
      <c r="E113" s="3367"/>
      <c r="F113" s="3367"/>
      <c r="G113" s="3367"/>
      <c r="H113" s="3367"/>
      <c r="I113" s="3367"/>
      <c r="J113" s="33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393" t="s">
        <v>2606</v>
      </c>
      <c r="B20" s="3383" t="s">
        <v>2627</v>
      </c>
      <c r="C20" s="3169" t="s">
        <v>2438</v>
      </c>
      <c r="D20" s="3169"/>
      <c r="E20" s="2845">
        <v>1</v>
      </c>
      <c r="F20" s="2846" t="s">
        <v>2439</v>
      </c>
      <c r="G20" s="2846"/>
    </row>
    <row r="21" spans="1:13" ht="19.5" customHeight="1">
      <c r="A21" s="3394"/>
      <c r="B21" s="3384"/>
      <c r="C21" s="2858" t="s">
        <v>2440</v>
      </c>
      <c r="D21" s="2858"/>
      <c r="E21" s="2849">
        <v>1</v>
      </c>
      <c r="F21" s="2846" t="s">
        <v>2441</v>
      </c>
      <c r="G21" s="2846"/>
    </row>
    <row r="22" spans="1:13" ht="19.5" customHeight="1">
      <c r="A22" s="3394"/>
      <c r="B22" s="3384"/>
      <c r="C22" s="2858" t="s">
        <v>2442</v>
      </c>
      <c r="D22" s="2858"/>
      <c r="E22" s="2849">
        <v>0.9</v>
      </c>
      <c r="F22" s="2846" t="s">
        <v>2443</v>
      </c>
      <c r="G22" s="2846"/>
    </row>
    <row r="23" spans="1:13" ht="19.5" customHeight="1">
      <c r="A23" s="3394"/>
      <c r="B23" s="3384"/>
      <c r="C23" s="2858" t="s">
        <v>2444</v>
      </c>
      <c r="D23" s="2858"/>
      <c r="E23" s="2849">
        <v>0.9</v>
      </c>
      <c r="F23" s="2846" t="s">
        <v>2445</v>
      </c>
      <c r="G23" s="2846"/>
    </row>
    <row r="24" spans="1:13" ht="19.5" customHeight="1">
      <c r="A24" s="3394"/>
      <c r="B24" s="3384"/>
      <c r="C24" s="2858" t="s">
        <v>2446</v>
      </c>
      <c r="D24" s="2858"/>
      <c r="E24" s="2849">
        <v>0.8</v>
      </c>
      <c r="F24" s="2846" t="s">
        <v>2447</v>
      </c>
      <c r="G24" s="2846"/>
    </row>
    <row r="25" spans="1:13" ht="19.5" customHeight="1">
      <c r="A25" s="3394"/>
      <c r="B25" s="3384"/>
      <c r="C25" s="2858" t="s">
        <v>2448</v>
      </c>
      <c r="D25" s="2858"/>
      <c r="E25" s="2849">
        <v>0.8</v>
      </c>
      <c r="F25" s="2846"/>
      <c r="G25" s="2846"/>
    </row>
    <row r="26" spans="1:13" ht="19.5" customHeight="1">
      <c r="A26" s="3394"/>
      <c r="B26" s="3384"/>
      <c r="C26" s="2858" t="s">
        <v>3411</v>
      </c>
      <c r="D26" s="2858"/>
      <c r="E26" s="2849">
        <v>0.43</v>
      </c>
      <c r="F26" s="2846"/>
      <c r="G26" s="2846"/>
    </row>
    <row r="27" spans="1:13" ht="19.5" customHeight="1" thickBot="1">
      <c r="A27" s="3395"/>
      <c r="B27" s="3385"/>
      <c r="C27" s="3165" t="s">
        <v>3412</v>
      </c>
      <c r="D27" s="3165"/>
      <c r="E27" s="2852">
        <f>E26*0.9</f>
        <v>0.38700000000000001</v>
      </c>
      <c r="F27" s="2846" t="s">
        <v>2449</v>
      </c>
      <c r="G27" s="2846"/>
    </row>
    <row r="28" spans="1:13" ht="19.5" customHeight="1" thickBot="1">
      <c r="A28" s="3164" t="s">
        <v>2628</v>
      </c>
      <c r="B28" s="3163" t="s">
        <v>2627</v>
      </c>
      <c r="C28" s="3166" t="s">
        <v>2629</v>
      </c>
      <c r="D28" s="3167"/>
      <c r="E28" s="3168">
        <v>1</v>
      </c>
      <c r="F28" s="2846" t="s">
        <v>2450</v>
      </c>
      <c r="G28" s="2846"/>
    </row>
    <row r="29" spans="1:13" ht="19.5" customHeight="1">
      <c r="A29" s="3386" t="s">
        <v>2630</v>
      </c>
      <c r="B29" s="3389" t="s">
        <v>2611</v>
      </c>
      <c r="C29" s="2843" t="s">
        <v>2451</v>
      </c>
      <c r="D29" s="2844"/>
      <c r="E29" s="2845">
        <v>1</v>
      </c>
      <c r="F29" s="2846" t="s">
        <v>2452</v>
      </c>
      <c r="G29" s="2846"/>
    </row>
    <row r="30" spans="1:13" ht="19.5" customHeight="1">
      <c r="A30" s="3387"/>
      <c r="B30" s="3390"/>
      <c r="C30" s="2847" t="s">
        <v>2453</v>
      </c>
      <c r="D30" s="2848"/>
      <c r="E30" s="2849">
        <v>1</v>
      </c>
      <c r="F30" s="2846" t="s">
        <v>2454</v>
      </c>
      <c r="G30" s="2846"/>
    </row>
    <row r="31" spans="1:13" ht="19.5" customHeight="1">
      <c r="A31" s="3387"/>
      <c r="B31" s="3390"/>
      <c r="C31" s="2847" t="s">
        <v>2455</v>
      </c>
      <c r="D31" s="2848"/>
      <c r="E31" s="2849">
        <v>0.8</v>
      </c>
      <c r="F31" s="2846" t="s">
        <v>2456</v>
      </c>
      <c r="G31" s="2846"/>
    </row>
    <row r="32" spans="1:13" ht="19.5" customHeight="1">
      <c r="A32" s="3387"/>
      <c r="B32" s="3390"/>
      <c r="C32" s="2847" t="s">
        <v>2457</v>
      </c>
      <c r="D32" s="2848"/>
      <c r="E32" s="2849">
        <v>0.8</v>
      </c>
      <c r="F32" s="2846" t="s">
        <v>2458</v>
      </c>
      <c r="G32" s="2846"/>
    </row>
    <row r="33" spans="1:7" ht="19.5" customHeight="1">
      <c r="A33" s="3387"/>
      <c r="B33" s="3390"/>
      <c r="C33" s="2847" t="s">
        <v>2459</v>
      </c>
      <c r="D33" s="2848"/>
      <c r="E33" s="2849">
        <v>0.8</v>
      </c>
      <c r="F33" s="2846" t="s">
        <v>2460</v>
      </c>
      <c r="G33" s="2846"/>
    </row>
    <row r="34" spans="1:7" ht="19.5" customHeight="1">
      <c r="A34" s="3387"/>
      <c r="B34" s="3390"/>
      <c r="C34" s="2847" t="s">
        <v>2461</v>
      </c>
      <c r="D34" s="2848"/>
      <c r="E34" s="2849">
        <v>0.7</v>
      </c>
      <c r="F34" s="2846" t="s">
        <v>2462</v>
      </c>
      <c r="G34" s="2846"/>
    </row>
    <row r="35" spans="1:7" ht="19.5" customHeight="1">
      <c r="A35" s="3387"/>
      <c r="B35" s="3390"/>
      <c r="C35" s="2847" t="s">
        <v>2463</v>
      </c>
      <c r="D35" s="2848"/>
      <c r="E35" s="2849">
        <v>0.8</v>
      </c>
      <c r="F35" s="2846" t="s">
        <v>2464</v>
      </c>
      <c r="G35" s="2846"/>
    </row>
    <row r="36" spans="1:7" ht="19.5" customHeight="1">
      <c r="A36" s="3387"/>
      <c r="B36" s="3390"/>
      <c r="C36" s="2847" t="s">
        <v>2465</v>
      </c>
      <c r="D36" s="2848"/>
      <c r="E36" s="2849">
        <v>0.6</v>
      </c>
      <c r="F36" s="2846" t="s">
        <v>2466</v>
      </c>
      <c r="G36" s="2846"/>
    </row>
    <row r="37" spans="1:7" ht="19.5" customHeight="1">
      <c r="A37" s="3387"/>
      <c r="B37" s="3390"/>
      <c r="C37" s="2847" t="s">
        <v>2467</v>
      </c>
      <c r="D37" s="2848"/>
      <c r="E37" s="2849">
        <v>0.2</v>
      </c>
      <c r="F37" s="2846" t="s">
        <v>2468</v>
      </c>
      <c r="G37" s="2846"/>
    </row>
    <row r="38" spans="1:7" ht="19.5" customHeight="1">
      <c r="A38" s="3387"/>
      <c r="B38" s="3390"/>
      <c r="C38" s="2847" t="s">
        <v>2469</v>
      </c>
      <c r="D38" s="2848"/>
      <c r="E38" s="2849">
        <v>0.2</v>
      </c>
      <c r="F38" s="2846" t="s">
        <v>2470</v>
      </c>
      <c r="G38" s="2846"/>
    </row>
    <row r="39" spans="1:7" ht="19.5" customHeight="1">
      <c r="A39" s="3387"/>
      <c r="B39" s="3391" t="s">
        <v>2631</v>
      </c>
      <c r="C39" s="2847" t="s">
        <v>2471</v>
      </c>
      <c r="D39" s="2848"/>
      <c r="E39" s="2849">
        <v>0.6</v>
      </c>
      <c r="F39" s="2846" t="s">
        <v>2472</v>
      </c>
      <c r="G39" s="2846"/>
    </row>
    <row r="40" spans="1:7" ht="19.5" customHeight="1">
      <c r="A40" s="3387"/>
      <c r="B40" s="3390"/>
      <c r="C40" s="2847" t="s">
        <v>2473</v>
      </c>
      <c r="D40" s="2848"/>
      <c r="E40" s="2849">
        <v>0.6</v>
      </c>
      <c r="F40" s="2846" t="s">
        <v>2474</v>
      </c>
      <c r="G40" s="2846"/>
    </row>
    <row r="41" spans="1:7" ht="19.5" customHeight="1" thickBot="1">
      <c r="A41" s="3388"/>
      <c r="B41" s="3392"/>
      <c r="C41" s="2850" t="s">
        <v>2475</v>
      </c>
      <c r="D41" s="2851"/>
      <c r="E41" s="2852">
        <v>0.6</v>
      </c>
      <c r="F41" s="2846" t="s">
        <v>2476</v>
      </c>
      <c r="G41" s="2846"/>
    </row>
    <row r="42" spans="1:7" ht="19.5" customHeight="1" thickBot="1">
      <c r="A42" s="2853" t="s">
        <v>2608</v>
      </c>
      <c r="B42" s="2854" t="s">
        <v>2608</v>
      </c>
      <c r="C42" s="2855" t="s">
        <v>2632</v>
      </c>
      <c r="D42" s="2856"/>
      <c r="E42" s="2857">
        <v>1</v>
      </c>
      <c r="F42" s="2846" t="s">
        <v>2477</v>
      </c>
      <c r="G42" s="2846"/>
    </row>
    <row r="43" spans="1:7" ht="19.5" customHeight="1">
      <c r="A43" s="3393" t="s">
        <v>2609</v>
      </c>
      <c r="B43" s="3389" t="s">
        <v>2633</v>
      </c>
      <c r="C43" s="2843" t="s">
        <v>2478</v>
      </c>
      <c r="D43" s="2844"/>
      <c r="E43" s="2845">
        <v>1</v>
      </c>
      <c r="F43" s="2846" t="s">
        <v>2479</v>
      </c>
      <c r="G43" s="2846"/>
    </row>
    <row r="44" spans="1:7" ht="19.5" customHeight="1">
      <c r="A44" s="3394"/>
      <c r="B44" s="3390"/>
      <c r="C44" s="2847" t="s">
        <v>2480</v>
      </c>
      <c r="D44" s="2848"/>
      <c r="E44" s="2849">
        <v>1</v>
      </c>
      <c r="F44" s="2846" t="s">
        <v>2481</v>
      </c>
      <c r="G44" s="2846"/>
    </row>
    <row r="45" spans="1:7" ht="19.5" customHeight="1">
      <c r="A45" s="3394"/>
      <c r="B45" s="3396"/>
      <c r="C45" s="2847" t="s">
        <v>2482</v>
      </c>
      <c r="D45" s="2848"/>
      <c r="E45" s="2849">
        <v>1.5</v>
      </c>
      <c r="F45" s="2846" t="s">
        <v>2483</v>
      </c>
      <c r="G45" s="2846"/>
    </row>
    <row r="46" spans="1:7" ht="19.5" customHeight="1">
      <c r="A46" s="3394"/>
      <c r="B46" s="2858" t="s">
        <v>2634</v>
      </c>
      <c r="C46" s="2847" t="s">
        <v>2635</v>
      </c>
      <c r="D46" s="2848"/>
      <c r="E46" s="2849">
        <v>2</v>
      </c>
      <c r="F46" s="2846" t="s">
        <v>2484</v>
      </c>
      <c r="G46" s="2846"/>
    </row>
    <row r="47" spans="1:7" ht="19.5" customHeight="1">
      <c r="A47" s="3394"/>
      <c r="B47" s="3391" t="s">
        <v>2636</v>
      </c>
      <c r="C47" s="2847" t="s">
        <v>2485</v>
      </c>
      <c r="D47" s="2848"/>
      <c r="E47" s="2849">
        <v>1</v>
      </c>
      <c r="F47" s="2846" t="s">
        <v>2486</v>
      </c>
      <c r="G47" s="2846"/>
    </row>
    <row r="48" spans="1:7" ht="19.5" customHeight="1">
      <c r="A48" s="3394"/>
      <c r="B48" s="3390"/>
      <c r="C48" s="2847" t="s">
        <v>2487</v>
      </c>
      <c r="D48" s="2848"/>
      <c r="E48" s="2849">
        <v>1</v>
      </c>
      <c r="F48" s="2846" t="s">
        <v>2488</v>
      </c>
      <c r="G48" s="2846"/>
    </row>
    <row r="49" spans="1:7" ht="19.5" customHeight="1">
      <c r="A49" s="3394"/>
      <c r="B49" s="3390"/>
      <c r="C49" s="2847" t="s">
        <v>2489</v>
      </c>
      <c r="D49" s="2848"/>
      <c r="E49" s="2849">
        <v>1</v>
      </c>
      <c r="F49" s="2846" t="s">
        <v>2490</v>
      </c>
      <c r="G49" s="2846"/>
    </row>
    <row r="50" spans="1:7" ht="19.5" customHeight="1">
      <c r="A50" s="3394"/>
      <c r="B50" s="3390"/>
      <c r="C50" s="2847" t="s">
        <v>2491</v>
      </c>
      <c r="D50" s="2848"/>
      <c r="E50" s="2849">
        <v>1</v>
      </c>
      <c r="F50" s="2846" t="s">
        <v>2492</v>
      </c>
      <c r="G50" s="2846"/>
    </row>
    <row r="51" spans="1:7" ht="19.5" customHeight="1">
      <c r="A51" s="3394"/>
      <c r="B51" s="3390"/>
      <c r="C51" s="2847" t="s">
        <v>2493</v>
      </c>
      <c r="D51" s="2848"/>
      <c r="E51" s="2849">
        <v>1</v>
      </c>
      <c r="F51" s="2846" t="s">
        <v>2494</v>
      </c>
      <c r="G51" s="2846"/>
    </row>
    <row r="52" spans="1:7" ht="19.5" customHeight="1">
      <c r="A52" s="3394"/>
      <c r="B52" s="3390"/>
      <c r="C52" s="2847" t="s">
        <v>2495</v>
      </c>
      <c r="D52" s="2848"/>
      <c r="E52" s="2849">
        <v>1</v>
      </c>
      <c r="F52" s="2846" t="s">
        <v>2496</v>
      </c>
      <c r="G52" s="2846"/>
    </row>
    <row r="53" spans="1:7" ht="19.5" customHeight="1" thickBot="1">
      <c r="A53" s="3395"/>
      <c r="B53" s="3392"/>
      <c r="C53" s="2850" t="s">
        <v>2497</v>
      </c>
      <c r="D53" s="2851"/>
      <c r="E53" s="2852">
        <v>1</v>
      </c>
      <c r="F53" s="2846" t="s">
        <v>2498</v>
      </c>
      <c r="G53" s="2846"/>
    </row>
    <row r="54" spans="1:7" ht="19.5" customHeight="1">
      <c r="A54" s="2859"/>
      <c r="B54" s="2859"/>
      <c r="C54" s="2859"/>
      <c r="D54" s="2859"/>
      <c r="E54" s="2859"/>
      <c r="F54" s="2859"/>
      <c r="G54" s="2859"/>
    </row>
    <row r="56" spans="1:7" ht="19.5" customHeight="1">
      <c r="A56" s="2860"/>
      <c r="B56" s="2832" t="s">
        <v>2637</v>
      </c>
      <c r="C56" s="2832" t="s">
        <v>2637</v>
      </c>
      <c r="D56" s="2832" t="s">
        <v>2637</v>
      </c>
      <c r="E56" s="2835" t="s">
        <v>2637</v>
      </c>
      <c r="F56" s="2835" t="s">
        <v>2638</v>
      </c>
      <c r="G56" s="2835" t="s">
        <v>2639</v>
      </c>
    </row>
    <row r="57" spans="1:7" ht="19.5" customHeight="1">
      <c r="A57" s="2861"/>
      <c r="B57" s="2835" t="s">
        <v>2606</v>
      </c>
      <c r="C57" s="2835" t="s">
        <v>2606</v>
      </c>
      <c r="D57" s="2835" t="s">
        <v>2606</v>
      </c>
      <c r="E57" s="2832" t="s">
        <v>2607</v>
      </c>
      <c r="F57" s="2832" t="s">
        <v>2609</v>
      </c>
      <c r="G57" s="2832" t="s">
        <v>2640</v>
      </c>
    </row>
    <row r="58" spans="1:7" ht="19.5" customHeight="1">
      <c r="A58" s="2862"/>
      <c r="B58" s="2832">
        <v>1</v>
      </c>
      <c r="C58" s="2832">
        <v>2</v>
      </c>
      <c r="D58" s="2832">
        <v>3</v>
      </c>
      <c r="E58" s="2863" t="s">
        <v>2641</v>
      </c>
      <c r="F58" s="2863" t="s">
        <v>2641</v>
      </c>
      <c r="G58" s="2863" t="s">
        <v>2641</v>
      </c>
    </row>
    <row r="59" spans="1:7" ht="19.5" customHeight="1">
      <c r="A59" s="2864" t="s">
        <v>2594</v>
      </c>
      <c r="B59" s="2832">
        <v>0.7</v>
      </c>
      <c r="C59" s="2832">
        <v>0.4</v>
      </c>
      <c r="D59" s="2832">
        <v>0.3</v>
      </c>
      <c r="E59" s="2863">
        <v>0.3</v>
      </c>
      <c r="F59" s="2832">
        <v>0.3</v>
      </c>
      <c r="G59" s="2832">
        <v>0.2</v>
      </c>
    </row>
    <row r="60" spans="1:7" ht="19.5" customHeight="1">
      <c r="A60" s="2864" t="s">
        <v>2595</v>
      </c>
      <c r="B60" s="2832">
        <v>0.7</v>
      </c>
      <c r="C60" s="2832">
        <v>0.4</v>
      </c>
      <c r="D60" s="2832">
        <v>0.3</v>
      </c>
      <c r="E60" s="2832">
        <v>0.3</v>
      </c>
      <c r="F60" s="2832">
        <v>0.3</v>
      </c>
      <c r="G60" s="2832">
        <v>0.2</v>
      </c>
    </row>
    <row r="61" spans="1:7" ht="19.5" customHeight="1">
      <c r="A61" s="2864" t="s">
        <v>2596</v>
      </c>
      <c r="B61" s="2832">
        <v>0.6</v>
      </c>
      <c r="C61" s="2832">
        <v>0.3</v>
      </c>
      <c r="D61" s="2832">
        <v>0.25</v>
      </c>
      <c r="E61" s="2832">
        <v>0.25</v>
      </c>
      <c r="F61" s="2832">
        <v>0.25</v>
      </c>
      <c r="G61" s="2832">
        <v>0.15</v>
      </c>
    </row>
    <row r="62" spans="1:7" ht="19.5" customHeight="1">
      <c r="A62" s="2864" t="s">
        <v>2597</v>
      </c>
      <c r="B62" s="2832">
        <v>0.6</v>
      </c>
      <c r="C62" s="2832">
        <v>0.3</v>
      </c>
      <c r="D62" s="2832">
        <v>0.25</v>
      </c>
      <c r="E62" s="2832">
        <v>0.25</v>
      </c>
      <c r="F62" s="2832">
        <v>0.25</v>
      </c>
      <c r="G62" s="2832">
        <v>0.15</v>
      </c>
    </row>
    <row r="63" spans="1:7" ht="19.5" customHeight="1">
      <c r="A63" s="2864" t="s">
        <v>2598</v>
      </c>
      <c r="B63" s="2832">
        <v>0.6</v>
      </c>
      <c r="C63" s="2832">
        <v>0.3</v>
      </c>
      <c r="D63" s="2832">
        <v>0.25</v>
      </c>
      <c r="E63" s="2832">
        <v>0.25</v>
      </c>
      <c r="F63" s="2832">
        <v>0.25</v>
      </c>
      <c r="G63" s="2832">
        <v>0.15</v>
      </c>
    </row>
    <row r="64" spans="1:7" ht="19.5" customHeight="1">
      <c r="A64" s="2864" t="s">
        <v>2599</v>
      </c>
      <c r="B64" s="2832">
        <v>0.6</v>
      </c>
      <c r="C64" s="2832">
        <v>0.3</v>
      </c>
      <c r="D64" s="2832">
        <v>0.25</v>
      </c>
      <c r="E64" s="2832">
        <v>0.25</v>
      </c>
      <c r="F64" s="2832">
        <v>0.25</v>
      </c>
      <c r="G64" s="2832">
        <v>0.15</v>
      </c>
    </row>
    <row r="65" spans="1:7" ht="19.5" customHeight="1">
      <c r="A65" s="2864" t="s">
        <v>2600</v>
      </c>
      <c r="B65" s="2832">
        <v>0.6</v>
      </c>
      <c r="C65" s="2832">
        <v>0.3</v>
      </c>
      <c r="D65" s="2832">
        <v>0.25</v>
      </c>
      <c r="E65" s="2832">
        <v>0.25</v>
      </c>
      <c r="F65" s="2832">
        <v>0.25</v>
      </c>
      <c r="G65" s="2832">
        <v>0.15</v>
      </c>
    </row>
    <row r="66" spans="1:7" ht="19.5" customHeight="1">
      <c r="A66" s="2864" t="s">
        <v>2601</v>
      </c>
      <c r="B66" s="2832">
        <v>0.5</v>
      </c>
      <c r="C66" s="2832">
        <v>0.2</v>
      </c>
      <c r="D66" s="2832">
        <v>0.2</v>
      </c>
      <c r="E66" s="2832">
        <v>0.2</v>
      </c>
      <c r="F66" s="2832">
        <v>0.2</v>
      </c>
      <c r="G66" s="2832">
        <v>0.1</v>
      </c>
    </row>
    <row r="67" spans="1:7" ht="19.5" customHeight="1">
      <c r="A67" s="2864" t="s">
        <v>2602</v>
      </c>
      <c r="B67" s="2832">
        <v>0.5</v>
      </c>
      <c r="C67" s="2832">
        <v>0.2</v>
      </c>
      <c r="D67" s="2832">
        <v>0.2</v>
      </c>
      <c r="E67" s="2832">
        <v>0.2</v>
      </c>
      <c r="F67" s="2832">
        <v>0.2</v>
      </c>
      <c r="G67" s="2832">
        <v>0.1</v>
      </c>
    </row>
    <row r="68" spans="1:7" ht="19.5" customHeight="1">
      <c r="A68" s="2864" t="s">
        <v>2603</v>
      </c>
      <c r="B68" s="2832">
        <v>0.5</v>
      </c>
      <c r="C68" s="2832">
        <v>0.2</v>
      </c>
      <c r="D68" s="2832">
        <v>0.2</v>
      </c>
      <c r="E68" s="2832">
        <v>0.2</v>
      </c>
      <c r="F68" s="2832">
        <v>0.2</v>
      </c>
      <c r="G68" s="2832">
        <v>0.1</v>
      </c>
    </row>
    <row r="69" spans="1:7" ht="19.5" customHeight="1">
      <c r="A69" s="2864" t="s">
        <v>2604</v>
      </c>
      <c r="B69" s="2832">
        <v>0.5</v>
      </c>
      <c r="C69" s="2832">
        <v>0.2</v>
      </c>
      <c r="D69" s="2832">
        <v>0.2</v>
      </c>
      <c r="E69" s="2832">
        <v>0.2</v>
      </c>
      <c r="F69" s="2832">
        <v>0.2</v>
      </c>
      <c r="G69" s="2832">
        <v>0.1</v>
      </c>
    </row>
    <row r="70" spans="1:7" ht="19.5" customHeight="1">
      <c r="A70" s="2864" t="s">
        <v>2605</v>
      </c>
      <c r="B70" s="2832">
        <v>0.5</v>
      </c>
      <c r="C70" s="2832">
        <v>0.2</v>
      </c>
      <c r="D70" s="2832">
        <v>0.2</v>
      </c>
      <c r="E70" s="2832">
        <v>0.2</v>
      </c>
      <c r="F70" s="2832">
        <v>0.2</v>
      </c>
      <c r="G70" s="2832">
        <v>0.1</v>
      </c>
    </row>
    <row r="72" spans="1:7" ht="19.5" customHeight="1">
      <c r="A72" s="2846"/>
      <c r="B72" s="2865"/>
      <c r="C72" s="2865"/>
      <c r="D72" s="2865" t="s">
        <v>2642</v>
      </c>
      <c r="E72" s="2865"/>
      <c r="F72" s="2865"/>
    </row>
    <row r="73" spans="1:7" ht="19.5" customHeight="1">
      <c r="A73" s="2858" t="s">
        <v>2643</v>
      </c>
      <c r="B73" s="2858" t="s">
        <v>2644</v>
      </c>
      <c r="C73" s="2858" t="s">
        <v>2645</v>
      </c>
      <c r="D73" s="2858" t="s">
        <v>2646</v>
      </c>
      <c r="E73" s="2858" t="s">
        <v>2647</v>
      </c>
      <c r="F73" s="2858" t="s">
        <v>2648</v>
      </c>
    </row>
    <row r="74" spans="1:7" ht="14.4">
      <c r="A74" s="2858"/>
      <c r="B74" s="2858"/>
      <c r="C74" s="2858" t="s">
        <v>2649</v>
      </c>
      <c r="D74" s="2858"/>
      <c r="E74" s="2858" t="s">
        <v>2620</v>
      </c>
      <c r="F74" s="2858" t="s">
        <v>2620</v>
      </c>
    </row>
    <row r="75" spans="1:7" ht="14.4">
      <c r="A75" s="2858">
        <v>1</v>
      </c>
      <c r="B75" s="3391" t="s">
        <v>2650</v>
      </c>
      <c r="C75" s="2832" t="s">
        <v>2651</v>
      </c>
      <c r="D75" s="2832" t="s">
        <v>2652</v>
      </c>
      <c r="E75" s="2858">
        <v>0.2</v>
      </c>
      <c r="F75" s="2858">
        <v>25</v>
      </c>
    </row>
    <row r="76" spans="1:7" ht="24">
      <c r="A76" s="2858">
        <v>2</v>
      </c>
      <c r="B76" s="3390"/>
      <c r="C76" s="2832" t="s">
        <v>2653</v>
      </c>
      <c r="D76" s="2832" t="s">
        <v>2654</v>
      </c>
      <c r="E76" s="2858">
        <v>0.2</v>
      </c>
      <c r="F76" s="2858">
        <v>25</v>
      </c>
    </row>
    <row r="77" spans="1:7" ht="24">
      <c r="A77" s="2858">
        <v>3</v>
      </c>
      <c r="B77" s="3390"/>
      <c r="C77" s="2832" t="s">
        <v>2655</v>
      </c>
      <c r="D77" s="2832" t="s">
        <v>2656</v>
      </c>
      <c r="E77" s="2858">
        <v>0.2</v>
      </c>
      <c r="F77" s="2858">
        <v>25</v>
      </c>
    </row>
    <row r="78" spans="1:7" ht="14.4">
      <c r="A78" s="2858">
        <v>4</v>
      </c>
      <c r="B78" s="3390"/>
      <c r="C78" s="2832" t="s">
        <v>2657</v>
      </c>
      <c r="D78" s="2832" t="s">
        <v>2658</v>
      </c>
      <c r="E78" s="2858">
        <v>0.15</v>
      </c>
      <c r="F78" s="2858">
        <v>20</v>
      </c>
    </row>
    <row r="79" spans="1:7" ht="24">
      <c r="A79" s="2858">
        <v>5</v>
      </c>
      <c r="B79" s="3390"/>
      <c r="C79" s="2832" t="s">
        <v>2659</v>
      </c>
      <c r="D79" s="2832" t="s">
        <v>2660</v>
      </c>
      <c r="E79" s="2858">
        <v>0.15</v>
      </c>
      <c r="F79" s="2858">
        <v>20</v>
      </c>
    </row>
    <row r="80" spans="1:7" ht="24">
      <c r="A80" s="2858">
        <v>6</v>
      </c>
      <c r="B80" s="3390"/>
      <c r="C80" s="2832" t="s">
        <v>2661</v>
      </c>
      <c r="D80" s="2832" t="s">
        <v>2662</v>
      </c>
      <c r="E80" s="2858">
        <v>0.15</v>
      </c>
      <c r="F80" s="2858">
        <v>20</v>
      </c>
    </row>
    <row r="81" spans="1:6" ht="24">
      <c r="A81" s="2858">
        <v>7</v>
      </c>
      <c r="B81" s="3390"/>
      <c r="C81" s="2832" t="s">
        <v>2663</v>
      </c>
      <c r="D81" s="2832" t="s">
        <v>2664</v>
      </c>
      <c r="E81" s="2858">
        <v>0.15</v>
      </c>
      <c r="F81" s="2858">
        <v>20</v>
      </c>
    </row>
    <row r="82" spans="1:6" ht="24">
      <c r="A82" s="2858">
        <v>8</v>
      </c>
      <c r="B82" s="3390"/>
      <c r="C82" s="2832" t="s">
        <v>2665</v>
      </c>
      <c r="D82" s="2832" t="s">
        <v>2666</v>
      </c>
      <c r="E82" s="2858">
        <v>0.1</v>
      </c>
      <c r="F82" s="2858">
        <v>15</v>
      </c>
    </row>
    <row r="83" spans="1:6" ht="24">
      <c r="A83" s="2858">
        <v>9</v>
      </c>
      <c r="B83" s="3390"/>
      <c r="C83" s="2832" t="s">
        <v>2667</v>
      </c>
      <c r="D83" s="2832" t="s">
        <v>2668</v>
      </c>
      <c r="E83" s="2858">
        <v>0.1</v>
      </c>
      <c r="F83" s="2858">
        <v>15</v>
      </c>
    </row>
    <row r="84" spans="1:6" ht="24">
      <c r="A84" s="2858">
        <v>10</v>
      </c>
      <c r="B84" s="3390"/>
      <c r="C84" s="2832" t="s">
        <v>2669</v>
      </c>
      <c r="D84" s="2832" t="s">
        <v>2670</v>
      </c>
      <c r="E84" s="2858">
        <v>0.1</v>
      </c>
      <c r="F84" s="2858">
        <v>15</v>
      </c>
    </row>
    <row r="85" spans="1:6" ht="24">
      <c r="A85" s="2858">
        <v>11</v>
      </c>
      <c r="B85" s="3390"/>
      <c r="C85" s="2832" t="s">
        <v>2671</v>
      </c>
      <c r="D85" s="2832" t="s">
        <v>2672</v>
      </c>
      <c r="E85" s="2858">
        <v>0.1</v>
      </c>
      <c r="F85" s="2858">
        <v>15</v>
      </c>
    </row>
    <row r="86" spans="1:6" ht="24">
      <c r="A86" s="2858">
        <v>12</v>
      </c>
      <c r="B86" s="3390"/>
      <c r="C86" s="2832" t="s">
        <v>2673</v>
      </c>
      <c r="D86" s="2832" t="s">
        <v>2674</v>
      </c>
      <c r="E86" s="2858">
        <v>0.1</v>
      </c>
      <c r="F86" s="2858">
        <v>15</v>
      </c>
    </row>
    <row r="87" spans="1:6" ht="24">
      <c r="A87" s="2858">
        <v>13</v>
      </c>
      <c r="B87" s="3390"/>
      <c r="C87" s="2832" t="s">
        <v>2675</v>
      </c>
      <c r="D87" s="2832" t="s">
        <v>2676</v>
      </c>
      <c r="E87" s="2858">
        <v>0.1</v>
      </c>
      <c r="F87" s="2858">
        <v>15</v>
      </c>
    </row>
    <row r="88" spans="1:6" ht="24">
      <c r="A88" s="2858">
        <v>14</v>
      </c>
      <c r="B88" s="3390"/>
      <c r="C88" s="2832" t="s">
        <v>2677</v>
      </c>
      <c r="D88" s="2832" t="s">
        <v>2678</v>
      </c>
      <c r="E88" s="2858">
        <v>0.1</v>
      </c>
      <c r="F88" s="2858">
        <v>15</v>
      </c>
    </row>
    <row r="89" spans="1:6" ht="24">
      <c r="A89" s="2858">
        <v>15</v>
      </c>
      <c r="B89" s="3390"/>
      <c r="C89" s="2832" t="s">
        <v>2679</v>
      </c>
      <c r="D89" s="2832" t="s">
        <v>2680</v>
      </c>
      <c r="E89" s="2858">
        <v>0.1</v>
      </c>
      <c r="F89" s="2858">
        <v>15</v>
      </c>
    </row>
    <row r="90" spans="1:6" ht="24">
      <c r="A90" s="2858">
        <v>16</v>
      </c>
      <c r="B90" s="3390"/>
      <c r="C90" s="2832" t="s">
        <v>2681</v>
      </c>
      <c r="D90" s="2832" t="s">
        <v>2682</v>
      </c>
      <c r="E90" s="2858">
        <v>0.1</v>
      </c>
      <c r="F90" s="2858">
        <v>15</v>
      </c>
    </row>
    <row r="91" spans="1:6" ht="24">
      <c r="A91" s="2858">
        <v>17</v>
      </c>
      <c r="B91" s="3396"/>
      <c r="C91" s="2832" t="s">
        <v>2683</v>
      </c>
      <c r="D91" s="2832" t="s">
        <v>2684</v>
      </c>
      <c r="E91" s="2858">
        <v>0.1</v>
      </c>
      <c r="F91" s="2858">
        <v>15</v>
      </c>
    </row>
    <row r="92" spans="1:6" ht="14.4">
      <c r="A92" s="2858">
        <v>18</v>
      </c>
      <c r="B92" s="3391" t="s">
        <v>2685</v>
      </c>
      <c r="C92" s="2832" t="s">
        <v>2686</v>
      </c>
      <c r="D92" s="2832" t="s">
        <v>2687</v>
      </c>
      <c r="E92" s="2858">
        <v>0.2</v>
      </c>
      <c r="F92" s="2858">
        <v>25</v>
      </c>
    </row>
    <row r="93" spans="1:6" ht="24">
      <c r="A93" s="2858">
        <v>19</v>
      </c>
      <c r="B93" s="3390"/>
      <c r="C93" s="2832" t="s">
        <v>2688</v>
      </c>
      <c r="D93" s="2832" t="s">
        <v>2689</v>
      </c>
      <c r="E93" s="2858">
        <v>0.2</v>
      </c>
      <c r="F93" s="2858">
        <v>25</v>
      </c>
    </row>
    <row r="94" spans="1:6" ht="14.4">
      <c r="A94" s="2858">
        <v>20</v>
      </c>
      <c r="B94" s="3390"/>
      <c r="C94" s="2832" t="s">
        <v>2690</v>
      </c>
      <c r="D94" s="2832" t="s">
        <v>2691</v>
      </c>
      <c r="E94" s="2858">
        <v>0.15</v>
      </c>
      <c r="F94" s="2858">
        <v>20</v>
      </c>
    </row>
    <row r="95" spans="1:6" ht="24">
      <c r="A95" s="2858">
        <v>21</v>
      </c>
      <c r="B95" s="3390"/>
      <c r="C95" s="2832" t="s">
        <v>2692</v>
      </c>
      <c r="D95" s="2832" t="s">
        <v>2693</v>
      </c>
      <c r="E95" s="2858">
        <v>0.15</v>
      </c>
      <c r="F95" s="2858">
        <v>20</v>
      </c>
    </row>
    <row r="96" spans="1:6" ht="24">
      <c r="A96" s="2858">
        <v>22</v>
      </c>
      <c r="B96" s="3390"/>
      <c r="C96" s="2832" t="s">
        <v>2694</v>
      </c>
      <c r="D96" s="2832" t="s">
        <v>2695</v>
      </c>
      <c r="E96" s="2858">
        <v>0.15</v>
      </c>
      <c r="F96" s="2858">
        <v>20</v>
      </c>
    </row>
    <row r="97" spans="1:6" ht="36">
      <c r="A97" s="2858">
        <v>23</v>
      </c>
      <c r="B97" s="3390"/>
      <c r="C97" s="2832" t="s">
        <v>2696</v>
      </c>
      <c r="D97" s="2832" t="s">
        <v>2697</v>
      </c>
      <c r="E97" s="2858">
        <v>0.15</v>
      </c>
      <c r="F97" s="2858">
        <v>20</v>
      </c>
    </row>
    <row r="98" spans="1:6" ht="24">
      <c r="A98" s="2858">
        <v>24</v>
      </c>
      <c r="B98" s="3390"/>
      <c r="C98" s="2832" t="s">
        <v>2698</v>
      </c>
      <c r="D98" s="2832" t="s">
        <v>2699</v>
      </c>
      <c r="E98" s="2858">
        <v>0.1</v>
      </c>
      <c r="F98" s="2858">
        <v>15</v>
      </c>
    </row>
    <row r="99" spans="1:6" ht="24">
      <c r="A99" s="2858">
        <v>25</v>
      </c>
      <c r="B99" s="3390"/>
      <c r="C99" s="2832" t="s">
        <v>2700</v>
      </c>
      <c r="D99" s="2832" t="s">
        <v>2701</v>
      </c>
      <c r="E99" s="2858">
        <v>0.1</v>
      </c>
      <c r="F99" s="2858">
        <v>15</v>
      </c>
    </row>
    <row r="100" spans="1:6" ht="24">
      <c r="A100" s="2858">
        <v>26</v>
      </c>
      <c r="B100" s="3390"/>
      <c r="C100" s="2832" t="s">
        <v>2702</v>
      </c>
      <c r="D100" s="2832" t="s">
        <v>2703</v>
      </c>
      <c r="E100" s="2858">
        <v>0.1</v>
      </c>
      <c r="F100" s="2858">
        <v>15</v>
      </c>
    </row>
    <row r="101" spans="1:6" ht="24">
      <c r="A101" s="2858">
        <v>27</v>
      </c>
      <c r="B101" s="3390"/>
      <c r="C101" s="2832" t="s">
        <v>2704</v>
      </c>
      <c r="D101" s="2832" t="s">
        <v>2705</v>
      </c>
      <c r="E101" s="2858">
        <v>0.1</v>
      </c>
      <c r="F101" s="2858">
        <v>15</v>
      </c>
    </row>
    <row r="102" spans="1:6" ht="24">
      <c r="A102" s="2858">
        <v>28</v>
      </c>
      <c r="B102" s="3390"/>
      <c r="C102" s="2832" t="s">
        <v>2706</v>
      </c>
      <c r="D102" s="2832" t="s">
        <v>2707</v>
      </c>
      <c r="E102" s="2858">
        <v>0.1</v>
      </c>
      <c r="F102" s="2858">
        <v>15</v>
      </c>
    </row>
    <row r="103" spans="1:6" ht="24">
      <c r="A103" s="2858">
        <v>29</v>
      </c>
      <c r="B103" s="3390"/>
      <c r="C103" s="2832" t="s">
        <v>2708</v>
      </c>
      <c r="D103" s="2832" t="s">
        <v>2709</v>
      </c>
      <c r="E103" s="2858">
        <v>0.1</v>
      </c>
      <c r="F103" s="2858">
        <v>15</v>
      </c>
    </row>
    <row r="104" spans="1:6" ht="24">
      <c r="A104" s="2858">
        <v>30</v>
      </c>
      <c r="B104" s="3390"/>
      <c r="C104" s="2832" t="s">
        <v>2710</v>
      </c>
      <c r="D104" s="2832" t="s">
        <v>2711</v>
      </c>
      <c r="E104" s="2858">
        <v>0.1</v>
      </c>
      <c r="F104" s="2858">
        <v>15</v>
      </c>
    </row>
    <row r="105" spans="1:6" ht="24">
      <c r="A105" s="2858">
        <v>31</v>
      </c>
      <c r="B105" s="3390"/>
      <c r="C105" s="2832" t="s">
        <v>2712</v>
      </c>
      <c r="D105" s="2832" t="s">
        <v>2713</v>
      </c>
      <c r="E105" s="2858">
        <v>0.1</v>
      </c>
      <c r="F105" s="2858">
        <v>15</v>
      </c>
    </row>
    <row r="106" spans="1:6" ht="24">
      <c r="A106" s="2858">
        <v>32</v>
      </c>
      <c r="B106" s="3390"/>
      <c r="C106" s="2832" t="s">
        <v>2714</v>
      </c>
      <c r="D106" s="2832" t="s">
        <v>2715</v>
      </c>
      <c r="E106" s="2858">
        <v>0.1</v>
      </c>
      <c r="F106" s="2858">
        <v>15</v>
      </c>
    </row>
    <row r="107" spans="1:6" ht="24">
      <c r="A107" s="2858">
        <v>33</v>
      </c>
      <c r="B107" s="3390"/>
      <c r="C107" s="2832" t="s">
        <v>2716</v>
      </c>
      <c r="D107" s="2832" t="s">
        <v>2717</v>
      </c>
      <c r="E107" s="2858">
        <v>0.1</v>
      </c>
      <c r="F107" s="2858">
        <v>15</v>
      </c>
    </row>
    <row r="108" spans="1:6" ht="24">
      <c r="A108" s="2858">
        <v>34</v>
      </c>
      <c r="B108" s="3396"/>
      <c r="C108" s="2832" t="s">
        <v>2718</v>
      </c>
      <c r="D108" s="2832" t="s">
        <v>2719</v>
      </c>
      <c r="E108" s="2858">
        <v>0.1</v>
      </c>
      <c r="F108" s="2858">
        <v>15</v>
      </c>
    </row>
    <row r="109" spans="1:6" ht="36">
      <c r="A109" s="2858">
        <v>35</v>
      </c>
      <c r="B109" s="3391" t="s">
        <v>2720</v>
      </c>
      <c r="C109" s="2858" t="s">
        <v>2721</v>
      </c>
      <c r="D109" s="2832" t="s">
        <v>2722</v>
      </c>
      <c r="E109" s="2858">
        <v>0.15</v>
      </c>
      <c r="F109" s="2858">
        <v>20</v>
      </c>
    </row>
    <row r="110" spans="1:6" ht="24">
      <c r="A110" s="2858">
        <v>36</v>
      </c>
      <c r="B110" s="3390"/>
      <c r="C110" s="2858" t="s">
        <v>2723</v>
      </c>
      <c r="D110" s="2832" t="s">
        <v>2724</v>
      </c>
      <c r="E110" s="2858">
        <v>0.15</v>
      </c>
      <c r="F110" s="2858">
        <v>20</v>
      </c>
    </row>
    <row r="111" spans="1:6" ht="24">
      <c r="A111" s="2858">
        <v>37</v>
      </c>
      <c r="B111" s="3390"/>
      <c r="C111" s="2858" t="s">
        <v>2725</v>
      </c>
      <c r="D111" s="2832" t="s">
        <v>2726</v>
      </c>
      <c r="E111" s="2858">
        <v>0.15</v>
      </c>
      <c r="F111" s="2858">
        <v>20</v>
      </c>
    </row>
    <row r="112" spans="1:6" ht="24">
      <c r="A112" s="2858">
        <v>38</v>
      </c>
      <c r="B112" s="3390"/>
      <c r="C112" s="2858" t="s">
        <v>2727</v>
      </c>
      <c r="D112" s="2832" t="s">
        <v>2728</v>
      </c>
      <c r="E112" s="2858">
        <v>0.1</v>
      </c>
      <c r="F112" s="2858">
        <v>15</v>
      </c>
    </row>
    <row r="113" spans="1:6" ht="24">
      <c r="A113" s="2858">
        <v>39</v>
      </c>
      <c r="B113" s="3390"/>
      <c r="C113" s="2858" t="s">
        <v>2729</v>
      </c>
      <c r="D113" s="2832" t="s">
        <v>2730</v>
      </c>
      <c r="E113" s="2858">
        <v>0.1</v>
      </c>
      <c r="F113" s="2858">
        <v>15</v>
      </c>
    </row>
    <row r="114" spans="1:6" ht="24">
      <c r="A114" s="2858">
        <v>40</v>
      </c>
      <c r="B114" s="3396"/>
      <c r="C114" s="2858" t="s">
        <v>2731</v>
      </c>
      <c r="D114" s="2832" t="s">
        <v>2732</v>
      </c>
      <c r="E114" s="2858">
        <v>0.1</v>
      </c>
      <c r="F114" s="2858">
        <v>15</v>
      </c>
    </row>
    <row r="115" spans="1:6" ht="24">
      <c r="A115" s="2858">
        <v>41</v>
      </c>
      <c r="B115" s="3384" t="s">
        <v>2733</v>
      </c>
      <c r="C115" s="2858" t="s">
        <v>2734</v>
      </c>
      <c r="D115" s="2832" t="s">
        <v>2735</v>
      </c>
      <c r="E115" s="2858">
        <v>0.1</v>
      </c>
      <c r="F115" s="2858">
        <v>15</v>
      </c>
    </row>
    <row r="116" spans="1:6" ht="24">
      <c r="A116" s="2858">
        <v>42</v>
      </c>
      <c r="B116" s="3384"/>
      <c r="C116" s="2858" t="s">
        <v>2736</v>
      </c>
      <c r="D116" s="2832" t="s">
        <v>2737</v>
      </c>
      <c r="E116" s="2858">
        <v>0.1</v>
      </c>
      <c r="F116" s="2858">
        <v>15</v>
      </c>
    </row>
    <row r="117" spans="1:6" ht="24">
      <c r="A117" s="2858">
        <v>43</v>
      </c>
      <c r="B117" s="3384"/>
      <c r="C117" s="2858" t="s">
        <v>2738</v>
      </c>
      <c r="D117" s="2832" t="s">
        <v>2739</v>
      </c>
      <c r="E117" s="2858">
        <v>0.1</v>
      </c>
      <c r="F117" s="2858">
        <v>15</v>
      </c>
    </row>
    <row r="118" spans="1:6" ht="24">
      <c r="A118" s="2858">
        <v>44</v>
      </c>
      <c r="B118" s="3391" t="s">
        <v>2740</v>
      </c>
      <c r="C118" s="2858" t="s">
        <v>2741</v>
      </c>
      <c r="D118" s="2832" t="s">
        <v>2742</v>
      </c>
      <c r="E118" s="2858">
        <v>0.1</v>
      </c>
      <c r="F118" s="2858">
        <v>15</v>
      </c>
    </row>
    <row r="119" spans="1:6" ht="24">
      <c r="A119" s="2858">
        <v>45</v>
      </c>
      <c r="B119" s="3396"/>
      <c r="C119" s="2832" t="s">
        <v>2743</v>
      </c>
      <c r="D119" s="2832" t="s">
        <v>2744</v>
      </c>
      <c r="E119" s="2858">
        <v>0.1</v>
      </c>
      <c r="F119" s="2858">
        <v>15</v>
      </c>
    </row>
    <row r="120" spans="1:6" ht="24">
      <c r="A120" s="2858">
        <v>46</v>
      </c>
      <c r="B120" s="3391" t="s">
        <v>2745</v>
      </c>
      <c r="C120" s="2858" t="s">
        <v>2746</v>
      </c>
      <c r="D120" s="2832" t="s">
        <v>2747</v>
      </c>
      <c r="E120" s="2858">
        <v>0.1</v>
      </c>
      <c r="F120" s="2858">
        <v>15</v>
      </c>
    </row>
    <row r="121" spans="1:6" ht="24">
      <c r="A121" s="2858">
        <v>47</v>
      </c>
      <c r="B121" s="3396"/>
      <c r="C121" s="2858" t="s">
        <v>2748</v>
      </c>
      <c r="D121" s="2832" t="s">
        <v>2749</v>
      </c>
      <c r="E121" s="2858">
        <v>0.1</v>
      </c>
      <c r="F121" s="2858">
        <v>15</v>
      </c>
    </row>
    <row r="122" spans="1:6" ht="24">
      <c r="A122" s="2858">
        <v>48</v>
      </c>
      <c r="B122" s="3391" t="s">
        <v>2750</v>
      </c>
      <c r="C122" s="2858" t="s">
        <v>2751</v>
      </c>
      <c r="D122" s="2832" t="s">
        <v>2752</v>
      </c>
      <c r="E122" s="2858">
        <v>0.1</v>
      </c>
      <c r="F122" s="2858">
        <v>15</v>
      </c>
    </row>
    <row r="123" spans="1:6" ht="24">
      <c r="A123" s="2858">
        <v>49</v>
      </c>
      <c r="B123" s="3396"/>
      <c r="C123" s="2858" t="s">
        <v>2753</v>
      </c>
      <c r="D123" s="2832" t="s">
        <v>2754</v>
      </c>
      <c r="E123" s="2858">
        <v>0.1</v>
      </c>
      <c r="F123" s="2858">
        <v>15</v>
      </c>
    </row>
    <row r="124" spans="1:6" ht="24">
      <c r="A124" s="2858">
        <v>50</v>
      </c>
      <c r="B124" s="3384" t="s">
        <v>2755</v>
      </c>
      <c r="C124" s="2858" t="s">
        <v>2756</v>
      </c>
      <c r="D124" s="2832" t="s">
        <v>2757</v>
      </c>
      <c r="E124" s="2858">
        <v>0.1</v>
      </c>
      <c r="F124" s="2858">
        <v>15</v>
      </c>
    </row>
    <row r="125" spans="1:6" ht="24">
      <c r="A125" s="2858">
        <v>51</v>
      </c>
      <c r="B125" s="3384"/>
      <c r="C125" s="2858" t="s">
        <v>2758</v>
      </c>
      <c r="D125" s="2832" t="s">
        <v>2759</v>
      </c>
      <c r="E125" s="2858">
        <v>0.1</v>
      </c>
      <c r="F125" s="2858">
        <v>15</v>
      </c>
    </row>
    <row r="126" spans="1:6" ht="24">
      <c r="A126" s="2858">
        <v>52</v>
      </c>
      <c r="B126" s="3384" t="s">
        <v>2760</v>
      </c>
      <c r="C126" s="2858" t="s">
        <v>2761</v>
      </c>
      <c r="D126" s="2832" t="s">
        <v>2762</v>
      </c>
      <c r="E126" s="2858">
        <v>0.1</v>
      </c>
      <c r="F126" s="2858">
        <v>15</v>
      </c>
    </row>
    <row r="127" spans="1:6" ht="24">
      <c r="A127" s="2858">
        <v>53</v>
      </c>
      <c r="B127" s="3384"/>
      <c r="C127" s="2858" t="s">
        <v>2763</v>
      </c>
      <c r="D127" s="2832" t="s">
        <v>2764</v>
      </c>
      <c r="E127" s="2858">
        <v>0.1</v>
      </c>
      <c r="F127" s="2858">
        <v>15</v>
      </c>
    </row>
    <row r="128" spans="1:6" ht="24">
      <c r="A128" s="2858">
        <v>54</v>
      </c>
      <c r="B128" s="2858" t="s">
        <v>2765</v>
      </c>
      <c r="C128" s="2858" t="s">
        <v>2766</v>
      </c>
      <c r="D128" s="2832" t="s">
        <v>2767</v>
      </c>
      <c r="E128" s="2858">
        <v>0.1</v>
      </c>
      <c r="F128" s="2858">
        <v>15</v>
      </c>
    </row>
    <row r="129" spans="1:6" ht="24">
      <c r="A129" s="2858">
        <v>55</v>
      </c>
      <c r="B129" s="3384" t="s">
        <v>2768</v>
      </c>
      <c r="C129" s="2858" t="s">
        <v>2769</v>
      </c>
      <c r="D129" s="2832" t="s">
        <v>2770</v>
      </c>
      <c r="E129" s="2858">
        <v>0.1</v>
      </c>
      <c r="F129" s="2858">
        <v>15</v>
      </c>
    </row>
    <row r="130" spans="1:6" ht="24">
      <c r="A130" s="2858">
        <v>56</v>
      </c>
      <c r="B130" s="3384"/>
      <c r="C130" s="2858" t="s">
        <v>2771</v>
      </c>
      <c r="D130" s="2832" t="s">
        <v>2772</v>
      </c>
      <c r="E130" s="2858">
        <v>0.1</v>
      </c>
      <c r="F130" s="2858">
        <v>15</v>
      </c>
    </row>
    <row r="131" spans="1:6" ht="24">
      <c r="A131" s="2858">
        <v>57</v>
      </c>
      <c r="B131" s="3384"/>
      <c r="C131" s="2858" t="s">
        <v>2773</v>
      </c>
      <c r="D131" s="2832" t="s">
        <v>2774</v>
      </c>
      <c r="E131" s="2858">
        <v>0.1</v>
      </c>
      <c r="F131" s="2858">
        <v>15</v>
      </c>
    </row>
    <row r="132" spans="1:6" ht="24">
      <c r="A132" s="2858">
        <v>58</v>
      </c>
      <c r="B132" s="3384" t="s">
        <v>2775</v>
      </c>
      <c r="C132" s="2858" t="s">
        <v>2776</v>
      </c>
      <c r="D132" s="2832" t="s">
        <v>2777</v>
      </c>
      <c r="E132" s="2858">
        <v>0.1</v>
      </c>
      <c r="F132" s="2858">
        <v>15</v>
      </c>
    </row>
    <row r="133" spans="1:6" ht="24">
      <c r="A133" s="2858">
        <v>59</v>
      </c>
      <c r="B133" s="3384"/>
      <c r="C133" s="2858" t="s">
        <v>2778</v>
      </c>
      <c r="D133" s="2832" t="s">
        <v>2779</v>
      </c>
      <c r="E133" s="2858">
        <v>0.1</v>
      </c>
      <c r="F133" s="2858">
        <v>15</v>
      </c>
    </row>
    <row r="134" spans="1:6" ht="24">
      <c r="A134" s="2858">
        <v>60</v>
      </c>
      <c r="B134" s="3391" t="s">
        <v>2780</v>
      </c>
      <c r="C134" s="2858" t="s">
        <v>2781</v>
      </c>
      <c r="D134" s="2832" t="s">
        <v>2782</v>
      </c>
      <c r="E134" s="2858">
        <v>0.1</v>
      </c>
      <c r="F134" s="2858">
        <v>15</v>
      </c>
    </row>
    <row r="135" spans="1:6" ht="24">
      <c r="A135" s="2858">
        <v>61</v>
      </c>
      <c r="B135" s="3396"/>
      <c r="C135" s="2858" t="s">
        <v>2783</v>
      </c>
      <c r="D135" s="2832" t="s">
        <v>2784</v>
      </c>
      <c r="E135" s="2858">
        <v>0.1</v>
      </c>
      <c r="F135" s="2858">
        <v>15</v>
      </c>
    </row>
    <row r="136" spans="1:6" ht="24">
      <c r="A136" s="2858">
        <v>62</v>
      </c>
      <c r="B136" s="2858" t="s">
        <v>2785</v>
      </c>
      <c r="C136" s="2858" t="s">
        <v>2786</v>
      </c>
      <c r="D136" s="2832" t="s">
        <v>2787</v>
      </c>
      <c r="E136" s="2858">
        <v>0.1</v>
      </c>
      <c r="F136" s="2858">
        <v>15</v>
      </c>
    </row>
    <row r="137" spans="1:6" ht="24">
      <c r="A137" s="2858">
        <v>63</v>
      </c>
      <c r="B137" s="3384" t="s">
        <v>2788</v>
      </c>
      <c r="C137" s="2858" t="s">
        <v>2789</v>
      </c>
      <c r="D137" s="2832" t="s">
        <v>2790</v>
      </c>
      <c r="E137" s="2858">
        <v>0.1</v>
      </c>
      <c r="F137" s="2858">
        <v>15</v>
      </c>
    </row>
    <row r="138" spans="1:6" ht="24">
      <c r="A138" s="2858">
        <v>64</v>
      </c>
      <c r="B138" s="3384"/>
      <c r="C138" s="2858" t="s">
        <v>2791</v>
      </c>
      <c r="D138" s="2832" t="s">
        <v>2792</v>
      </c>
      <c r="E138" s="2858">
        <v>0.1</v>
      </c>
      <c r="F138" s="2858">
        <v>15</v>
      </c>
    </row>
    <row r="139" spans="1:6" ht="24">
      <c r="A139" s="2858">
        <v>65</v>
      </c>
      <c r="B139" s="2858" t="s">
        <v>2793</v>
      </c>
      <c r="C139" s="2858" t="s">
        <v>2794</v>
      </c>
      <c r="D139" s="2832" t="s">
        <v>2795</v>
      </c>
      <c r="E139" s="2858">
        <v>0.1</v>
      </c>
      <c r="F139" s="2858">
        <v>15</v>
      </c>
    </row>
    <row r="140" spans="1:6" ht="14.4">
      <c r="A140" s="2858"/>
      <c r="B140" s="2858"/>
      <c r="C140" s="2858"/>
      <c r="D140" s="2858"/>
      <c r="E140" s="2858" t="s">
        <v>2796</v>
      </c>
      <c r="F140" s="2858"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5" t="s">
        <v>94</v>
      </c>
    </row>
    <row r="43" spans="1:7" ht="13.5" customHeight="1">
      <c r="A43" s="734" t="s">
        <v>347</v>
      </c>
      <c r="B43" s="207" t="s">
        <v>426</v>
      </c>
      <c r="C43" s="230" t="e">
        <f ca="1">ROUND(IF('数据-取费表'!B22&lt;=1,C39*F22*'数据-取费表'!B21/2,C39*(POWER((1+F22),'数据-取费表'!B21/2)-1)),0)</f>
        <v>#VALUE!</v>
      </c>
      <c r="D43" s="230"/>
      <c r="E43" s="230"/>
      <c r="F43" s="231"/>
      <c r="G43" s="3266"/>
    </row>
    <row r="44" spans="1:7" ht="13.5" customHeight="1">
      <c r="A44" s="734" t="s">
        <v>348</v>
      </c>
      <c r="B44" s="207" t="s">
        <v>428</v>
      </c>
      <c r="C44" s="230" t="e">
        <f ca="1">ROUND(IF('数据-取费表'!B22&lt;=1,C40*F22*'数据-取费表'!B21/2,C40*(POWER((1+F22),'数据-取费表'!B21/2)-1)),4)</f>
        <v>#VALUE!</v>
      </c>
      <c r="D44" s="230"/>
      <c r="E44" s="230"/>
      <c r="F44" s="231"/>
      <c r="G44" s="326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t="e">
        <f ca="1">结果表!H101</f>
        <v>#REF!</v>
      </c>
    </row>
    <row r="6" spans="1:5" ht="15.6">
      <c r="B6" s="3173"/>
      <c r="C6" s="1392" t="s">
        <v>911</v>
      </c>
      <c r="D6" s="797" t="e">
        <f ca="1">NUMBERSTRING(INT(D5*10000),2)&amp;"元整"</f>
        <v>#REF!</v>
      </c>
    </row>
    <row r="7" spans="1:5" ht="15.6">
      <c r="B7" s="3178"/>
      <c r="C7" s="1393" t="s">
        <v>912</v>
      </c>
      <c r="D7" s="798" t="e">
        <f ca="1">结果表!H102</f>
        <v>#REF!</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t="e">
        <f ca="1">结果表!H107</f>
        <v>#REF!</v>
      </c>
    </row>
    <row r="14" spans="1:5" ht="15.6">
      <c r="B14" s="3173"/>
      <c r="C14" s="1392" t="s">
        <v>911</v>
      </c>
      <c r="D14" s="797" t="e">
        <f ca="1">NUMBERSTRING(INT(D13*10000),2)&amp;"元整"</f>
        <v>#REF!</v>
      </c>
    </row>
    <row r="15" spans="1:5" ht="15.6">
      <c r="B15" s="3178"/>
      <c r="C15" s="1393" t="s">
        <v>921</v>
      </c>
      <c r="D15" s="806" t="e">
        <f ca="1">结果表!H108</f>
        <v>#REF!</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397" t="s">
        <v>3180</v>
      </c>
      <c r="B1" s="3397"/>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398" t="s">
        <v>3231</v>
      </c>
      <c r="B1" s="3398"/>
      <c r="C1" s="3398"/>
      <c r="D1" s="3398"/>
      <c r="E1" s="3398"/>
      <c r="F1" s="3399"/>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67" t="str">
        <f>项目基本情况!S2</f>
        <v>北京市房地产</v>
      </c>
      <c r="B2" s="3468"/>
      <c r="C2" s="3468"/>
      <c r="D2" s="3468"/>
      <c r="E2" s="3468"/>
      <c r="F2" s="3468"/>
      <c r="G2" s="3468"/>
      <c r="H2" s="3468"/>
      <c r="I2" s="3469"/>
    </row>
    <row r="3" spans="1:12" ht="13.2">
      <c r="A3" s="3470" t="s">
        <v>1264</v>
      </c>
      <c r="B3" s="3471"/>
      <c r="C3" s="3471"/>
      <c r="D3" s="3471"/>
      <c r="E3" s="3471"/>
      <c r="F3" s="3471"/>
      <c r="G3" s="3471"/>
      <c r="H3" s="3471"/>
      <c r="I3" s="3471"/>
    </row>
    <row r="4" spans="1:12" ht="14.4">
      <c r="A4" s="1624" t="s">
        <v>1265</v>
      </c>
      <c r="B4" s="1625" t="s">
        <v>1266</v>
      </c>
      <c r="C4" s="1626"/>
      <c r="D4" s="1626"/>
      <c r="E4" s="3475" t="s">
        <v>1267</v>
      </c>
      <c r="F4" s="3476"/>
      <c r="G4" s="3476"/>
      <c r="H4" s="3476"/>
      <c r="I4" s="347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5" t="s">
        <v>1268</v>
      </c>
      <c r="B5" s="3312">
        <v>25</v>
      </c>
      <c r="C5" s="3472"/>
      <c r="D5" s="3461"/>
      <c r="E5" s="123" t="s">
        <v>1269</v>
      </c>
      <c r="F5" s="1627"/>
      <c r="G5" s="1627"/>
      <c r="H5" s="1627"/>
      <c r="I5" s="1281"/>
    </row>
    <row r="6" spans="1:12" ht="13.2">
      <c r="A6" s="3415"/>
      <c r="B6" s="3312"/>
      <c r="C6" s="3474"/>
      <c r="D6" s="3461"/>
      <c r="E6" s="123" t="s">
        <v>1270</v>
      </c>
      <c r="F6" s="1627"/>
      <c r="G6" s="1627"/>
      <c r="H6" s="1627"/>
      <c r="I6" s="1281"/>
    </row>
    <row r="7" spans="1:12" ht="13.2">
      <c r="A7" s="3415"/>
      <c r="B7" s="3312"/>
      <c r="C7" s="3473"/>
      <c r="D7" s="3461"/>
      <c r="E7" s="123" t="s">
        <v>1271</v>
      </c>
      <c r="F7" s="1627"/>
      <c r="G7" s="1627"/>
      <c r="H7" s="1627"/>
      <c r="I7" s="1281"/>
    </row>
    <row r="8" spans="1:12" ht="13.2">
      <c r="A8" s="3415" t="s">
        <v>1272</v>
      </c>
      <c r="B8" s="3312">
        <v>15</v>
      </c>
      <c r="C8" s="3472"/>
      <c r="D8" s="3461"/>
      <c r="E8" s="123" t="s">
        <v>1273</v>
      </c>
      <c r="F8" s="1627"/>
      <c r="G8" s="1627"/>
      <c r="H8" s="1627"/>
      <c r="I8" s="1281"/>
    </row>
    <row r="9" spans="1:12" ht="13.2">
      <c r="A9" s="3415"/>
      <c r="B9" s="3312"/>
      <c r="C9" s="3473"/>
      <c r="D9" s="3461"/>
      <c r="E9" s="123" t="s">
        <v>1274</v>
      </c>
      <c r="F9" s="1627"/>
      <c r="G9" s="1627"/>
      <c r="H9" s="1627"/>
      <c r="I9" s="1281"/>
    </row>
    <row r="10" spans="1:12" ht="13.2">
      <c r="A10" s="3415" t="s">
        <v>1275</v>
      </c>
      <c r="B10" s="3312">
        <v>15</v>
      </c>
      <c r="C10" s="3472"/>
      <c r="D10" s="3461"/>
      <c r="E10" s="123" t="s">
        <v>1276</v>
      </c>
      <c r="F10" s="1627"/>
      <c r="G10" s="1627"/>
      <c r="H10" s="1627"/>
      <c r="I10" s="1281"/>
    </row>
    <row r="11" spans="1:12" ht="13.2">
      <c r="A11" s="3415"/>
      <c r="B11" s="3312"/>
      <c r="C11" s="3473"/>
      <c r="D11" s="3461"/>
      <c r="E11" s="123" t="s">
        <v>1277</v>
      </c>
      <c r="F11" s="1627"/>
      <c r="G11" s="1627"/>
      <c r="H11" s="1627"/>
      <c r="I11" s="1281"/>
    </row>
    <row r="12" spans="1:12" ht="13.2">
      <c r="A12" s="3415" t="s">
        <v>1278</v>
      </c>
      <c r="B12" s="3312">
        <v>15</v>
      </c>
      <c r="C12" s="3472"/>
      <c r="D12" s="3461"/>
      <c r="E12" s="123" t="s">
        <v>1279</v>
      </c>
      <c r="F12" s="1627"/>
      <c r="G12" s="1627"/>
      <c r="H12" s="1627"/>
      <c r="I12" s="1281"/>
    </row>
    <row r="13" spans="1:12" ht="13.2">
      <c r="A13" s="3415"/>
      <c r="B13" s="3312"/>
      <c r="C13" s="3473"/>
      <c r="D13" s="3461"/>
      <c r="E13" s="123" t="s">
        <v>1280</v>
      </c>
      <c r="F13" s="1627"/>
      <c r="G13" s="1627"/>
      <c r="H13" s="1627"/>
      <c r="I13" s="1281"/>
    </row>
    <row r="14" spans="1:12" ht="13.2">
      <c r="A14" s="3415" t="s">
        <v>1281</v>
      </c>
      <c r="B14" s="3312">
        <v>30</v>
      </c>
      <c r="C14" s="3472"/>
      <c r="D14" s="3461"/>
      <c r="E14" s="123" t="s">
        <v>1282</v>
      </c>
      <c r="F14" s="1627"/>
      <c r="G14" s="1627"/>
      <c r="H14" s="1627"/>
      <c r="I14" s="1281"/>
    </row>
    <row r="15" spans="1:12" ht="13.2">
      <c r="A15" s="3415"/>
      <c r="B15" s="3312"/>
      <c r="C15" s="3474"/>
      <c r="D15" s="3461"/>
      <c r="E15" s="123" t="s">
        <v>1283</v>
      </c>
      <c r="F15" s="1627"/>
      <c r="G15" s="1627"/>
      <c r="H15" s="1627"/>
      <c r="I15" s="1281"/>
    </row>
    <row r="16" spans="1:12" ht="13.2">
      <c r="A16" s="3415"/>
      <c r="B16" s="3312"/>
      <c r="C16" s="3473"/>
      <c r="D16" s="346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91" t="s">
        <v>2130</v>
      </c>
      <c r="F18" s="3492"/>
      <c r="G18" s="3492"/>
      <c r="H18" s="3492"/>
      <c r="I18" s="3492"/>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84" t="s">
        <v>1299</v>
      </c>
      <c r="B24" s="1631" t="s">
        <v>1291</v>
      </c>
      <c r="C24" s="128">
        <f>IF(B30=0,0,D30)</f>
        <v>0</v>
      </c>
      <c r="D24" s="1637"/>
      <c r="E24" s="121"/>
      <c r="F24" s="121"/>
      <c r="G24" s="121"/>
      <c r="H24" s="121"/>
      <c r="I24" s="121"/>
    </row>
    <row r="25" spans="1:36" ht="14.4">
      <c r="A25" s="348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62" t="s">
        <v>1312</v>
      </c>
      <c r="B36" s="1652" t="s">
        <v>1313</v>
      </c>
      <c r="C36" s="137"/>
      <c r="D36" s="1653"/>
      <c r="E36" s="1567"/>
      <c r="F36" s="1654"/>
      <c r="G36" s="121"/>
      <c r="H36" s="121"/>
      <c r="I36" s="121"/>
    </row>
    <row r="37" spans="1:15" ht="15" thickBot="1">
      <c r="A37" s="3463"/>
      <c r="B37" s="1555" t="s">
        <v>1314</v>
      </c>
      <c r="C37" s="139"/>
      <c r="D37" s="1071"/>
      <c r="E37" s="1071"/>
      <c r="F37" s="1654"/>
      <c r="G37" s="121"/>
      <c r="H37" s="121"/>
      <c r="I37" s="121"/>
    </row>
    <row r="38" spans="1:15" ht="15" thickBot="1">
      <c r="A38" s="346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81" t="s">
        <v>1326</v>
      </c>
      <c r="B45" s="3482"/>
      <c r="C45" s="3483"/>
      <c r="D45" s="147" t="e">
        <f ca="1">ROUND(H101*F45,0)</f>
        <v>#REF!</v>
      </c>
      <c r="E45" s="148" t="s">
        <v>1327</v>
      </c>
      <c r="F45" s="149">
        <v>1</v>
      </c>
      <c r="G45" s="150" t="s">
        <v>1328</v>
      </c>
      <c r="H45" s="121"/>
      <c r="I45" s="121"/>
      <c r="J45" s="3402" t="s">
        <v>1329</v>
      </c>
      <c r="K45" s="3402"/>
      <c r="L45" s="3402"/>
      <c r="M45" s="3402"/>
      <c r="N45" s="3402"/>
      <c r="O45" s="3402"/>
    </row>
    <row r="46" spans="1:15" ht="14.25" customHeight="1">
      <c r="A46" s="3478" t="s">
        <v>1330</v>
      </c>
      <c r="B46" s="3479"/>
      <c r="C46" s="3479"/>
      <c r="D46" s="3479"/>
      <c r="E46" s="3479"/>
      <c r="F46" s="3479"/>
      <c r="G46" s="3480"/>
      <c r="H46" s="1668"/>
      <c r="I46" s="151"/>
      <c r="J46" s="2310">
        <v>1</v>
      </c>
      <c r="K46" s="3403" t="s">
        <v>1331</v>
      </c>
      <c r="L46" s="3403"/>
      <c r="M46" s="3404"/>
      <c r="N46" s="3404"/>
      <c r="O46" s="3404"/>
    </row>
    <row r="47" spans="1:15" ht="12" customHeight="1">
      <c r="A47" s="152" t="s">
        <v>1332</v>
      </c>
      <c r="B47" s="153"/>
      <c r="C47" s="154"/>
      <c r="D47" s="1024" t="s">
        <v>1333</v>
      </c>
      <c r="E47" s="294" t="s">
        <v>1334</v>
      </c>
      <c r="F47" s="155" t="s">
        <v>1335</v>
      </c>
      <c r="G47" s="2333" t="s">
        <v>1336</v>
      </c>
      <c r="H47" s="2334"/>
      <c r="I47" s="151"/>
      <c r="J47" s="2310">
        <v>2</v>
      </c>
      <c r="K47" s="3403" t="s">
        <v>1337</v>
      </c>
      <c r="L47" s="3403"/>
      <c r="M47" s="3405">
        <f>'数据-取费表'!B2</f>
        <v>45845</v>
      </c>
      <c r="N47" s="3405"/>
      <c r="O47" s="3405"/>
    </row>
    <row r="48" spans="1:15" ht="26.4">
      <c r="A48" s="3465" t="s">
        <v>1338</v>
      </c>
      <c r="B48" s="3466"/>
      <c r="C48" s="3466"/>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03" t="s">
        <v>1340</v>
      </c>
      <c r="L48" s="3403"/>
      <c r="M48" s="3406" t="e">
        <f ca="1">H101</f>
        <v>#REF!</v>
      </c>
      <c r="N48" s="3406"/>
      <c r="O48" s="3406"/>
    </row>
    <row r="49" spans="1:35" ht="25.5" customHeight="1">
      <c r="A49" s="2152" t="s">
        <v>1341</v>
      </c>
      <c r="B49" s="3451" t="s">
        <v>1342</v>
      </c>
      <c r="C49" s="3451"/>
      <c r="D49" s="1478">
        <v>0</v>
      </c>
      <c r="E49" s="316" t="s">
        <v>1343</v>
      </c>
      <c r="F49" s="2233" t="s">
        <v>28</v>
      </c>
      <c r="G49" s="3434"/>
      <c r="H49" s="2134" t="s">
        <v>2133</v>
      </c>
      <c r="I49" s="2135"/>
      <c r="J49" s="2310">
        <v>4</v>
      </c>
      <c r="K49" s="3403" t="str">
        <f>IF(项目基本情况!E8="房地产抵押价值","房地产抵押价值","抵押担保权已注销时的房地产抵押价值")</f>
        <v>房地产抵押价值</v>
      </c>
      <c r="L49" s="3403"/>
      <c r="M49" s="3406" t="str">
        <f ca="1">IF(项目基本情况!E8="房地产抵押价值",H107,H109)</f>
        <v>——</v>
      </c>
      <c r="N49" s="3406"/>
      <c r="O49" s="3406"/>
    </row>
    <row r="50" spans="1:35" ht="25.5" customHeight="1">
      <c r="A50" s="2338"/>
      <c r="B50" s="3451" t="s">
        <v>1344</v>
      </c>
      <c r="C50" s="3451"/>
      <c r="D50" s="2189"/>
      <c r="E50" s="323"/>
      <c r="F50" s="2233"/>
      <c r="G50" s="3435"/>
      <c r="H50" s="2136" t="s">
        <v>2134</v>
      </c>
      <c r="I50" s="2135"/>
      <c r="J50" s="3402" t="s">
        <v>1345</v>
      </c>
      <c r="K50" s="3402"/>
      <c r="L50" s="3402"/>
      <c r="M50" s="3402"/>
      <c r="N50" s="3402"/>
      <c r="O50" s="3402"/>
    </row>
    <row r="51" spans="1:35" ht="20.399999999999999" customHeight="1">
      <c r="A51" s="2339"/>
      <c r="B51" s="3451" t="s">
        <v>1346</v>
      </c>
      <c r="C51" s="3451"/>
      <c r="D51" s="1024"/>
      <c r="E51" s="319"/>
      <c r="F51" s="2233"/>
      <c r="G51" s="3436"/>
      <c r="H51" s="2136" t="s">
        <v>2135</v>
      </c>
      <c r="I51" s="2135"/>
      <c r="J51" s="2311" t="s">
        <v>1347</v>
      </c>
      <c r="K51" s="3403" t="s">
        <v>1348</v>
      </c>
      <c r="L51" s="3403"/>
      <c r="M51" s="2311" t="s">
        <v>1349</v>
      </c>
      <c r="N51" s="2311" t="s">
        <v>1350</v>
      </c>
      <c r="O51" s="2311" t="s">
        <v>1351</v>
      </c>
    </row>
    <row r="52" spans="1:35" ht="24" customHeight="1">
      <c r="A52" s="2153" t="s">
        <v>1352</v>
      </c>
      <c r="B52" s="3451" t="s">
        <v>1353</v>
      </c>
      <c r="C52" s="3451"/>
      <c r="D52" s="1024" t="e">
        <f ca="1">ROUND(D45*'数据-取费表'!B41/(1+'数据-取费表'!C42),0)</f>
        <v>#REF!</v>
      </c>
      <c r="E52" s="1256" t="s">
        <v>1354</v>
      </c>
      <c r="F52" s="2340">
        <f>'数据-取费表'!B41</f>
        <v>0</v>
      </c>
      <c r="G52" s="2341"/>
      <c r="H52" s="2331"/>
      <c r="I52" s="1669"/>
      <c r="J52" s="2310">
        <v>1</v>
      </c>
      <c r="K52" s="3428" t="s">
        <v>1355</v>
      </c>
      <c r="L52" s="3428"/>
      <c r="M52" s="2312" t="b">
        <f>D48</f>
        <v>0</v>
      </c>
      <c r="N52" s="2310" t="str">
        <f>E48</f>
        <v>销售额×税（费）率</v>
      </c>
      <c r="O52" s="2313">
        <f>F48</f>
        <v>0</v>
      </c>
    </row>
    <row r="53" spans="1:35" ht="12" customHeight="1">
      <c r="A53" s="2153" t="s">
        <v>1356</v>
      </c>
      <c r="B53" s="3452" t="s">
        <v>2290</v>
      </c>
      <c r="C53" s="3453"/>
      <c r="D53" s="1024" t="e">
        <f ca="1">ROUND(D45*'数据-取费表'!B41/(1+'数据-取费表'!C42),0)</f>
        <v>#REF!</v>
      </c>
      <c r="E53" s="1256" t="s">
        <v>1354</v>
      </c>
      <c r="F53" s="2340">
        <f>'数据-取费表'!B41</f>
        <v>0</v>
      </c>
      <c r="G53" s="2341"/>
      <c r="H53" s="2331"/>
      <c r="I53" s="1669"/>
      <c r="J53" s="2310">
        <v>2</v>
      </c>
      <c r="K53" s="3428" t="s">
        <v>1357</v>
      </c>
      <c r="L53" s="3428"/>
      <c r="M53" s="2312" t="e">
        <f t="shared" ref="M53:O54" ca="1" si="0">D55</f>
        <v>#REF!</v>
      </c>
      <c r="N53" s="2310" t="str">
        <f t="shared" si="0"/>
        <v>销售额×税（费）率</v>
      </c>
      <c r="O53" s="2313" t="str">
        <f t="shared" si="0"/>
        <v>免征</v>
      </c>
    </row>
    <row r="54" spans="1:35" ht="12" customHeight="1">
      <c r="A54" s="2153" t="s">
        <v>1358</v>
      </c>
      <c r="B54" s="3452" t="s">
        <v>2291</v>
      </c>
      <c r="C54" s="3453"/>
      <c r="D54" s="1024" t="e">
        <f ca="1">C68</f>
        <v>#REF!</v>
      </c>
      <c r="E54" s="319" t="s">
        <v>1359</v>
      </c>
      <c r="F54" s="2340">
        <f>'数据-取费表'!B41</f>
        <v>0</v>
      </c>
      <c r="G54" s="2341"/>
      <c r="H54" s="2342"/>
      <c r="I54" s="1669"/>
      <c r="J54" s="2310">
        <v>3</v>
      </c>
      <c r="K54" s="3428" t="s">
        <v>1360</v>
      </c>
      <c r="L54" s="3428"/>
      <c r="M54" s="2312" t="e">
        <f t="shared" ca="1" si="0"/>
        <v>#REF!</v>
      </c>
      <c r="N54" s="2310" t="str">
        <f t="shared" si="0"/>
        <v>增值额×税（费）率</v>
      </c>
      <c r="O54" s="2314" t="str">
        <f t="shared" si="0"/>
        <v>免征</v>
      </c>
    </row>
    <row r="55" spans="1:35" ht="24" customHeight="1">
      <c r="A55" s="3487" t="s">
        <v>1361</v>
      </c>
      <c r="B55" s="3466"/>
      <c r="C55" s="3466"/>
      <c r="D55" s="12" t="e">
        <f ca="1">IF(H55="个人住宅",0,ROUND(D45*I55,0))</f>
        <v>#REF!</v>
      </c>
      <c r="E55" s="1256" t="s">
        <v>1362</v>
      </c>
      <c r="F55" s="2340" t="str">
        <f>IF(H55="正常",I55,"免征")</f>
        <v>免征</v>
      </c>
      <c r="G55" s="2341"/>
      <c r="H55" s="2337"/>
      <c r="I55" s="157">
        <f>'数据-取费表'!B49</f>
        <v>0</v>
      </c>
      <c r="J55" s="2310">
        <f>IF(H59="非个人房产","",4)</f>
        <v>4</v>
      </c>
      <c r="K55" s="3428" t="str">
        <f>IF(H59="非个人房产","——","个人所得税")</f>
        <v>个人所得税</v>
      </c>
      <c r="L55" s="3428"/>
      <c r="M55" s="2315" t="e">
        <f ca="1">D59</f>
        <v>#REF!</v>
      </c>
      <c r="N55" s="1883" t="str">
        <f>E59</f>
        <v>差额计税</v>
      </c>
      <c r="O55" s="2316">
        <f>F59</f>
        <v>0.01</v>
      </c>
    </row>
    <row r="56" spans="1:35" ht="25.2">
      <c r="A56" s="3487" t="s">
        <v>1363</v>
      </c>
      <c r="B56" s="3466"/>
      <c r="C56" s="3466"/>
      <c r="D56" s="12" t="e">
        <f ca="1">IF(H56="个人住宅",D57,D58)</f>
        <v>#REF!</v>
      </c>
      <c r="E56" s="1256" t="s">
        <v>1364</v>
      </c>
      <c r="F56" s="2340" t="str">
        <f>IF(H56="正常",F58,"免征")</f>
        <v>免征</v>
      </c>
      <c r="G56" s="2343" t="s">
        <v>1365</v>
      </c>
      <c r="H56" s="2344"/>
      <c r="I56" s="1670"/>
      <c r="J56" s="2310" t="str">
        <f>IF(项目基本情况!K6="上海银行",IF(J55="",4,J55+1),"")</f>
        <v/>
      </c>
      <c r="K56" s="3409" t="str">
        <f>IF(项目基本情况!K6="上海银行","其他处置费用","")</f>
        <v/>
      </c>
      <c r="L56" s="3410"/>
      <c r="M56" s="2312" t="str">
        <f>IF(项目基本情况!K6="上海银行",M69,"")</f>
        <v/>
      </c>
      <c r="N56" s="3409" t="str">
        <f>IF(项目基本情况!K6="上海银行","包含处置中涉及的律师、诉讼、拍卖、评估等费用","")</f>
        <v/>
      </c>
      <c r="O56" s="3412"/>
    </row>
    <row r="57" spans="1:35" ht="13.2">
      <c r="A57" s="2153" t="s">
        <v>1341</v>
      </c>
      <c r="B57" s="3452" t="s">
        <v>1366</v>
      </c>
      <c r="C57" s="3453"/>
      <c r="D57" s="1478">
        <v>0</v>
      </c>
      <c r="E57" s="316" t="s">
        <v>1343</v>
      </c>
      <c r="F57" s="294"/>
      <c r="G57" s="2341"/>
      <c r="H57" s="2345"/>
      <c r="I57" s="1670"/>
      <c r="J57" s="3428">
        <f>IF(AND(J55="",J56=""),4,IF(项目基本情况!K6="上海银行",结果表!J56+1,结果表!J55+1))</f>
        <v>5</v>
      </c>
      <c r="K57" s="3428" t="s">
        <v>1367</v>
      </c>
      <c r="L57" s="2317" t="s">
        <v>1368</v>
      </c>
      <c r="M57" s="2318"/>
      <c r="N57" s="2319">
        <f ca="1">SUMIF(M52:M56,"&lt;9e307")</f>
        <v>0</v>
      </c>
      <c r="O57" s="2320"/>
      <c r="P57" s="2465" t="e">
        <f ca="1">N57/M49</f>
        <v>#VALUE!</v>
      </c>
    </row>
    <row r="58" spans="1:35" ht="25.2">
      <c r="A58" s="2153" t="s">
        <v>1352</v>
      </c>
      <c r="B58" s="3452" t="s">
        <v>1369</v>
      </c>
      <c r="C58" s="3451"/>
      <c r="D58" s="12" t="e">
        <f ca="1">IF(H58="转让取得",C81,C97)</f>
        <v>#REF!</v>
      </c>
      <c r="E58" s="1256" t="s">
        <v>1364</v>
      </c>
      <c r="F58" s="294" t="s">
        <v>28</v>
      </c>
      <c r="G58" s="2341"/>
      <c r="H58" s="2344"/>
      <c r="I58" s="1670"/>
      <c r="J58" s="3428"/>
      <c r="K58" s="3428"/>
      <c r="L58" s="2317" t="s">
        <v>1370</v>
      </c>
      <c r="M58" s="2321"/>
      <c r="N58" s="2322" t="str">
        <f ca="1">NUMBERSTRING(INT(N57*10000),2)&amp;"元整"</f>
        <v>零元整</v>
      </c>
      <c r="O58" s="2323"/>
    </row>
    <row r="59" spans="1:35" ht="24.6" thickBot="1">
      <c r="A59" s="3432" t="s">
        <v>1371</v>
      </c>
      <c r="B59" s="3433"/>
      <c r="C59" s="343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430">
        <f>J57+1</f>
        <v>6</v>
      </c>
      <c r="K59" s="3428" t="s">
        <v>1372</v>
      </c>
      <c r="L59" s="2310" t="s">
        <v>1368</v>
      </c>
      <c r="M59" s="2324"/>
      <c r="N59" s="2325" t="e">
        <f ca="1">M49-N57</f>
        <v>#VALUE!</v>
      </c>
      <c r="O59" s="2326"/>
    </row>
    <row r="60" spans="1:35" ht="12" customHeight="1">
      <c r="A60" s="1671"/>
      <c r="B60" s="646"/>
      <c r="C60" s="646"/>
      <c r="D60" s="646"/>
      <c r="E60" s="1466"/>
      <c r="F60" s="1670"/>
      <c r="G60" s="1670"/>
      <c r="H60" s="151"/>
      <c r="I60" s="121"/>
      <c r="J60" s="3431"/>
      <c r="K60" s="3428"/>
      <c r="L60" s="2317" t="s">
        <v>1370</v>
      </c>
      <c r="M60" s="2321"/>
      <c r="N60" s="2322" t="e">
        <f ca="1">NUMBERSTRING(INT(N59*10000),2)&amp;"元整"</f>
        <v>#VALUE!</v>
      </c>
      <c r="O60" s="2323"/>
    </row>
    <row r="61" spans="1:35" ht="13.8" thickBot="1">
      <c r="A61" s="3486" t="s">
        <v>1373</v>
      </c>
      <c r="B61" s="3486"/>
      <c r="C61" s="3486"/>
      <c r="D61" s="3486"/>
      <c r="E61" s="3486"/>
      <c r="F61" s="1670"/>
      <c r="G61" s="1670"/>
      <c r="H61" s="151"/>
      <c r="I61" s="121"/>
      <c r="J61" s="2310">
        <f>J59+1</f>
        <v>7</v>
      </c>
      <c r="K61" s="3428" t="s">
        <v>1374</v>
      </c>
      <c r="L61" s="3428"/>
      <c r="M61" s="2327"/>
      <c r="N61" s="2328" t="e">
        <f ca="1">ROUND(N59*10000/'数据-汇总表'!E3,0)</f>
        <v>#VALUE!</v>
      </c>
      <c r="O61" s="2329"/>
    </row>
    <row r="62" spans="1:35" ht="13.2">
      <c r="A62" s="3447" t="s">
        <v>1375</v>
      </c>
      <c r="B62" s="3448"/>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1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41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41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41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1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1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411"/>
      <c r="K69" s="1245" t="s">
        <v>1393</v>
      </c>
      <c r="L69" s="1245"/>
      <c r="M69" s="294" t="e">
        <f ca="1">ROUND(SUM(M63:M68),0)</f>
        <v>#VALUE!</v>
      </c>
      <c r="N69" s="2332" t="e">
        <f ca="1">M69/M49</f>
        <v>#VALUE!</v>
      </c>
      <c r="Z69" s="1623"/>
      <c r="AI69" s="1561"/>
    </row>
    <row r="70" spans="1:35" s="642" customFormat="1" ht="14.4" thickBot="1">
      <c r="A70" s="3455" t="s">
        <v>1394</v>
      </c>
      <c r="B70" s="3456"/>
      <c r="C70" s="3456"/>
      <c r="D70" s="3456"/>
      <c r="E70" s="3456"/>
      <c r="F70" s="3456"/>
      <c r="G70" s="3456"/>
      <c r="H70" s="345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47" t="s">
        <v>1375</v>
      </c>
      <c r="B71" s="344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52" t="s">
        <v>1402</v>
      </c>
      <c r="F76" s="3451"/>
      <c r="G76" s="3451"/>
      <c r="H76" s="345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44" t="s">
        <v>1406</v>
      </c>
      <c r="F78" s="3445"/>
      <c r="G78" s="3445"/>
      <c r="H78" s="344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5" t="s">
        <v>1410</v>
      </c>
      <c r="B83" s="3456"/>
      <c r="C83" s="3456"/>
      <c r="D83" s="3456"/>
      <c r="E83" s="3456"/>
      <c r="F83" s="3456"/>
      <c r="G83" s="3456"/>
      <c r="H83" s="345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47" t="s">
        <v>1375</v>
      </c>
      <c r="B84" s="344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13" t="s">
        <v>2128</v>
      </c>
      <c r="H90" s="3414"/>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44" t="s">
        <v>1419</v>
      </c>
      <c r="F91" s="3445"/>
      <c r="G91" s="344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44" t="s">
        <v>1422</v>
      </c>
      <c r="F92" s="3445"/>
      <c r="G92" s="3445"/>
      <c r="H92" s="3446"/>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44" t="s">
        <v>1406</v>
      </c>
      <c r="F93" s="3445"/>
      <c r="G93" s="3445"/>
      <c r="H93" s="344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88" t="s">
        <v>1426</v>
      </c>
      <c r="F94" s="3489"/>
      <c r="G94" s="3489"/>
      <c r="H94" s="349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429"/>
      <c r="E100" s="3254" t="s">
        <v>1429</v>
      </c>
      <c r="F100" s="3254"/>
      <c r="G100" s="3254"/>
      <c r="H100" s="3429"/>
      <c r="I100" s="121"/>
    </row>
    <row r="101" spans="1:35" ht="18.75" customHeight="1">
      <c r="A101" s="3437" t="s">
        <v>1430</v>
      </c>
      <c r="B101" s="3438"/>
      <c r="C101" s="2371">
        <f>C4</f>
        <v>0</v>
      </c>
      <c r="D101" s="2372">
        <f>D4</f>
        <v>0</v>
      </c>
      <c r="E101" s="3407" t="s">
        <v>1431</v>
      </c>
      <c r="F101" s="3408"/>
      <c r="G101" s="1687" t="s">
        <v>1432</v>
      </c>
      <c r="H101" s="2381" t="e">
        <f ca="1">H118</f>
        <v>#REF!</v>
      </c>
      <c r="I101" s="121"/>
    </row>
    <row r="102" spans="1:35" ht="18.75" customHeight="1">
      <c r="A102" s="3439" t="s">
        <v>1433</v>
      </c>
      <c r="B102" s="2370" t="s">
        <v>1432</v>
      </c>
      <c r="C102" s="2371" t="e">
        <f ca="1">IF(D32="楼面单价",ROUND(C19,0),C19)</f>
        <v>#REF!</v>
      </c>
      <c r="D102" s="2372" t="e">
        <f ca="1">IF(D32="楼面单价",ROUND(D19,0),D19)</f>
        <v>#REF!</v>
      </c>
      <c r="E102" s="3407"/>
      <c r="F102" s="3408"/>
      <c r="G102" s="1687" t="s">
        <v>1434</v>
      </c>
      <c r="H102" s="2341" t="e">
        <f ca="1">I118</f>
        <v>#REF!</v>
      </c>
      <c r="I102" s="121"/>
    </row>
    <row r="103" spans="1:35" ht="42.75" customHeight="1">
      <c r="A103" s="3439"/>
      <c r="B103" s="2370" t="s">
        <v>1434</v>
      </c>
      <c r="C103" s="2373" t="e">
        <f ca="1">C20</f>
        <v>#REF!</v>
      </c>
      <c r="D103" s="2374" t="e">
        <f ca="1">D20</f>
        <v>#REF!</v>
      </c>
      <c r="E103" s="3400" t="s">
        <v>1435</v>
      </c>
      <c r="F103" s="3401"/>
      <c r="G103" s="1688" t="s">
        <v>1436</v>
      </c>
      <c r="H103" s="2381">
        <f>IF(D36="正常操作",H104+H105+H106,H105+H106)</f>
        <v>0</v>
      </c>
      <c r="I103" s="121"/>
    </row>
    <row r="104" spans="1:35" ht="18.75" customHeight="1">
      <c r="A104" s="343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4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0" t="str">
        <f>IF(项目基本情况!E8="已注销","——","3.房地产抵押价值")</f>
        <v>3.房地产抵押价值</v>
      </c>
      <c r="F107" s="3408"/>
      <c r="G107" s="1687" t="s">
        <v>1432</v>
      </c>
      <c r="H107" s="2381" t="e">
        <f ca="1">IF(E107="——","——",H101-H103)</f>
        <v>#REF!</v>
      </c>
      <c r="I107" s="121"/>
    </row>
    <row r="108" spans="1:35" ht="18.75" customHeight="1">
      <c r="A108" s="121"/>
      <c r="B108" s="121"/>
      <c r="C108" s="121"/>
      <c r="D108" s="121"/>
      <c r="E108" s="3440"/>
      <c r="F108" s="3408"/>
      <c r="G108" s="1687" t="s">
        <v>1434</v>
      </c>
      <c r="H108" s="2341">
        <f ca="1">IF(H107=H101,H102,ROUND(H107*10000/'数据-汇总表'!E3,0))</f>
        <v>0</v>
      </c>
      <c r="I108" s="121"/>
    </row>
    <row r="109" spans="1:35" ht="18.75" customHeight="1">
      <c r="A109" s="121"/>
      <c r="B109" s="121"/>
      <c r="C109" s="121"/>
      <c r="D109" s="121"/>
      <c r="E109" s="3440" t="str">
        <f>IF(项目基本情况!E8="已注销及未注销","4.抵押担保权已注销时的房地产抵押价值",IF(项目基本情况!E8="已注销","3.抵押担保权已注销时的房地产抵押价值","——"))</f>
        <v>——</v>
      </c>
      <c r="F109" s="3408"/>
      <c r="G109" s="1687" t="s">
        <v>1432</v>
      </c>
      <c r="H109" s="2384" t="str">
        <f>IF(E109="——","——",H101-H105-H106)</f>
        <v>——</v>
      </c>
      <c r="I109" s="121"/>
    </row>
    <row r="110" spans="1:35" ht="18.75" customHeight="1">
      <c r="A110" s="121"/>
      <c r="B110" s="121"/>
      <c r="C110" s="121"/>
      <c r="D110" s="121"/>
      <c r="E110" s="3440"/>
      <c r="F110" s="3408"/>
      <c r="G110" s="1687" t="s">
        <v>1434</v>
      </c>
      <c r="H110" s="2341" t="str">
        <f>IF(H109="——","——",ROUND(H109*10000/'数据-汇总表'!E3,0))</f>
        <v>——</v>
      </c>
      <c r="I110" s="121"/>
    </row>
    <row r="111" spans="1:35" ht="18.75" customHeight="1">
      <c r="A111" s="121"/>
      <c r="B111" s="121"/>
      <c r="C111" s="121"/>
      <c r="D111" s="121"/>
      <c r="E111" s="3441" t="str">
        <f>IF(项目基本情况!E9="抵押净值",IF(OR(项目基本情况!E8="已注销",项目基本情况!E8="房地产抵押价值"),"4.抵押净值","5.抵押净值"),"——")</f>
        <v>——</v>
      </c>
      <c r="F111" s="3427"/>
      <c r="G111" s="1687" t="s">
        <v>1432</v>
      </c>
      <c r="H111" s="2381" t="str">
        <f>IF(E111="——","——",N59)</f>
        <v>——</v>
      </c>
      <c r="I111" s="121"/>
    </row>
    <row r="112" spans="1:35" ht="18.75" customHeight="1" thickBot="1">
      <c r="A112" s="121"/>
      <c r="B112" s="121"/>
      <c r="C112" s="121"/>
      <c r="D112" s="121"/>
      <c r="E112" s="3442"/>
      <c r="F112" s="3443"/>
      <c r="G112" s="1690" t="s">
        <v>1434</v>
      </c>
      <c r="H112" s="2385" t="str">
        <f>IF(E111="——","——",N61)</f>
        <v>——</v>
      </c>
      <c r="I112" s="121"/>
    </row>
    <row r="113" spans="1:27" ht="18.75" customHeight="1">
      <c r="A113" s="121"/>
      <c r="B113" s="121"/>
      <c r="C113" s="121"/>
      <c r="D113" s="121"/>
      <c r="E113" s="3450" t="s">
        <v>1440</v>
      </c>
      <c r="F113" s="3450"/>
      <c r="G113" s="3450"/>
      <c r="H113" s="3450"/>
      <c r="I113" s="121"/>
    </row>
    <row r="114" spans="1:27" ht="3.75" customHeight="1">
      <c r="A114" s="646"/>
      <c r="B114" s="646"/>
      <c r="C114" s="646"/>
      <c r="D114" s="646"/>
      <c r="E114" s="1671"/>
      <c r="F114" s="1671"/>
      <c r="G114" s="1671"/>
      <c r="H114" s="1671"/>
      <c r="I114" s="646"/>
    </row>
    <row r="115" spans="1:27" ht="18.75" customHeight="1">
      <c r="A115" s="3458" t="s">
        <v>1442</v>
      </c>
      <c r="B115" s="3459"/>
      <c r="C115" s="3459"/>
      <c r="D115" s="3459"/>
      <c r="E115" s="3459"/>
      <c r="F115" s="3459"/>
      <c r="G115" s="3459"/>
      <c r="H115" s="3459"/>
      <c r="I115" s="3460"/>
    </row>
    <row r="116" spans="1:27" ht="27" customHeight="1">
      <c r="A116" s="3415" t="s">
        <v>1443</v>
      </c>
      <c r="B116" s="3419" t="s">
        <v>1444</v>
      </c>
      <c r="C116" s="3419" t="s">
        <v>1445</v>
      </c>
      <c r="D116" s="3425" t="s">
        <v>1446</v>
      </c>
      <c r="E116" s="3426"/>
      <c r="F116" s="3457" t="s">
        <v>1447</v>
      </c>
      <c r="G116" s="3457"/>
      <c r="H116" s="3415" t="s">
        <v>1448</v>
      </c>
      <c r="I116" s="3415"/>
    </row>
    <row r="117" spans="1:27" ht="18.75" customHeight="1">
      <c r="A117" s="3415"/>
      <c r="B117" s="3420"/>
      <c r="C117" s="342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5" t="s">
        <v>1452</v>
      </c>
      <c r="B119" s="3415"/>
      <c r="C119" s="3415"/>
      <c r="D119" s="3421" t="e">
        <f ca="1">NUMBERSTRING(INT(D118*10000),2)&amp;"元整"</f>
        <v>#REF!</v>
      </c>
      <c r="E119" s="3422"/>
      <c r="F119" s="3421" t="e">
        <f ca="1">NUMBERSTRING(INT(F118*10000),2)&amp;"元整"</f>
        <v>#REF!</v>
      </c>
      <c r="G119" s="3422"/>
      <c r="H119" s="3421" t="e">
        <f ca="1">NUMBERSTRING(INT(H118*10000),2)&amp;"元整"</f>
        <v>#REF!</v>
      </c>
      <c r="I119" s="3422"/>
    </row>
    <row r="120" spans="1:27" ht="18.75" customHeight="1">
      <c r="A120" s="3416" t="str">
        <f>IF(项目基本情况!B9="房地产市场价值","",MID(E103,3,LEN(E103)-2))</f>
        <v>估价师知悉的法定优先受偿款</v>
      </c>
      <c r="B120" s="3417"/>
      <c r="C120" s="3418"/>
      <c r="D120" s="3416">
        <f>H103</f>
        <v>0</v>
      </c>
      <c r="E120" s="3417"/>
      <c r="F120" s="3417"/>
      <c r="G120" s="3417"/>
      <c r="H120" s="3417"/>
      <c r="I120" s="341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21" t="s">
        <v>1452</v>
      </c>
      <c r="B121" s="3423"/>
      <c r="C121" s="3422"/>
      <c r="D121" s="3421" t="str">
        <f>IF(D120=0,"零元整",NUMBERSTRING(INT(D120*10000),2)&amp;"元整")</f>
        <v>零元整</v>
      </c>
      <c r="E121" s="3423"/>
      <c r="F121" s="3423"/>
      <c r="G121" s="3423"/>
      <c r="H121" s="3423"/>
      <c r="I121" s="3422"/>
      <c r="AA121" s="684"/>
    </row>
    <row r="122" spans="1:27" ht="18.75" customHeight="1">
      <c r="A122" s="3427" t="str">
        <f>IF(项目基本情况!B9="房地产市场价值","",MID(E107,3,LEN(E107)-2))</f>
        <v>房地产抵押价值</v>
      </c>
      <c r="B122" s="3427"/>
      <c r="C122" s="3427"/>
      <c r="D122" s="3416" t="e">
        <f ca="1">H107</f>
        <v>#REF!</v>
      </c>
      <c r="E122" s="3417"/>
      <c r="F122" s="3417"/>
      <c r="G122" s="3417"/>
      <c r="H122" s="3417"/>
      <c r="I122" s="3418"/>
      <c r="AA122" s="684"/>
    </row>
    <row r="123" spans="1:27" ht="18.75" customHeight="1">
      <c r="A123" s="3415" t="s">
        <v>1452</v>
      </c>
      <c r="B123" s="3415"/>
      <c r="C123" s="3415"/>
      <c r="D123" s="3421" t="e">
        <f ca="1">NUMBERSTRING(INT(D122*10000),2)&amp;"元整"</f>
        <v>#REF!</v>
      </c>
      <c r="E123" s="3423"/>
      <c r="F123" s="3423"/>
      <c r="G123" s="3423"/>
      <c r="H123" s="3423"/>
      <c r="I123" s="3422"/>
      <c r="AA123" s="684"/>
    </row>
    <row r="124" spans="1:27" ht="18.75" customHeight="1">
      <c r="A124" s="3427" t="str">
        <f>IF(项目基本情况!B9="房地产市场价值","",MID(E109,3,LEN(E109)-2))</f>
        <v/>
      </c>
      <c r="B124" s="3427"/>
      <c r="C124" s="3427"/>
      <c r="D124" s="3416" t="str">
        <f>H109</f>
        <v>——</v>
      </c>
      <c r="E124" s="3417"/>
      <c r="F124" s="3417"/>
      <c r="G124" s="3417"/>
      <c r="H124" s="3417"/>
      <c r="I124" s="3418"/>
      <c r="AA124" s="684"/>
    </row>
    <row r="125" spans="1:27" ht="18.75" customHeight="1">
      <c r="A125" s="3415" t="s">
        <v>1452</v>
      </c>
      <c r="B125" s="3415"/>
      <c r="C125" s="3415"/>
      <c r="D125" s="3421" t="e">
        <f>NUMBERSTRING(INT(D124*10000),2)&amp;"元整"</f>
        <v>#VALUE!</v>
      </c>
      <c r="E125" s="3423"/>
      <c r="F125" s="3423"/>
      <c r="G125" s="3423"/>
      <c r="H125" s="3423"/>
      <c r="I125" s="3422"/>
      <c r="AA125" s="684"/>
    </row>
    <row r="126" spans="1:27" ht="18.75" customHeight="1">
      <c r="A126" s="3427" t="str">
        <f>IF(项目基本情况!B9="房地产市场价值","",MID(E111,3,LEN(E111)-2))</f>
        <v/>
      </c>
      <c r="B126" s="3427"/>
      <c r="C126" s="3427"/>
      <c r="D126" s="3416" t="str">
        <f>H111</f>
        <v>——</v>
      </c>
      <c r="E126" s="3417"/>
      <c r="F126" s="3417"/>
      <c r="G126" s="3417"/>
      <c r="H126" s="3417"/>
      <c r="I126" s="3418"/>
      <c r="AA126" s="684"/>
    </row>
    <row r="127" spans="1:27" ht="18.75" customHeight="1">
      <c r="A127" s="3415" t="s">
        <v>1452</v>
      </c>
      <c r="B127" s="3415"/>
      <c r="C127" s="3415"/>
      <c r="D127" s="3421" t="e">
        <f>NUMBERSTRING(INT(D126*10000),2)&amp;"元整"</f>
        <v>#VALUE!</v>
      </c>
      <c r="E127" s="3423"/>
      <c r="F127" s="3423"/>
      <c r="G127" s="3423"/>
      <c r="H127" s="3423"/>
      <c r="I127" s="3422"/>
      <c r="AA127" s="684"/>
    </row>
    <row r="128" spans="1:27" ht="21.75" customHeight="1">
      <c r="A128" s="3424" t="s">
        <v>1453</v>
      </c>
      <c r="B128" s="3424"/>
      <c r="C128" s="3424"/>
      <c r="D128" s="3424"/>
      <c r="E128" s="3424"/>
      <c r="F128" s="3424"/>
      <c r="G128" s="3424"/>
      <c r="H128" s="3424"/>
      <c r="I128" s="342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8">
        <f>基准地价修正!G23</f>
        <v>45845</v>
      </c>
      <c r="B1" s="2930" t="s">
        <v>3377</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2818</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2">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2">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2">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2">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2">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2">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2">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2">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2">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2">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2">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2">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2">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2">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5" thickTop="1"/>
    <row r="26" spans="1:44">
      <c r="A26" s="3144" t="s">
        <v>3380</v>
      </c>
    </row>
    <row r="27" spans="1:44">
      <c r="I27" s="1405" t="s">
        <v>2824</v>
      </c>
    </row>
    <row r="29" spans="1:44" s="2009" customFormat="1" ht="13.2">
      <c r="B29" s="2930" t="s">
        <v>3378</v>
      </c>
      <c r="C29" s="2931"/>
      <c r="D29" s="2931"/>
      <c r="E29" s="2931"/>
      <c r="F29" s="2931"/>
      <c r="G29" s="2931"/>
      <c r="H29" s="2931"/>
      <c r="I29" s="2931"/>
      <c r="J29" s="2897"/>
      <c r="K29" s="2931" t="s">
        <v>2825</v>
      </c>
      <c r="L29" s="2931"/>
      <c r="M29" s="2931"/>
      <c r="N29" s="2931"/>
      <c r="O29" s="2931"/>
      <c r="P29" s="2931"/>
      <c r="Q29" s="2897"/>
      <c r="R29" s="3493" t="s">
        <v>2826</v>
      </c>
      <c r="S29" s="3494"/>
      <c r="T29" s="3494"/>
      <c r="U29" s="3494"/>
      <c r="V29" s="3494"/>
      <c r="W29" s="3494"/>
      <c r="X29" s="2897"/>
      <c r="Y29" s="3493" t="s">
        <v>2827</v>
      </c>
      <c r="Z29" s="3494"/>
      <c r="AA29" s="3494"/>
      <c r="AB29" s="3494"/>
      <c r="AC29" s="3494"/>
      <c r="AD29" s="3494"/>
    </row>
    <row r="30" spans="1:44" s="2010" customFormat="1" ht="1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3.2">
      <c r="A31" s="2885" t="s">
        <v>2833</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2">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2">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2">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2">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2">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2">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2">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2">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2">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2">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2">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2">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2">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2">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2">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2">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6" t="s">
        <v>2838</v>
      </c>
      <c r="B1" s="3506"/>
      <c r="C1" s="3506"/>
      <c r="D1" s="3506"/>
      <c r="E1" s="3506"/>
      <c r="F1" s="3506"/>
      <c r="G1" s="350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0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50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6">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6">
      <c r="A8" s="3185" t="str">
        <f>结果表!A122</f>
        <v>房地产抵押价值</v>
      </c>
      <c r="B8" s="3185"/>
      <c r="C8" s="3185"/>
      <c r="D8" s="3185" t="e">
        <f ca="1">结果表!D122</f>
        <v>#REF!</v>
      </c>
      <c r="E8" s="3185"/>
      <c r="F8" s="3185"/>
      <c r="G8" s="3185"/>
      <c r="H8" s="3185"/>
      <c r="I8" s="3185"/>
    </row>
    <row r="9" spans="1:9" ht="15">
      <c r="A9" s="3184" t="s">
        <v>927</v>
      </c>
      <c r="B9" s="3184"/>
      <c r="C9" s="3184"/>
      <c r="D9" s="3184" t="e">
        <f ca="1">结果表!D123</f>
        <v>#REF!</v>
      </c>
      <c r="E9" s="3184"/>
      <c r="F9" s="3184"/>
      <c r="G9" s="3184"/>
      <c r="H9" s="3184"/>
      <c r="I9" s="3184"/>
    </row>
    <row r="10" spans="1:9" ht="15.6">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6">
      <c r="A12" s="3185" t="str">
        <f>结果表!A126</f>
        <v/>
      </c>
      <c r="B12" s="3185"/>
      <c r="C12" s="3185"/>
      <c r="D12" s="3185" t="str">
        <f>结果表!D126</f>
        <v>——</v>
      </c>
      <c r="E12" s="3185"/>
      <c r="F12" s="3185"/>
      <c r="G12" s="3185"/>
      <c r="H12" s="3185"/>
      <c r="I12" s="3185"/>
    </row>
    <row r="13" spans="1:9" ht="15.6" thickBot="1">
      <c r="A13" s="3189" t="s">
        <v>927</v>
      </c>
      <c r="B13" s="3189"/>
      <c r="C13" s="3189"/>
      <c r="D13" s="3189" t="e">
        <f>结果表!D127</f>
        <v>#VALUE!</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45845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面积信息价值表</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2025-07-07T06:01:47Z</dcterms:modified>
</cp:coreProperties>
</file>