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6320" windowHeight="1383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816" sheetId="9" r:id="rId18"/>
    <sheet name="成本法" sheetId="68" state="hidden" r:id="rId19"/>
    <sheet name="成本法 (元)" sheetId="69" state="hidden" r:id="rId20"/>
    <sheet name="假设开发法" sheetId="12" state="hidden" r:id="rId21"/>
    <sheet name="收益法" sheetId="15" state="hidden" r:id="rId22"/>
    <sheet name="比较法-办公816" sheetId="34" r:id="rId23"/>
    <sheet name="收益法 (元)816" sheetId="67" r:id="rId24"/>
    <sheet name="结果表817" sheetId="79" r:id="rId25"/>
    <sheet name="比较法-办公817" sheetId="81" r:id="rId26"/>
    <sheet name="收益法 (元)817"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externalReferences>
    <externalReference r:id="rId49"/>
    <externalReference r:id="rId50"/>
    <externalReference r:id="rId51"/>
  </externalReferences>
  <definedNames>
    <definedName name="_xlnm._FilterDatabase" localSheetId="22" hidden="1">'比较法-办公816'!$A$1:$L$50</definedName>
    <definedName name="_xlnm._FilterDatabase" localSheetId="25" hidden="1">'比较法-办公817'!$A$1:$L$50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'比较法-办公816'!$A$1:$K$55,'比较法-办公816'!$A$58:$M$132</definedName>
    <definedName name="_xlnm.Print_Area" localSheetId="25">'比较法-办公817'!$A$1:$K$55,'比较法-办公817'!$A$58:$M$132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结果表816!$A$1:$I$127</definedName>
    <definedName name="_xlnm.Print_Area" localSheetId="24">结果表817!$A$1:$I$127</definedName>
    <definedName name="_xlnm.Print_Area" localSheetId="21">收益法!$A$1:$F$43,收益法!$H$3:$M$29,收益法!$A$46:$F$71,收益法!$I$46:$N$65</definedName>
    <definedName name="_xlnm.Print_Area" localSheetId="23">'收益法 (元)816'!$A$1:$F$43,'收益法 (元)816'!$H$3:$M$29,'收益法 (元)816'!$A$45:$F$71,'收益法 (元)816'!$I$46:$N$65</definedName>
    <definedName name="_xlnm.Print_Area" localSheetId="26">'收益法 (元)817'!$A$1:$F$43,'收益法 (元)817'!$H$3:$M$29,'收益法 (元)817'!$A$45:$F$71,'收益法 (元)817'!$I$46:$N$65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5">'比较法-办公817'!$B$119:$M$119</definedName>
    <definedName name="办公层高">'比较法-办公816'!$B$119:$M$119</definedName>
    <definedName name="办公朝向" localSheetId="25">'比较法-办公817'!$B$91:$M$91</definedName>
    <definedName name="办公朝向">'比较法-办公816'!$B$91:$M$91</definedName>
    <definedName name="办公道路级别" localSheetId="25">'比较法-办公817'!$B$87:$M$87</definedName>
    <definedName name="办公道路级别">'比较法-办公816'!$B$87:$M$87</definedName>
    <definedName name="办公公共部分装修" localSheetId="25">'比较法-办公817'!$B$108:$M$108</definedName>
    <definedName name="办公公共部分装修">'比较法-办公816'!$B$108:$M$108</definedName>
    <definedName name="办公基础设施水平" localSheetId="25">'比较法-办公817'!$B$117:$M$117</definedName>
    <definedName name="办公基础设施水平">'比较法-办公816'!$B$117:$M$117</definedName>
    <definedName name="办公集聚程度">定义!$M$1:$M$6</definedName>
    <definedName name="办公建筑结构" localSheetId="25">'比较法-办公817'!$B$106:$M$106</definedName>
    <definedName name="办公建筑结构">'比较法-办公816'!$B$106:$M$106</definedName>
    <definedName name="办公建筑类型" localSheetId="25">'比较法-办公817'!$B$101:$M$101</definedName>
    <definedName name="办公建筑类型">'比较法-办公816'!$B$101:$M$101</definedName>
    <definedName name="办公交易情况" localSheetId="25">'比较法-办公817'!$A$62:$M$62</definedName>
    <definedName name="办公交易情况">'比较法-办公816'!$A$62:$M$62</definedName>
    <definedName name="办公楼层" localSheetId="25">'比较法-办公817'!$B$89:$M$89</definedName>
    <definedName name="办公楼层">'比较法-办公816'!$B$89:$M$89</definedName>
    <definedName name="办公内部装修" localSheetId="25">'比较法-办公817'!$B$123:$M$123</definedName>
    <definedName name="办公内部装修">'比较法-办公816'!$B$123:$M$123</definedName>
    <definedName name="办公物业管理" localSheetId="25">'比较法-办公817'!$B$115:$M$115</definedName>
    <definedName name="办公物业管理">'比较法-办公816'!$B$115:$M$115</definedName>
    <definedName name="办公用途" localSheetId="25">'比较法-办公817'!$B$64:$M$64</definedName>
    <definedName name="办公用途">'比较法-办公816'!$B$64:$M$64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5">'比较法-办公817'!$B$113:$M$113</definedName>
    <definedName name="写字楼等级">'比较法-办公816'!$B$113:$M$113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6" i="74" l="1"/>
  <c r="G16" i="74" s="1"/>
  <c r="N6" i="1" l="1"/>
  <c r="B16" i="74" l="1"/>
  <c r="C34" i="34" l="1"/>
  <c r="C34" i="81"/>
  <c r="C15" i="74" l="1"/>
  <c r="C14" i="74"/>
  <c r="B15" i="74"/>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F105" i="81"/>
  <c r="G105" i="81" s="1"/>
  <c r="E105" i="81"/>
  <c r="M103" i="81"/>
  <c r="L103" i="81"/>
  <c r="K103" i="81"/>
  <c r="J103" i="81"/>
  <c r="I103" i="81"/>
  <c r="H103" i="81"/>
  <c r="G103" i="81"/>
  <c r="F103" i="81"/>
  <c r="E103" i="81"/>
  <c r="D103" i="81"/>
  <c r="C103" i="81"/>
  <c r="F102" i="81"/>
  <c r="G102" i="81" s="1"/>
  <c r="H102" i="81" s="1"/>
  <c r="I102" i="81" s="1"/>
  <c r="J102" i="81" s="1"/>
  <c r="K102" i="81" s="1"/>
  <c r="L102" i="81" s="1"/>
  <c r="M102" i="81" s="1"/>
  <c r="D102" i="81"/>
  <c r="E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F88" i="81"/>
  <c r="G88" i="81" s="1"/>
  <c r="H88" i="81" s="1"/>
  <c r="I88" i="81" s="1"/>
  <c r="J88" i="81" s="1"/>
  <c r="K88" i="81" s="1"/>
  <c r="L88" i="81" s="1"/>
  <c r="M88" i="81" s="1"/>
  <c r="D88" i="81"/>
  <c r="E88" i="81" s="1"/>
  <c r="F86" i="81"/>
  <c r="G86" i="81" s="1"/>
  <c r="D86" i="81"/>
  <c r="E86" i="81" s="1"/>
  <c r="F84" i="81"/>
  <c r="G84" i="81" s="1"/>
  <c r="D84" i="81"/>
  <c r="E84" i="81" s="1"/>
  <c r="F82" i="81"/>
  <c r="G82" i="81" s="1"/>
  <c r="D82" i="81"/>
  <c r="E82" i="81" s="1"/>
  <c r="F80" i="81"/>
  <c r="G80" i="81" s="1"/>
  <c r="D80" i="81"/>
  <c r="E80" i="81" s="1"/>
  <c r="F78" i="81"/>
  <c r="G78" i="81" s="1"/>
  <c r="D78" i="81"/>
  <c r="E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H67" i="81"/>
  <c r="I67" i="81" s="1"/>
  <c r="F67" i="81"/>
  <c r="G67" i="81" s="1"/>
  <c r="C64" i="8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H34" i="81"/>
  <c r="Q33" i="81"/>
  <c r="Z33" i="81" s="1"/>
  <c r="J33" i="81"/>
  <c r="AC33" i="81" s="1"/>
  <c r="H33" i="81"/>
  <c r="AB33" i="81" s="1"/>
  <c r="F33" i="81"/>
  <c r="Q32" i="81"/>
  <c r="Z32" i="81" s="1"/>
  <c r="J32" i="81"/>
  <c r="AC32" i="81" s="1"/>
  <c r="H32" i="81"/>
  <c r="AB32" i="81" s="1"/>
  <c r="F32" i="81"/>
  <c r="AA32" i="81" s="1"/>
  <c r="AC31" i="81"/>
  <c r="W31" i="81"/>
  <c r="Q31" i="81"/>
  <c r="Z31" i="81" s="1"/>
  <c r="J31" i="81"/>
  <c r="H31" i="81"/>
  <c r="AB31" i="81" s="1"/>
  <c r="F31" i="81"/>
  <c r="AA31" i="81" s="1"/>
  <c r="AB30" i="81"/>
  <c r="Q30" i="81"/>
  <c r="Z30" i="81" s="1"/>
  <c r="J30" i="81"/>
  <c r="AC30" i="81" s="1"/>
  <c r="H30" i="81"/>
  <c r="U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59" i="81" s="1"/>
  <c r="E59" i="81" s="1"/>
  <c r="F59" i="81" s="1"/>
  <c r="G59" i="81" s="1"/>
  <c r="H59" i="81" s="1"/>
  <c r="I59" i="81" s="1"/>
  <c r="J59" i="81" s="1"/>
  <c r="K59" i="81" s="1"/>
  <c r="L59" i="81" s="1"/>
  <c r="M59" i="81" s="1"/>
  <c r="N59" i="81" s="1"/>
  <c r="O59" i="81" s="1"/>
  <c r="D3" i="81"/>
  <c r="Q72" i="80"/>
  <c r="Q59" i="80"/>
  <c r="K59" i="80"/>
  <c r="P74" i="80" s="1"/>
  <c r="F59" i="80"/>
  <c r="Q58" i="80"/>
  <c r="Q51" i="80"/>
  <c r="J50" i="80"/>
  <c r="J51" i="80" s="1"/>
  <c r="M47" i="80"/>
  <c r="D46" i="80"/>
  <c r="F34" i="80"/>
  <c r="F33" i="80"/>
  <c r="F61" i="80" s="1"/>
  <c r="F32" i="80"/>
  <c r="F60" i="80" s="1"/>
  <c r="F31" i="80"/>
  <c r="F28" i="80"/>
  <c r="C28" i="80"/>
  <c r="F23" i="80"/>
  <c r="D24" i="80" s="1"/>
  <c r="D23" i="80"/>
  <c r="D22" i="80"/>
  <c r="F21" i="80"/>
  <c r="M20" i="80"/>
  <c r="F20" i="80"/>
  <c r="M19" i="80"/>
  <c r="M18" i="80"/>
  <c r="F18" i="80"/>
  <c r="M17" i="80"/>
  <c r="F17" i="80"/>
  <c r="F15" i="80"/>
  <c r="G1" i="80"/>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C18" i="79" s="1"/>
  <c r="D18" i="79" s="1"/>
  <c r="L4" i="79"/>
  <c r="K4" i="79"/>
  <c r="A2" i="79"/>
  <c r="H1" i="79"/>
  <c r="I48" i="34"/>
  <c r="G105" i="34"/>
  <c r="G48" i="34"/>
  <c r="E48" i="34"/>
  <c r="I37" i="34"/>
  <c r="G37" i="34"/>
  <c r="E37" i="34"/>
  <c r="C37" i="34"/>
  <c r="E105" i="34"/>
  <c r="F105" i="34" s="1"/>
  <c r="AM7" i="1"/>
  <c r="AL7" i="1"/>
  <c r="AK7" i="1"/>
  <c r="Y7" i="1"/>
  <c r="Y6" i="1"/>
  <c r="W7" i="1"/>
  <c r="V7" i="1"/>
  <c r="N7" i="1"/>
  <c r="L7" i="1"/>
  <c r="J7" i="1"/>
  <c r="I7" i="1"/>
  <c r="H7" i="1"/>
  <c r="F20" i="6"/>
  <c r="F19" i="6"/>
  <c r="D3" i="4"/>
  <c r="D35" i="79"/>
  <c r="D34" i="79"/>
  <c r="D2" i="81"/>
  <c r="F43" i="80"/>
  <c r="H7" i="81" l="1"/>
  <c r="AA8" i="81"/>
  <c r="AC8" i="81"/>
  <c r="U9" i="81"/>
  <c r="S10" i="81"/>
  <c r="W10" i="81"/>
  <c r="U11" i="81"/>
  <c r="S12" i="81"/>
  <c r="W12" i="81"/>
  <c r="U13" i="81"/>
  <c r="S14" i="81"/>
  <c r="W14" i="81"/>
  <c r="S15" i="81"/>
  <c r="W15" i="81"/>
  <c r="S17" i="81"/>
  <c r="W17" i="81"/>
  <c r="S19" i="81"/>
  <c r="W19" i="81"/>
  <c r="S21" i="81"/>
  <c r="W21" i="81"/>
  <c r="S23" i="81"/>
  <c r="W23" i="81"/>
  <c r="U25" i="81"/>
  <c r="S27" i="81"/>
  <c r="W27" i="81"/>
  <c r="U28" i="81"/>
  <c r="S29" i="81"/>
  <c r="W29" i="81"/>
  <c r="S31" i="81"/>
  <c r="U32" i="81"/>
  <c r="AA37" i="81"/>
  <c r="S37" i="81"/>
  <c r="AC37" i="81"/>
  <c r="W37" i="81"/>
  <c r="F7" i="81"/>
  <c r="J7" i="81"/>
  <c r="S9" i="81"/>
  <c r="W9" i="81"/>
  <c r="U10" i="81"/>
  <c r="S11" i="81"/>
  <c r="W11" i="81"/>
  <c r="U12" i="81"/>
  <c r="S13" i="81"/>
  <c r="W13" i="81"/>
  <c r="U14" i="81"/>
  <c r="U15" i="81"/>
  <c r="U17" i="81"/>
  <c r="U19" i="81"/>
  <c r="U21" i="81"/>
  <c r="U23" i="81"/>
  <c r="S25" i="81"/>
  <c r="W25" i="81"/>
  <c r="U27" i="81"/>
  <c r="S28" i="81"/>
  <c r="W28" i="81"/>
  <c r="U29" i="81"/>
  <c r="S30" i="81"/>
  <c r="W30" i="81"/>
  <c r="AA33" i="81"/>
  <c r="S33" i="81"/>
  <c r="AB34" i="81"/>
  <c r="U34" i="81"/>
  <c r="AB37" i="81"/>
  <c r="U37" i="81"/>
  <c r="U31" i="81"/>
  <c r="S32" i="81"/>
  <c r="W32" i="81"/>
  <c r="U33" i="81"/>
  <c r="S35" i="81"/>
  <c r="W35" i="81"/>
  <c r="U36" i="81"/>
  <c r="U38" i="81"/>
  <c r="S39" i="81"/>
  <c r="W39" i="81"/>
  <c r="U40" i="81"/>
  <c r="S41" i="81"/>
  <c r="W41" i="81"/>
  <c r="U42" i="81"/>
  <c r="S43" i="81"/>
  <c r="W43" i="81"/>
  <c r="U44" i="81"/>
  <c r="S45" i="81"/>
  <c r="W45" i="81"/>
  <c r="U46" i="81"/>
  <c r="S47" i="81"/>
  <c r="W47" i="81"/>
  <c r="T48" i="81"/>
  <c r="E55" i="81"/>
  <c r="F55" i="81" s="1"/>
  <c r="I55" i="81"/>
  <c r="J55" i="81" s="1"/>
  <c r="W33" i="81"/>
  <c r="S34" i="81"/>
  <c r="W34" i="81"/>
  <c r="U35" i="81"/>
  <c r="S36" i="81"/>
  <c r="W36" i="81"/>
  <c r="S38" i="81"/>
  <c r="W38" i="81"/>
  <c r="U39" i="81"/>
  <c r="S40" i="81"/>
  <c r="W40" i="81"/>
  <c r="U41" i="81"/>
  <c r="S42" i="81"/>
  <c r="W42" i="81"/>
  <c r="U43" i="81"/>
  <c r="S44" i="81"/>
  <c r="W44" i="81"/>
  <c r="U45" i="81"/>
  <c r="S46" i="81"/>
  <c r="W46" i="81"/>
  <c r="U47" i="81"/>
  <c r="F71" i="80"/>
  <c r="F62" i="80"/>
  <c r="P61" i="80"/>
  <c r="C74" i="79"/>
  <c r="C92" i="79"/>
  <c r="C94" i="79"/>
  <c r="K120" i="79"/>
  <c r="D121" i="79"/>
  <c r="H109" i="79"/>
  <c r="H112" i="79"/>
  <c r="G14" i="73"/>
  <c r="F14" i="73"/>
  <c r="E14" i="73"/>
  <c r="F38" i="80"/>
  <c r="L47" i="80"/>
  <c r="L48" i="80"/>
  <c r="F16" i="80"/>
  <c r="F13" i="80"/>
  <c r="M24" i="80"/>
  <c r="F7" i="80"/>
  <c r="M26" i="80"/>
  <c r="F6" i="80"/>
  <c r="C17" i="80"/>
  <c r="F36" i="80"/>
  <c r="F37" i="80"/>
  <c r="C14" i="80"/>
  <c r="M8" i="80"/>
  <c r="F26" i="80"/>
  <c r="M6" i="80"/>
  <c r="M22" i="80"/>
  <c r="F9" i="80"/>
  <c r="M29" i="80"/>
  <c r="M27" i="80"/>
  <c r="F42" i="80"/>
  <c r="C76" i="80"/>
  <c r="M23" i="80"/>
  <c r="J15" i="80"/>
  <c r="F8" i="80"/>
  <c r="M28" i="80"/>
  <c r="F40" i="80"/>
  <c r="M9" i="80"/>
  <c r="AC7" i="81" l="1"/>
  <c r="V49" i="81" s="1"/>
  <c r="I49" i="81" s="1"/>
  <c r="W7" i="81"/>
  <c r="AA7" i="81"/>
  <c r="R49" i="81" s="1"/>
  <c r="S7" i="81"/>
  <c r="U7" i="81"/>
  <c r="AB7" i="81"/>
  <c r="T49" i="81" s="1"/>
  <c r="G49" i="81" s="1"/>
  <c r="F70" i="80"/>
  <c r="F51" i="80"/>
  <c r="C18" i="80"/>
  <c r="C15" i="80"/>
  <c r="F64" i="80"/>
  <c r="M59" i="80"/>
  <c r="N59" i="80"/>
  <c r="L59" i="80"/>
  <c r="L58" i="80"/>
  <c r="F50" i="80"/>
  <c r="M7" i="80"/>
  <c r="J6" i="80" s="1"/>
  <c r="C6" i="80"/>
  <c r="C27" i="80"/>
  <c r="F65" i="80"/>
  <c r="L57" i="80"/>
  <c r="L56" i="80"/>
  <c r="J60" i="80"/>
  <c r="Q48" i="80" s="1"/>
  <c r="J59" i="80"/>
  <c r="J53" i="80"/>
  <c r="J57" i="80"/>
  <c r="J55" i="80" s="1"/>
  <c r="J58" i="80" s="1"/>
  <c r="Q50" i="80" s="1"/>
  <c r="L60" i="80"/>
  <c r="I54" i="80"/>
  <c r="Q71" i="80"/>
  <c r="F68" i="80"/>
  <c r="F66" i="80"/>
  <c r="D124" i="79"/>
  <c r="D125" i="79" s="1"/>
  <c r="H110" i="79"/>
  <c r="G15" i="73"/>
  <c r="F15" i="73"/>
  <c r="E15" i="73"/>
  <c r="C16" i="80"/>
  <c r="G54" i="81" l="1"/>
  <c r="H54" i="81" s="1"/>
  <c r="G53" i="81"/>
  <c r="H53" i="81" s="1"/>
  <c r="R50" i="81"/>
  <c r="E49" i="81"/>
  <c r="I54" i="81"/>
  <c r="J54" i="81" s="1"/>
  <c r="I53" i="81"/>
  <c r="J53" i="81" s="1"/>
  <c r="C19" i="80"/>
  <c r="Q57" i="80"/>
  <c r="Q66" i="80"/>
  <c r="L46" i="80"/>
  <c r="Q73" i="80"/>
  <c r="Q60" i="80"/>
  <c r="C49" i="80"/>
  <c r="Q52" i="80"/>
  <c r="F1" i="80"/>
  <c r="C33" i="80"/>
  <c r="C32" i="80"/>
  <c r="Q74" i="80"/>
  <c r="Q61" i="80"/>
  <c r="J18" i="80"/>
  <c r="G13" i="73"/>
  <c r="F13" i="73"/>
  <c r="E13" i="73"/>
  <c r="E54" i="81" l="1"/>
  <c r="F54" i="81" s="1"/>
  <c r="E53" i="81"/>
  <c r="F53" i="81" s="1"/>
  <c r="C50" i="81"/>
  <c r="C49" i="81"/>
  <c r="C20" i="80"/>
  <c r="C26" i="80" s="1"/>
  <c r="AH5" i="71"/>
  <c r="AG5" i="71"/>
  <c r="AE5" i="71"/>
  <c r="AF5" i="71" s="1"/>
  <c r="AD5" i="71"/>
  <c r="Q5" i="71"/>
  <c r="P5" i="71"/>
  <c r="O5" i="71"/>
  <c r="N5" i="71"/>
  <c r="B3" i="81" l="1"/>
  <c r="B2" i="81"/>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C19" i="79"/>
  <c r="C20" i="79"/>
  <c r="C103" i="79" l="1"/>
  <c r="C21" i="79"/>
  <c r="C102" i="79"/>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C24" i="12" s="1"/>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F12" i="34"/>
  <c r="S12" i="34" s="1"/>
  <c r="Q11" i="34"/>
  <c r="Z11" i="34" s="1"/>
  <c r="Q10" i="34"/>
  <c r="Z10" i="34"/>
  <c r="F10" i="34"/>
  <c r="AA10" i="34" s="1"/>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5" i="34"/>
  <c r="S25" i="34" s="1"/>
  <c r="H23" i="34"/>
  <c r="U23" i="34" s="1"/>
  <c r="J23" i="34"/>
  <c r="AC23" i="34" s="1"/>
  <c r="F19" i="34"/>
  <c r="H17" i="34"/>
  <c r="U17" i="34" s="1"/>
  <c r="F15" i="34"/>
  <c r="AA15" i="34" s="1"/>
  <c r="J15" i="34"/>
  <c r="AC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G114" i="34" s="1"/>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U14" i="34" s="1"/>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E61" i="39"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O9" i="1" s="1"/>
  <c r="AE9" i="1"/>
  <c r="D93" i="9"/>
  <c r="K6" i="1"/>
  <c r="M6" i="1" s="1"/>
  <c r="AC26" i="33"/>
  <c r="W26" i="33"/>
  <c r="AB34" i="36"/>
  <c r="U34" i="36"/>
  <c r="AB33" i="36"/>
  <c r="U33" i="36"/>
  <c r="AC12" i="39"/>
  <c r="W12" i="39"/>
  <c r="AC39" i="40"/>
  <c r="W39" i="40"/>
  <c r="AZ401" i="3"/>
  <c r="AZ412" i="3"/>
  <c r="AZ417" i="3"/>
  <c r="AZ428" i="3"/>
  <c r="AZ433" i="3"/>
  <c r="AZ465" i="3"/>
  <c r="AZ586" i="3"/>
  <c r="F22" i="43"/>
  <c r="B113" i="43"/>
  <c r="B115" i="43" s="1"/>
  <c r="K101" i="43"/>
  <c r="F101" i="43"/>
  <c r="N101" i="43"/>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D117" i="43"/>
  <c r="E117" i="43" s="1"/>
  <c r="F117" i="43" s="1"/>
  <c r="G117" i="43" s="1"/>
  <c r="H117" i="43" s="1"/>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42" i="34"/>
  <c r="AB35" i="34"/>
  <c r="AB41" i="34"/>
  <c r="AA45" i="34"/>
  <c r="W34" i="34"/>
  <c r="AA25" i="34"/>
  <c r="U28" i="34"/>
  <c r="S17" i="34"/>
  <c r="AA29" i="34"/>
  <c r="U15" i="34"/>
  <c r="H10" i="34"/>
  <c r="U10" i="34" s="1"/>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s="1"/>
  <c r="BA13" i="3"/>
  <c r="AZ13" i="3" s="1"/>
  <c r="AZ5" i="3" s="1"/>
  <c r="E11" i="6"/>
  <c r="BL17" i="3"/>
  <c r="AZ17" i="3"/>
  <c r="BL13" i="3"/>
  <c r="J56" i="9"/>
  <c r="J57" i="9" s="1"/>
  <c r="J59" i="9" s="1"/>
  <c r="J61" i="9" s="1"/>
  <c r="A24" i="51"/>
  <c r="B18" i="72" s="1"/>
  <c r="U29" i="34"/>
  <c r="C106" i="43"/>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N103" i="43"/>
  <c r="N106" i="43"/>
  <c r="J107" i="43"/>
  <c r="J103" i="43"/>
  <c r="J102" i="43"/>
  <c r="F107"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C102" i="43"/>
  <c r="S2" i="43"/>
  <c r="F103" i="43"/>
  <c r="J106" i="43"/>
  <c r="N107" i="43"/>
  <c r="AR12" i="1"/>
  <c r="T12" i="1"/>
  <c r="T10" i="1"/>
  <c r="E19" i="69"/>
  <c r="E19" i="68"/>
  <c r="E19" i="11"/>
  <c r="E1" i="73"/>
  <c r="G22" i="69"/>
  <c r="G22" i="68"/>
  <c r="G26" i="12"/>
  <c r="G22" i="11"/>
  <c r="C109" i="43"/>
  <c r="J109" i="43"/>
  <c r="C100" i="43"/>
  <c r="K109"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C32" i="34"/>
  <c r="AC29" i="34"/>
  <c r="W29" i="34"/>
  <c r="W46" i="34"/>
  <c r="AC46" i="34"/>
  <c r="S32" i="34"/>
  <c r="AA32" i="34"/>
  <c r="U30" i="34"/>
  <c r="AB30" i="34"/>
  <c r="U38" i="34"/>
  <c r="AA19" i="34"/>
  <c r="S19" i="34"/>
  <c r="AA36" i="34"/>
  <c r="S36" i="34"/>
  <c r="AA8" i="34"/>
  <c r="S8" i="34"/>
  <c r="AB9" i="34"/>
  <c r="U9" i="34"/>
  <c r="S46" i="34"/>
  <c r="AA46" i="34"/>
  <c r="U32" i="34"/>
  <c r="AB32" i="34"/>
  <c r="AB14" i="34"/>
  <c r="AC43" i="34"/>
  <c r="AA11"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68"/>
  <c r="F48" i="68" s="1"/>
  <c r="F28" i="67"/>
  <c r="F52" i="9"/>
  <c r="F32" i="67"/>
  <c r="F60" i="67" s="1"/>
  <c r="F32" i="15"/>
  <c r="F60" i="15" s="1"/>
  <c r="F28" i="15"/>
  <c r="T11" i="1"/>
  <c r="AQ9" i="1"/>
  <c r="AR11" i="1"/>
  <c r="T9" i="1"/>
  <c r="E53" i="3"/>
  <c r="E125" i="3"/>
  <c r="E175" i="3"/>
  <c r="E217" i="3"/>
  <c r="E319" i="3"/>
  <c r="E366" i="3"/>
  <c r="E530" i="3"/>
  <c r="E526" i="3"/>
  <c r="E501" i="3"/>
  <c r="E553" i="3"/>
  <c r="E343" i="3"/>
  <c r="E268" i="3"/>
  <c r="E153" i="3"/>
  <c r="E282" i="3"/>
  <c r="E305" i="3"/>
  <c r="E322" i="3"/>
  <c r="E426" i="3"/>
  <c r="N6" i="3"/>
  <c r="E508" i="3"/>
  <c r="AJ6" i="3"/>
  <c r="E328" i="3"/>
  <c r="E7" i="70"/>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04" i="43"/>
  <c r="E107" i="43"/>
  <c r="E105" i="43"/>
  <c r="M104" i="43"/>
  <c r="M107" i="43"/>
  <c r="M105" i="43"/>
  <c r="H107" i="43"/>
  <c r="H106"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19" i="11" s="1"/>
  <c r="C19" i="1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35" i="9"/>
  <c r="M28" i="67"/>
  <c r="F37" i="15"/>
  <c r="B9" i="76"/>
  <c r="F5" i="73"/>
  <c r="L48" i="15"/>
  <c r="F35" i="15"/>
  <c r="L47" i="67"/>
  <c r="M26" i="67"/>
  <c r="F26" i="15"/>
  <c r="M24" i="15"/>
  <c r="D6" i="73"/>
  <c r="M27" i="67"/>
  <c r="D2" i="21"/>
  <c r="M23" i="15"/>
  <c r="B8" i="76"/>
  <c r="AO10" i="1"/>
  <c r="E11" i="76"/>
  <c r="F42" i="67"/>
  <c r="M9" i="15"/>
  <c r="J15" i="15"/>
  <c r="M22" i="15"/>
  <c r="AO9" i="1"/>
  <c r="B13" i="76"/>
  <c r="B10" i="76"/>
  <c r="F41" i="15"/>
  <c r="AO8" i="1"/>
  <c r="D2" i="34"/>
  <c r="M21" i="15"/>
  <c r="E9" i="76"/>
  <c r="F8" i="67"/>
  <c r="F26" i="67"/>
  <c r="M28" i="15"/>
  <c r="B12" i="76"/>
  <c r="F36" i="67"/>
  <c r="E2" i="69"/>
  <c r="F37" i="67"/>
  <c r="D2" i="36"/>
  <c r="B11" i="76"/>
  <c r="E12" i="76"/>
  <c r="M29" i="15"/>
  <c r="AO11" i="1"/>
  <c r="F38" i="67"/>
  <c r="C76" i="67"/>
  <c r="F13" i="67"/>
  <c r="M8" i="15"/>
  <c r="F16" i="15"/>
  <c r="F3" i="73"/>
  <c r="F7" i="73"/>
  <c r="F8" i="15"/>
  <c r="M6" i="67"/>
  <c r="F43" i="15"/>
  <c r="D2" i="35"/>
  <c r="M27" i="15"/>
  <c r="J15" i="67"/>
  <c r="F6" i="73"/>
  <c r="D5" i="73"/>
  <c r="M9" i="67"/>
  <c r="D34" i="9"/>
  <c r="M6" i="15"/>
  <c r="F38" i="15"/>
  <c r="M8" i="67"/>
  <c r="M29" i="67"/>
  <c r="F40" i="67"/>
  <c r="E8" i="76"/>
  <c r="F6" i="67"/>
  <c r="F7" i="67"/>
  <c r="E7" i="76"/>
  <c r="D2" i="33"/>
  <c r="F4" i="73"/>
  <c r="AO13" i="1"/>
  <c r="D3" i="73"/>
  <c r="E2" i="68"/>
  <c r="D2" i="37"/>
  <c r="F9" i="15"/>
  <c r="AO12" i="1"/>
  <c r="F20" i="31"/>
  <c r="M26" i="15"/>
  <c r="F40" i="15"/>
  <c r="E13" i="76"/>
  <c r="L47" i="15"/>
  <c r="F7" i="15"/>
  <c r="F6" i="15"/>
  <c r="F16" i="67"/>
  <c r="L48" i="67"/>
  <c r="F36" i="15"/>
  <c r="M23" i="67"/>
  <c r="D4" i="73"/>
  <c r="E10" i="76"/>
  <c r="F13" i="15"/>
  <c r="M24" i="67"/>
  <c r="C76" i="15"/>
  <c r="AE7" i="1"/>
  <c r="B7" i="76"/>
  <c r="M22" i="67"/>
  <c r="F9" i="67"/>
  <c r="F43" i="67"/>
  <c r="F42" i="15"/>
  <c r="D7" i="73"/>
  <c r="U34" i="34" l="1"/>
  <c r="W23" i="34"/>
  <c r="AC36" i="34"/>
  <c r="U44" i="34"/>
  <c r="F118" i="34"/>
  <c r="G118" i="34" s="1"/>
  <c r="H40" i="34"/>
  <c r="J40" i="34"/>
  <c r="F40" i="34"/>
  <c r="S40" i="34" s="1"/>
  <c r="G112" i="34"/>
  <c r="H112" i="34" s="1"/>
  <c r="I112" i="34" s="1"/>
  <c r="J112" i="34" s="1"/>
  <c r="K112" i="34" s="1"/>
  <c r="L112" i="34" s="1"/>
  <c r="M112" i="34" s="1"/>
  <c r="J37" i="34"/>
  <c r="F37" i="34"/>
  <c r="AA41" i="34"/>
  <c r="W41" i="34"/>
  <c r="AA40" i="34"/>
  <c r="U39" i="34"/>
  <c r="AC39" i="34"/>
  <c r="W33" i="34"/>
  <c r="F27" i="34"/>
  <c r="F90" i="34"/>
  <c r="G90" i="34" s="1"/>
  <c r="H90" i="34" s="1"/>
  <c r="I90" i="34" s="1"/>
  <c r="J90" i="34" s="1"/>
  <c r="K90" i="34" s="1"/>
  <c r="L90" i="34" s="1"/>
  <c r="M90" i="34" s="1"/>
  <c r="J27" i="34"/>
  <c r="H27" i="34"/>
  <c r="S23" i="34"/>
  <c r="S9" i="34"/>
  <c r="AC12" i="34"/>
  <c r="W12" i="34"/>
  <c r="AC14" i="34"/>
  <c r="S13" i="34"/>
  <c r="AA14" i="34"/>
  <c r="H12" i="34"/>
  <c r="AC17" i="34"/>
  <c r="S21" i="34"/>
  <c r="AC10" i="34"/>
  <c r="S10" i="34"/>
  <c r="AB10" i="34"/>
  <c r="S43" i="34"/>
  <c r="AB36" i="34"/>
  <c r="S35" i="34"/>
  <c r="S34" i="34"/>
  <c r="C20" i="43"/>
  <c r="P74" i="67"/>
  <c r="C92" i="9"/>
  <c r="C94" i="9"/>
  <c r="D68" i="9"/>
  <c r="M18" i="15"/>
  <c r="F30" i="69"/>
  <c r="F48" i="69" s="1"/>
  <c r="M18" i="67"/>
  <c r="F31" i="12"/>
  <c r="F30" i="11"/>
  <c r="C48" i="11" s="1"/>
  <c r="F53" i="9"/>
  <c r="C30" i="69"/>
  <c r="C31" i="12"/>
  <c r="C30" i="11"/>
  <c r="C48" i="68"/>
  <c r="C30" i="68"/>
  <c r="C77" i="9"/>
  <c r="C74" i="9" s="1"/>
  <c r="C13" i="12"/>
  <c r="C28" i="15"/>
  <c r="C48" i="69"/>
  <c r="C21" i="69"/>
  <c r="D22" i="67"/>
  <c r="E2" i="70"/>
  <c r="O6" i="1"/>
  <c r="P6" i="1" s="1"/>
  <c r="L18" i="9"/>
  <c r="D3" i="3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AY6" i="3"/>
  <c r="AY87" i="3" s="1"/>
  <c r="E15" i="6"/>
  <c r="E8" i="6"/>
  <c r="D9" i="69"/>
  <c r="C9" i="69" s="1"/>
  <c r="D9" i="68"/>
  <c r="C9" i="68" s="1"/>
  <c r="D19" i="12"/>
  <c r="C19" i="12" s="1"/>
  <c r="P11" i="1"/>
  <c r="D3" i="21"/>
  <c r="D3" i="33"/>
  <c r="C17" i="4"/>
  <c r="D3" i="37"/>
  <c r="M7" i="1"/>
  <c r="Q16" i="1"/>
  <c r="H16"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H104" i="43"/>
  <c r="H103" i="43"/>
  <c r="M103" i="43"/>
  <c r="M106" i="43"/>
  <c r="M102" i="43"/>
  <c r="E103" i="43"/>
  <c r="E106" i="43"/>
  <c r="G29" i="6"/>
  <c r="F28" i="6"/>
  <c r="C20" i="11"/>
  <c r="E60" i="39"/>
  <c r="E56" i="40"/>
  <c r="AR13" i="1"/>
  <c r="T13" i="1"/>
  <c r="F104" i="43"/>
  <c r="F102" i="43"/>
  <c r="F105" i="43"/>
  <c r="F109" i="43"/>
  <c r="D113" i="43"/>
  <c r="C115" i="43"/>
  <c r="P9" i="1"/>
  <c r="O8" i="1"/>
  <c r="P8" i="1" s="1"/>
  <c r="M18" i="9"/>
  <c r="B118" i="9" s="1"/>
  <c r="B14" i="74" s="1"/>
  <c r="B1" i="74" s="1"/>
  <c r="C8" i="74" s="1"/>
  <c r="D14" i="12"/>
  <c r="D17" i="12" s="1"/>
  <c r="C17" i="12" s="1"/>
  <c r="D37" i="11"/>
  <c r="C37" i="11" s="1"/>
  <c r="E6" i="6"/>
  <c r="BA5" i="3"/>
  <c r="O12" i="1"/>
  <c r="P12" i="1" s="1"/>
  <c r="AQ10" i="1"/>
  <c r="AR10" i="1"/>
  <c r="N102" i="43"/>
  <c r="N105" i="43"/>
  <c r="N104" i="43"/>
  <c r="N109" i="43"/>
  <c r="K103" i="43"/>
  <c r="K102" i="43"/>
  <c r="K105" i="43"/>
  <c r="E60" i="40"/>
  <c r="E64" i="39"/>
  <c r="F30" i="6"/>
  <c r="E28" i="6"/>
  <c r="E14" i="6"/>
  <c r="E10" i="6"/>
  <c r="E13" i="6"/>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67"/>
  <c r="C16" i="15"/>
  <c r="G1" i="73"/>
  <c r="C17" i="67"/>
  <c r="C14" i="67"/>
  <c r="C14" i="15"/>
  <c r="C17" i="15"/>
  <c r="M11" i="80" l="1"/>
  <c r="J10" i="80" s="1"/>
  <c r="J5" i="80" s="1"/>
  <c r="F11" i="80"/>
  <c r="U40" i="34"/>
  <c r="AB40" i="34"/>
  <c r="AC40" i="34"/>
  <c r="W40" i="34"/>
  <c r="AC37" i="34"/>
  <c r="W37" i="34"/>
  <c r="AA37" i="34"/>
  <c r="S37" i="34"/>
  <c r="AB27" i="34"/>
  <c r="U27" i="34"/>
  <c r="AC27" i="34"/>
  <c r="W27" i="34"/>
  <c r="AA27" i="34"/>
  <c r="S27" i="34"/>
  <c r="U12" i="34"/>
  <c r="AB12" i="34"/>
  <c r="C14" i="12"/>
  <c r="J10" i="40"/>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F27" i="6"/>
  <c r="F31" i="6" s="1"/>
  <c r="E56" i="39"/>
  <c r="E51"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67" i="3"/>
  <c r="AY196" i="3"/>
  <c r="AY139" i="3"/>
  <c r="AY74" i="3"/>
  <c r="AY123" i="3"/>
  <c r="AY204" i="3"/>
  <c r="AY252" i="3"/>
  <c r="AY363" i="3"/>
  <c r="AY489" i="3"/>
  <c r="AY412" i="3"/>
  <c r="AY43" i="3"/>
  <c r="AY229" i="3"/>
  <c r="AY379" i="3"/>
  <c r="AY326"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99" i="3"/>
  <c r="AY94" i="3"/>
  <c r="AY63" i="3"/>
  <c r="AY78" i="3"/>
  <c r="AY46" i="3"/>
  <c r="AY35" i="3"/>
  <c r="AY192" i="3"/>
  <c r="AY187" i="3"/>
  <c r="AY156" i="3"/>
  <c r="AY167" i="3"/>
  <c r="AY135" i="3"/>
  <c r="AY127" i="3"/>
  <c r="AY285" i="3"/>
  <c r="AY50" i="3"/>
  <c r="AY261" i="3"/>
  <c r="AY209" i="3"/>
  <c r="AY455" i="3"/>
  <c r="AY343" i="3"/>
  <c r="AY562" i="3"/>
  <c r="AY89" i="3"/>
  <c r="AY182" i="3"/>
  <c r="AY302" i="3"/>
  <c r="AY389" i="3"/>
  <c r="BH6" i="3"/>
  <c r="AY56" i="3"/>
  <c r="AY166" i="3"/>
  <c r="AY295" i="3"/>
  <c r="AY388" i="3"/>
  <c r="AY333" i="3"/>
  <c r="AY316" i="3"/>
  <c r="AY472" i="3"/>
  <c r="AY430" i="3"/>
  <c r="AY411" i="3"/>
  <c r="AY534" i="3"/>
  <c r="AY495" i="3"/>
  <c r="AY501" i="3"/>
  <c r="AY101" i="3"/>
  <c r="AY194" i="3"/>
  <c r="AY287" i="3"/>
  <c r="AY234" i="3"/>
  <c r="AY329" i="3"/>
  <c r="AY312" i="3"/>
  <c r="AY458" i="3"/>
  <c r="AY407" i="3"/>
  <c r="AY14" i="3"/>
  <c r="AY542" i="3"/>
  <c r="AY110" i="3"/>
  <c r="AY30" i="3"/>
  <c r="AY140" i="3"/>
  <c r="AY296" i="3"/>
  <c r="AY233" i="3"/>
  <c r="AY216" i="3"/>
  <c r="AY383" i="3"/>
  <c r="AY347" i="3"/>
  <c r="AY330" i="3"/>
  <c r="AY451" i="3"/>
  <c r="AY408" i="3"/>
  <c r="AY13" i="3"/>
  <c r="AY568" i="3"/>
  <c r="AY102" i="3"/>
  <c r="AY54" i="3"/>
  <c r="AY195" i="3"/>
  <c r="AY175" i="3"/>
  <c r="AY136" i="3"/>
  <c r="AY288" i="3"/>
  <c r="AY272" i="3"/>
  <c r="AY208" i="3"/>
  <c r="AY375" i="3"/>
  <c r="AY339" i="3"/>
  <c r="AY322" i="3"/>
  <c r="AY474" i="3"/>
  <c r="AY400" i="3"/>
  <c r="AY15" i="3"/>
  <c r="AY583" i="3"/>
  <c r="AY567" i="3"/>
  <c r="AY103" i="3"/>
  <c r="AY160" i="3"/>
  <c r="AY183" i="3"/>
  <c r="AY284" i="3"/>
  <c r="AY319" i="3"/>
  <c r="AY497" i="3"/>
  <c r="AY212" i="3"/>
  <c r="AY478" i="3"/>
  <c r="AY535" i="3"/>
  <c r="AY574" i="3"/>
  <c r="AY555" i="3"/>
  <c r="AY85" i="3"/>
  <c r="AY68" i="3"/>
  <c r="AY25" i="3"/>
  <c r="AY178" i="3"/>
  <c r="AY157" i="3"/>
  <c r="AY117" i="3"/>
  <c r="AY271" i="3"/>
  <c r="AY254" i="3"/>
  <c r="AY211" i="3"/>
  <c r="AY365"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493" i="3"/>
  <c r="AY79" i="3"/>
  <c r="AY62" i="3"/>
  <c r="AY19" i="3"/>
  <c r="AY172" i="3"/>
  <c r="AY151" i="3"/>
  <c r="AY301"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89" i="3"/>
  <c r="AY116" i="3"/>
  <c r="AY404" i="3"/>
  <c r="BO6" i="3"/>
  <c r="AY53" i="3"/>
  <c r="AY36" i="3"/>
  <c r="AY146" i="3"/>
  <c r="AY126" i="3"/>
  <c r="AY239" i="3"/>
  <c r="AY222" i="3"/>
  <c r="AY360" i="3"/>
  <c r="AY109" i="3"/>
  <c r="AY73" i="3"/>
  <c r="AY202" i="3"/>
  <c r="AY145" i="3"/>
  <c r="AY259" i="3"/>
  <c r="AY242" i="3"/>
  <c r="AY353" i="3"/>
  <c r="AY348" i="3"/>
  <c r="AY475" i="3"/>
  <c r="AY462" i="3"/>
  <c r="AY398" i="3"/>
  <c r="BQ6" i="3"/>
  <c r="AY585" i="3"/>
  <c r="AY571" i="3"/>
  <c r="BG6" i="3"/>
  <c r="AY494" i="3"/>
  <c r="AY582" i="3"/>
  <c r="AY65" i="3"/>
  <c r="AY48" i="3"/>
  <c r="AY158" i="3"/>
  <c r="AY137" i="3"/>
  <c r="AY251" i="3"/>
  <c r="AY380" i="3"/>
  <c r="AY364" i="3"/>
  <c r="AY344" i="3"/>
  <c r="AY471" i="3"/>
  <c r="AY468" i="3"/>
  <c r="AY426" i="3"/>
  <c r="AY439" i="3"/>
  <c r="AY506" i="3"/>
  <c r="AY524" i="3"/>
  <c r="AY565" i="3"/>
  <c r="AY570" i="3"/>
  <c r="AY578" i="3"/>
  <c r="AY47" i="3"/>
  <c r="AY203" i="3"/>
  <c r="AY120" i="3"/>
  <c r="AY265" i="3"/>
  <c r="AY248" i="3"/>
  <c r="AY394" i="3"/>
  <c r="AY359" i="3"/>
  <c r="AY315" i="3"/>
  <c r="AY485" i="3"/>
  <c r="AY482" i="3"/>
  <c r="AY440" i="3"/>
  <c r="AY421" i="3"/>
  <c r="AY500" i="3"/>
  <c r="AY547" i="3"/>
  <c r="AY528" i="3"/>
  <c r="AY576" i="3"/>
  <c r="AY107" i="3"/>
  <c r="AY71" i="3"/>
  <c r="AY39" i="3"/>
  <c r="AY22" i="3"/>
  <c r="AY200" i="3"/>
  <c r="AY164" i="3"/>
  <c r="AY143" i="3"/>
  <c r="AY293" i="3"/>
  <c r="AY257" i="3"/>
  <c r="AY240" i="3"/>
  <c r="AY386" i="3"/>
  <c r="AY351" i="3"/>
  <c r="AY307" i="3"/>
  <c r="AY477" i="3"/>
  <c r="AY443" i="3"/>
  <c r="AY432" i="3"/>
  <c r="AY413" i="3"/>
  <c r="AY521" i="3"/>
  <c r="AY566" i="3"/>
  <c r="BT6" i="3"/>
  <c r="E6" i="3"/>
  <c r="C18" i="15"/>
  <c r="C15" i="15"/>
  <c r="E29" i="6"/>
  <c r="E30" i="6" s="1"/>
  <c r="G30" i="6"/>
  <c r="G31" i="6" s="1"/>
  <c r="O7" i="1"/>
  <c r="P7" i="1" s="1"/>
  <c r="B4" i="52"/>
  <c r="B43" i="72" s="1"/>
  <c r="F27" i="69"/>
  <c r="F27" i="68"/>
  <c r="F28" i="12"/>
  <c r="C29" i="12" s="1"/>
  <c r="D28" i="12" s="1"/>
  <c r="F27" i="11"/>
  <c r="H10" i="39"/>
  <c r="F10" i="40"/>
  <c r="S10" i="40" s="1"/>
  <c r="E58" i="40"/>
  <c r="E62" i="39"/>
  <c r="D13" i="6"/>
  <c r="E63" i="39"/>
  <c r="E59" i="40"/>
  <c r="D14" i="6"/>
  <c r="D10" i="11"/>
  <c r="C10" i="11" s="1"/>
  <c r="D20" i="12"/>
  <c r="C20" i="12" s="1"/>
  <c r="C18" i="12" s="1"/>
  <c r="D6" i="6"/>
  <c r="D10" i="68"/>
  <c r="D10" i="69"/>
  <c r="E65" i="39"/>
  <c r="D10" i="6"/>
  <c r="E16" i="6"/>
  <c r="K14" i="1"/>
  <c r="D28" i="6"/>
  <c r="E27" i="6"/>
  <c r="K25" i="6" s="1"/>
  <c r="M25" i="6" s="1"/>
  <c r="I25" i="6" s="1"/>
  <c r="BA6" i="3"/>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80" s="1"/>
  <c r="S10" i="39"/>
  <c r="AA10" i="39"/>
  <c r="H7" i="33"/>
  <c r="J7" i="33"/>
  <c r="D65" i="40"/>
  <c r="E63" i="40"/>
  <c r="F48" i="35"/>
  <c r="S7" i="36"/>
  <c r="AA7" i="36"/>
  <c r="R36" i="36" s="1"/>
  <c r="AC7" i="37"/>
  <c r="V42" i="37" s="1"/>
  <c r="I42" i="37" s="1"/>
  <c r="W7" i="37"/>
  <c r="U7" i="37"/>
  <c r="AB7" i="36"/>
  <c r="T36" i="36" s="1"/>
  <c r="G36" i="36" s="1"/>
  <c r="U7" i="36"/>
  <c r="AB7" i="34"/>
  <c r="U7" i="34"/>
  <c r="AA7" i="34"/>
  <c r="S7" i="34"/>
  <c r="U10" i="39"/>
  <c r="AB10" i="39"/>
  <c r="W10" i="40"/>
  <c r="AC10" i="40"/>
  <c r="F7" i="33"/>
  <c r="E58" i="21"/>
  <c r="AC7" i="36"/>
  <c r="V36" i="36" s="1"/>
  <c r="I36" i="36" s="1"/>
  <c r="W7" i="36"/>
  <c r="F7" i="37"/>
  <c r="W7" i="34"/>
  <c r="AC7" i="34"/>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c r="F41" i="80"/>
  <c r="V49" i="34" l="1"/>
  <c r="I49" i="34" s="1"/>
  <c r="R49" i="34"/>
  <c r="T49" i="34"/>
  <c r="G49" i="34" s="1"/>
  <c r="G53" i="34" s="1"/>
  <c r="H53" i="34" s="1"/>
  <c r="F69" i="80"/>
  <c r="C24" i="80"/>
  <c r="C23" i="80"/>
  <c r="C53" i="80"/>
  <c r="C48" i="80" s="1"/>
  <c r="C10" i="80"/>
  <c r="C5" i="80" s="1"/>
  <c r="J24" i="80"/>
  <c r="J26" i="80"/>
  <c r="J29" i="80" s="1"/>
  <c r="F69" i="67"/>
  <c r="AA10" i="40"/>
  <c r="C19" i="15"/>
  <c r="C20" i="15" s="1"/>
  <c r="C26" i="15" s="1"/>
  <c r="AB10" i="40"/>
  <c r="M19" i="9"/>
  <c r="C118" i="9" s="1"/>
  <c r="B2" i="74" s="1"/>
  <c r="D26" i="6"/>
  <c r="D12" i="6"/>
  <c r="D19" i="6"/>
  <c r="C18" i="4"/>
  <c r="D23" i="6"/>
  <c r="D9" i="6"/>
  <c r="L19" i="9"/>
  <c r="D8" i="6"/>
  <c r="D20" i="6"/>
  <c r="D11" i="6"/>
  <c r="E61" i="40"/>
  <c r="D5" i="6"/>
  <c r="D24" i="6"/>
  <c r="D22" i="6"/>
  <c r="D25" i="6"/>
  <c r="D21" i="6"/>
  <c r="D15" i="6"/>
  <c r="K21" i="6"/>
  <c r="M21" i="6" s="1"/>
  <c r="I21" i="6" s="1"/>
  <c r="H21" i="6" s="1"/>
  <c r="R21" i="6" s="1"/>
  <c r="C47" i="69"/>
  <c r="D45" i="69" s="1"/>
  <c r="C29" i="69"/>
  <c r="D27" i="69" s="1"/>
  <c r="F45" i="69"/>
  <c r="K26" i="6"/>
  <c r="M26" i="6" s="1"/>
  <c r="I26" i="6" s="1"/>
  <c r="S26" i="6" s="1"/>
  <c r="K24" i="6"/>
  <c r="M24" i="6" s="1"/>
  <c r="I24" i="6" s="1"/>
  <c r="C47" i="11"/>
  <c r="D45" i="11" s="1"/>
  <c r="C29" i="11"/>
  <c r="D27" i="11" s="1"/>
  <c r="C28" i="11"/>
  <c r="C27" i="11" s="1"/>
  <c r="C29" i="68"/>
  <c r="D27" i="68" s="1"/>
  <c r="F45" i="68"/>
  <c r="C47" i="68"/>
  <c r="D45" i="68" s="1"/>
  <c r="K15" i="1"/>
  <c r="K16" i="1" s="1"/>
  <c r="D29" i="6"/>
  <c r="D30" i="6" s="1"/>
  <c r="AC10" i="39"/>
  <c r="E31" i="6"/>
  <c r="K19" i="6"/>
  <c r="S6" i="1" s="1"/>
  <c r="M14" i="1"/>
  <c r="C34" i="69"/>
  <c r="K20" i="6"/>
  <c r="K23" i="6"/>
  <c r="M23" i="6" s="1"/>
  <c r="I23" i="6" s="1"/>
  <c r="K22" i="6"/>
  <c r="M22" i="6" s="1"/>
  <c r="I22" i="6" s="1"/>
  <c r="C10" i="69"/>
  <c r="C8" i="69" s="1"/>
  <c r="C5" i="69" s="1"/>
  <c r="D19" i="69"/>
  <c r="H26" i="6"/>
  <c r="R26" i="6" s="1"/>
  <c r="S24" i="6"/>
  <c r="H24" i="6"/>
  <c r="R24" i="6" s="1"/>
  <c r="H25" i="6"/>
  <c r="R25" i="6" s="1"/>
  <c r="S25" i="6"/>
  <c r="C10" i="68"/>
  <c r="D19" i="68"/>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R50" i="34" l="1"/>
  <c r="C49" i="34" s="1"/>
  <c r="C29" i="80"/>
  <c r="C57" i="80" s="1"/>
  <c r="C66" i="80"/>
  <c r="C60" i="80"/>
  <c r="C38" i="80"/>
  <c r="Q49" i="80"/>
  <c r="M20" i="6"/>
  <c r="I20" i="6" s="1"/>
  <c r="H20" i="6" s="1"/>
  <c r="R20" i="6" s="1"/>
  <c r="R7" i="1" s="1"/>
  <c r="S7" i="1"/>
  <c r="AQ6" i="1"/>
  <c r="S16" i="1"/>
  <c r="AR6" i="1"/>
  <c r="T6" i="1"/>
  <c r="D27" i="6"/>
  <c r="D31" i="6" s="1"/>
  <c r="D16" i="6"/>
  <c r="C4" i="52"/>
  <c r="B45" i="72" s="1"/>
  <c r="A10" i="51"/>
  <c r="B9" i="72" s="1"/>
  <c r="A7" i="51"/>
  <c r="B7" i="72" s="1"/>
  <c r="D8" i="74"/>
  <c r="D7" i="74"/>
  <c r="S21" i="6"/>
  <c r="S23" i="6"/>
  <c r="H23" i="6"/>
  <c r="R23" i="6" s="1"/>
  <c r="O14" i="1"/>
  <c r="O16" i="1" s="1"/>
  <c r="M16" i="1"/>
  <c r="C19" i="68"/>
  <c r="C24" i="68" s="1"/>
  <c r="D37" i="68"/>
  <c r="C37" i="68" s="1"/>
  <c r="C19" i="69"/>
  <c r="C20" i="69" s="1"/>
  <c r="D37" i="69"/>
  <c r="C37" i="69" s="1"/>
  <c r="S22" i="6"/>
  <c r="H22" i="6"/>
  <c r="R22" i="6" s="1"/>
  <c r="S20" i="6"/>
  <c r="C35" i="69"/>
  <c r="C38" i="69"/>
  <c r="M19" i="6"/>
  <c r="K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E6" i="76"/>
  <c r="B6" i="76"/>
  <c r="C50" i="34" l="1"/>
  <c r="B2" i="34" s="1"/>
  <c r="C13" i="80"/>
  <c r="Q70" i="80" s="1"/>
  <c r="J19" i="80"/>
  <c r="C36" i="80"/>
  <c r="J14" i="80"/>
  <c r="J22" i="80" s="1"/>
  <c r="C75" i="80"/>
  <c r="J13" i="80"/>
  <c r="J23" i="80" s="1"/>
  <c r="C64" i="80"/>
  <c r="C61" i="80"/>
  <c r="C24" i="69"/>
  <c r="T7" i="1"/>
  <c r="T16" i="1" s="1"/>
  <c r="AQ7" i="1"/>
  <c r="AR7" i="1"/>
  <c r="I6" i="6"/>
  <c r="I5" i="6"/>
  <c r="C28" i="69"/>
  <c r="C27" i="69" s="1"/>
  <c r="C25" i="69"/>
  <c r="P14" i="1"/>
  <c r="P16" i="1" s="1"/>
  <c r="C11" i="12" s="1"/>
  <c r="C15" i="12" s="1"/>
  <c r="I19" i="6"/>
  <c r="M27" i="6"/>
  <c r="C20" i="68"/>
  <c r="C25" i="68" s="1"/>
  <c r="C22" i="68" s="1"/>
  <c r="C33" i="69"/>
  <c r="N16" i="1"/>
  <c r="L16" i="1"/>
  <c r="C34" i="11"/>
  <c r="C34"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19" i="9"/>
  <c r="C102" i="9" l="1"/>
  <c r="C21" i="9"/>
  <c r="B3" i="34"/>
  <c r="C56" i="80"/>
  <c r="C65" i="80" s="1"/>
  <c r="C37" i="80"/>
  <c r="C12" i="12"/>
  <c r="C16" i="12" s="1"/>
  <c r="C21" i="12" s="1"/>
  <c r="C22" i="12" s="1"/>
  <c r="C30" i="12" s="1"/>
  <c r="C28" i="12" s="1"/>
  <c r="C22" i="69"/>
  <c r="C31" i="69" s="1"/>
  <c r="C38" i="68"/>
  <c r="C35" i="68"/>
  <c r="C28" i="68"/>
  <c r="C27" i="68" s="1"/>
  <c r="C31" i="68" s="1"/>
  <c r="C38" i="11"/>
  <c r="C35" i="11"/>
  <c r="F50" i="69"/>
  <c r="F50" i="11"/>
  <c r="F50" i="68"/>
  <c r="C39" i="69"/>
  <c r="C43" i="69" s="1"/>
  <c r="C42" i="69"/>
  <c r="S19" i="6"/>
  <c r="S27" i="6" s="1"/>
  <c r="I27" i="6"/>
  <c r="H19" i="6"/>
  <c r="I69" i="39"/>
  <c r="J67" i="39"/>
  <c r="B3" i="76"/>
  <c r="D6" i="71"/>
  <c r="M20" i="43"/>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C20" i="9"/>
  <c r="L51" i="15"/>
  <c r="C103" i="9" l="1"/>
  <c r="C41" i="69"/>
  <c r="C33" i="11"/>
  <c r="C42" i="11" s="1"/>
  <c r="C33" i="68"/>
  <c r="C42" i="68" s="1"/>
  <c r="C27" i="12"/>
  <c r="C25" i="12" s="1"/>
  <c r="C32" i="12" s="1"/>
  <c r="B2" i="12" s="1"/>
  <c r="B3" i="12" s="1"/>
  <c r="C39" i="11"/>
  <c r="H27" i="6"/>
  <c r="R19" i="6"/>
  <c r="C46" i="69"/>
  <c r="C45" i="69" s="1"/>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39" i="68" l="1"/>
  <c r="C43" i="68" s="1"/>
  <c r="C41" i="68" s="1"/>
  <c r="C49" i="69"/>
  <c r="C51" i="69" s="1"/>
  <c r="C52" i="69" s="1"/>
  <c r="B2" i="69" s="1"/>
  <c r="B3" i="69" s="1"/>
  <c r="R27" i="6"/>
  <c r="R6" i="1"/>
  <c r="C46" i="11"/>
  <c r="C45" i="11" s="1"/>
  <c r="C43" i="11"/>
  <c r="C41" i="11" s="1"/>
  <c r="C46" i="68"/>
  <c r="C45" i="68" s="1"/>
  <c r="J7" i="35"/>
  <c r="W7" i="35" s="1"/>
  <c r="L67" i="39"/>
  <c r="K69" i="39"/>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M21" i="80"/>
  <c r="F35" i="80"/>
  <c r="M21" i="67"/>
  <c r="F35" i="67"/>
  <c r="F63" i="80" l="1"/>
  <c r="C62" i="80" s="1"/>
  <c r="C59" i="80" s="1"/>
  <c r="C58" i="80" s="1"/>
  <c r="C67" i="80" s="1"/>
  <c r="C68" i="80" s="1"/>
  <c r="C34" i="80"/>
  <c r="C31" i="80" s="1"/>
  <c r="C30" i="80" s="1"/>
  <c r="C39" i="80" s="1"/>
  <c r="J20" i="80"/>
  <c r="J17" i="80" s="1"/>
  <c r="J16" i="80" s="1"/>
  <c r="J25" i="80" s="1"/>
  <c r="H37" i="34"/>
  <c r="U37" i="34"/>
  <c r="AB37" i="34"/>
  <c r="C34" i="67"/>
  <c r="C31" i="67" s="1"/>
  <c r="C30" i="67" s="1"/>
  <c r="C39" i="67" s="1"/>
  <c r="F63" i="67"/>
  <c r="C62" i="67" s="1"/>
  <c r="C59" i="67" s="1"/>
  <c r="C58" i="67" s="1"/>
  <c r="C67" i="67" s="1"/>
  <c r="C68" i="67" s="1"/>
  <c r="J20" i="67"/>
  <c r="J17" i="67" s="1"/>
  <c r="J16" i="67" s="1"/>
  <c r="J25" i="67" s="1"/>
  <c r="R16" i="1"/>
  <c r="C49" i="11"/>
  <c r="C51" i="11" s="1"/>
  <c r="C52" i="11" s="1"/>
  <c r="B2" i="11" s="1"/>
  <c r="B3" i="11" s="1"/>
  <c r="C57" i="69"/>
  <c r="C56" i="69" s="1"/>
  <c r="C49" i="68"/>
  <c r="C51" i="68" s="1"/>
  <c r="C52" i="68" s="1"/>
  <c r="B2" i="68" s="1"/>
  <c r="B3"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71" i="80" l="1"/>
  <c r="Q69" i="80"/>
  <c r="Q68" i="80" s="1"/>
  <c r="C40" i="80"/>
  <c r="C80" i="80"/>
  <c r="C79" i="80" s="1"/>
  <c r="L57" i="67"/>
  <c r="L60" i="67" s="1"/>
  <c r="Q67" i="67"/>
  <c r="C71" i="67"/>
  <c r="C80" i="67"/>
  <c r="C79" i="67" s="1"/>
  <c r="C40" i="67"/>
  <c r="Q69" i="67"/>
  <c r="Q68" i="67" s="1"/>
  <c r="C56" i="11"/>
  <c r="C57" i="11" s="1"/>
  <c r="C57" i="68"/>
  <c r="C56" i="68" s="1"/>
  <c r="M69" i="39"/>
  <c r="N67" i="39"/>
  <c r="R39" i="35"/>
  <c r="E38" i="35"/>
  <c r="M63" i="40"/>
  <c r="L65" i="40"/>
  <c r="L51" i="80"/>
  <c r="Q67" i="80" l="1"/>
  <c r="Q65" i="80"/>
  <c r="Q75" i="80" s="1"/>
  <c r="Q56" i="80"/>
  <c r="Q62" i="80" s="1"/>
  <c r="Q47" i="80"/>
  <c r="Q53" i="80" s="1"/>
  <c r="C43" i="80"/>
  <c r="D2" i="80"/>
  <c r="C83" i="80"/>
  <c r="C82" i="80" s="1"/>
  <c r="C45" i="80"/>
  <c r="C46" i="80" s="1"/>
  <c r="Q66" i="67"/>
  <c r="Q57" i="67"/>
  <c r="D2" i="67"/>
  <c r="Q56" i="67"/>
  <c r="C83" i="67"/>
  <c r="C82" i="67" s="1"/>
  <c r="C43" i="67"/>
  <c r="Q47" i="67"/>
  <c r="Q53" i="67" s="1"/>
  <c r="Q65" i="67"/>
  <c r="C45" i="67"/>
  <c r="C46" i="67" s="1"/>
  <c r="O67" i="39"/>
  <c r="O69" i="39" s="1"/>
  <c r="N69" i="39"/>
  <c r="F7" i="39"/>
  <c r="C39" i="35"/>
  <c r="B2" i="35" s="1"/>
  <c r="B3" i="35" s="1"/>
  <c r="C38" i="35"/>
  <c r="N63" i="40"/>
  <c r="M65" i="40"/>
  <c r="E43" i="35"/>
  <c r="F43" i="35" s="1"/>
  <c r="E42" i="35"/>
  <c r="F42" i="35" s="1"/>
  <c r="I43" i="35"/>
  <c r="J43" i="35" s="1"/>
  <c r="B3" i="80" l="1"/>
  <c r="B2" i="80"/>
  <c r="Q75" i="67"/>
  <c r="B3" i="67"/>
  <c r="B2" i="67"/>
  <c r="Q62" i="67"/>
  <c r="H7" i="39"/>
  <c r="J7" i="39"/>
  <c r="S7" i="39"/>
  <c r="AA7" i="39"/>
  <c r="R47" i="39" s="1"/>
  <c r="O63" i="40"/>
  <c r="O65" i="40" s="1"/>
  <c r="N65" i="40"/>
  <c r="AO7" i="1"/>
  <c r="D20" i="9"/>
  <c r="D19" i="79"/>
  <c r="D20" i="79"/>
  <c r="D19" i="9"/>
  <c r="AO6" i="1"/>
  <c r="B7" i="70" l="1"/>
  <c r="D21" i="79"/>
  <c r="D102" i="79"/>
  <c r="D22" i="79"/>
  <c r="G19" i="79"/>
  <c r="D103" i="79"/>
  <c r="G20" i="79"/>
  <c r="D22" i="9"/>
  <c r="D102" i="9"/>
  <c r="G19" i="9"/>
  <c r="G21" i="9" s="1"/>
  <c r="D21" i="9"/>
  <c r="D103" i="9"/>
  <c r="G20" i="9"/>
  <c r="B6" i="70"/>
  <c r="W7" i="39"/>
  <c r="AC7" i="39"/>
  <c r="V47" i="39" s="1"/>
  <c r="I47" i="39" s="1"/>
  <c r="E47" i="39"/>
  <c r="R48" i="39"/>
  <c r="U7" i="39"/>
  <c r="AB7" i="39"/>
  <c r="T47" i="39" s="1"/>
  <c r="G47" i="39" s="1"/>
  <c r="J7" i="40"/>
  <c r="F7" i="40"/>
  <c r="H7" i="40"/>
  <c r="B2" i="70" l="1"/>
  <c r="B3" i="70" s="1"/>
  <c r="C32" i="79"/>
  <c r="G21" i="79"/>
  <c r="C32" i="9"/>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7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79" l="1"/>
  <c r="G118" i="79"/>
  <c r="F118" i="79" s="1"/>
  <c r="F119" i="79" s="1"/>
  <c r="C34" i="79"/>
  <c r="C42" i="40"/>
  <c r="C43" i="40"/>
  <c r="E47" i="40"/>
  <c r="F47" i="40" s="1"/>
  <c r="E46" i="40"/>
  <c r="F46" i="40" s="1"/>
  <c r="I47" i="40"/>
  <c r="J47" i="40" s="1"/>
  <c r="H118" i="79" l="1"/>
  <c r="D15" i="74" s="1"/>
  <c r="F15" i="74" s="1"/>
  <c r="E15" i="74"/>
  <c r="E118" i="79"/>
  <c r="D118" i="79" s="1"/>
  <c r="D119" i="79" s="1"/>
  <c r="C105" i="79"/>
  <c r="H102" i="79"/>
  <c r="B58" i="40"/>
  <c r="F58" i="40" s="1"/>
  <c r="B54" i="40"/>
  <c r="F54" i="40" s="1"/>
  <c r="B53" i="40"/>
  <c r="F53" i="40" s="1"/>
  <c r="B59" i="40"/>
  <c r="F59" i="40" s="1"/>
  <c r="B52" i="40"/>
  <c r="F52" i="40" s="1"/>
  <c r="B56" i="40"/>
  <c r="F56" i="40" s="1"/>
  <c r="B60" i="40"/>
  <c r="F60" i="40" s="1"/>
  <c r="B57" i="40"/>
  <c r="F57" i="40" s="1"/>
  <c r="B51" i="40"/>
  <c r="F51" i="40" s="1"/>
  <c r="F61" i="40"/>
  <c r="B2" i="40" s="1"/>
  <c r="B3" i="40" s="1"/>
  <c r="H101" i="79" l="1"/>
  <c r="M48" i="79" s="1"/>
  <c r="C104" i="79"/>
  <c r="H119" i="79"/>
  <c r="D45" i="79" l="1"/>
  <c r="H107" i="79"/>
  <c r="D122" i="79" l="1"/>
  <c r="M49" i="79"/>
  <c r="H108" i="79"/>
  <c r="D52" i="79"/>
  <c r="C85" i="79"/>
  <c r="C64" i="79"/>
  <c r="C63" i="79" s="1"/>
  <c r="C67" i="79" s="1"/>
  <c r="D53" i="79"/>
  <c r="C78" i="79"/>
  <c r="C73" i="79" s="1"/>
  <c r="C93" i="79"/>
  <c r="C86" i="79" s="1"/>
  <c r="C72" i="79"/>
  <c r="D55" i="79"/>
  <c r="M53" i="79" s="1"/>
  <c r="D59" i="79" l="1"/>
  <c r="M55" i="79" s="1"/>
  <c r="C68" i="79"/>
  <c r="D54" i="79" s="1"/>
  <c r="L65" i="79"/>
  <c r="M65" i="79" s="1"/>
  <c r="L68" i="79"/>
  <c r="M68" i="79" s="1"/>
  <c r="L63" i="79"/>
  <c r="M63" i="79" s="1"/>
  <c r="L66" i="79"/>
  <c r="M66" i="79" s="1"/>
  <c r="L67" i="79"/>
  <c r="M67" i="79" s="1"/>
  <c r="L64" i="79"/>
  <c r="M64" i="79" s="1"/>
  <c r="C79" i="79"/>
  <c r="C95" i="79"/>
  <c r="D123" i="79"/>
  <c r="G15" i="74"/>
  <c r="C80" i="79" l="1"/>
  <c r="E80" i="79" s="1"/>
  <c r="E81" i="79" s="1"/>
  <c r="C96" i="79"/>
  <c r="E96" i="79" s="1"/>
  <c r="E97" i="79" s="1"/>
  <c r="M69" i="79"/>
  <c r="N69" i="79" s="1"/>
  <c r="C81" i="79" l="1"/>
  <c r="C97" i="79"/>
  <c r="D58" i="79" s="1"/>
  <c r="D56" i="79" s="1"/>
  <c r="M54" i="79" s="1"/>
  <c r="N57" i="79" s="1"/>
  <c r="I118" i="9"/>
  <c r="G118" i="9"/>
  <c r="P57" i="79" l="1"/>
  <c r="N58" i="79"/>
  <c r="N59" i="79"/>
  <c r="H102" i="9"/>
  <c r="D7" i="53" s="1"/>
  <c r="B21" i="72" s="1"/>
  <c r="E14" i="74"/>
  <c r="C105" i="9"/>
  <c r="G4" i="52"/>
  <c r="B52" i="72" s="1"/>
  <c r="F118" i="9"/>
  <c r="I4" i="52"/>
  <c r="H118" i="9"/>
  <c r="E118" i="9"/>
  <c r="N60" i="79" l="1"/>
  <c r="N61" i="79"/>
  <c r="D14" i="74"/>
  <c r="H119" i="9"/>
  <c r="H5" i="52" s="1"/>
  <c r="C104" i="9"/>
  <c r="H101" i="9"/>
  <c r="H4" i="52"/>
  <c r="F4" i="52"/>
  <c r="B51" i="72" s="1"/>
  <c r="F119" i="9"/>
  <c r="F5" i="52" s="1"/>
  <c r="B53" i="72" s="1"/>
  <c r="E4" i="52"/>
  <c r="B48" i="72" s="1"/>
  <c r="D118" i="9"/>
  <c r="M48" i="9" l="1"/>
  <c r="D45" i="9"/>
  <c r="D5" i="53"/>
  <c r="H107" i="9"/>
  <c r="D4" i="52"/>
  <c r="B47" i="72" s="1"/>
  <c r="D119" i="9"/>
  <c r="D5" i="52" s="1"/>
  <c r="B49" i="72" s="1"/>
  <c r="F14" i="74"/>
  <c r="D122" i="9" l="1"/>
  <c r="D13" i="53"/>
  <c r="M49" i="9"/>
  <c r="H108" i="9"/>
  <c r="D15" i="53" s="1"/>
  <c r="B31" i="72" s="1"/>
  <c r="D52" i="9"/>
  <c r="C78" i="9"/>
  <c r="C73" i="9" s="1"/>
  <c r="C64" i="9"/>
  <c r="C63" i="9" s="1"/>
  <c r="C67" i="9" s="1"/>
  <c r="C93" i="9"/>
  <c r="C86" i="9" s="1"/>
  <c r="D53" i="9"/>
  <c r="D55" i="9"/>
  <c r="M53" i="9" s="1"/>
  <c r="C72" i="9"/>
  <c r="C85" i="9"/>
  <c r="C95" i="9" s="1"/>
  <c r="D6" i="53"/>
  <c r="B22" i="72" s="1"/>
  <c r="B20" i="72"/>
  <c r="C79" i="9" l="1"/>
  <c r="C96" i="9"/>
  <c r="E96" i="9" s="1"/>
  <c r="E97" i="9" s="1"/>
  <c r="D14" i="53"/>
  <c r="B32" i="72" s="1"/>
  <c r="B30" i="72"/>
  <c r="C80" i="9"/>
  <c r="E80" i="9" s="1"/>
  <c r="E81" i="9" s="1"/>
  <c r="C68" i="9"/>
  <c r="D54" i="9" s="1"/>
  <c r="D59" i="9"/>
  <c r="M55" i="9" s="1"/>
  <c r="L68" i="9"/>
  <c r="M68" i="9" s="1"/>
  <c r="L64" i="9"/>
  <c r="M64" i="9" s="1"/>
  <c r="L63" i="9"/>
  <c r="M63" i="9" s="1"/>
  <c r="L66" i="9"/>
  <c r="M66" i="9" s="1"/>
  <c r="L65" i="9"/>
  <c r="M65" i="9" s="1"/>
  <c r="L67" i="9"/>
  <c r="M67" i="9" s="1"/>
  <c r="G14" i="74"/>
  <c r="D123" i="9"/>
  <c r="D9" i="52" s="1"/>
  <c r="D8" i="52"/>
  <c r="M69" i="9" l="1"/>
  <c r="N69" i="9" s="1"/>
  <c r="C97" i="9"/>
  <c r="D58" i="9" s="1"/>
  <c r="D56" i="9" s="1"/>
  <c r="M54" i="9" s="1"/>
  <c r="N57" i="9" s="1"/>
  <c r="C81" i="9"/>
  <c r="P57" i="9" l="1"/>
  <c r="N59" i="9"/>
  <c r="N58" i="9"/>
  <c r="N60" i="9" l="1"/>
  <c r="N61" i="9"/>
  <c r="E16" i="74" l="1"/>
  <c r="F16" i="74" l="1"/>
  <c r="B5" i="74"/>
  <c r="D5" i="74" l="1"/>
  <c r="C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<sst xmlns="http://schemas.openxmlformats.org/spreadsheetml/2006/main" count="8560" uniqueCount="3227">
  <si>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</si>
  <si>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</si>
  <si>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</si>
  <si>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</si>
  <si>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</si>
  <si>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</si>
  <si>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</si>
  <si>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</si>
  <si>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</si>
  <si>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</si>
  <si>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</si>
  <si>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</si>
  <si>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</si>
  <si>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</si>
  <si>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</si>
  <si>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</si>
  <si>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</si>
  <si>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</si>
  <si>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</si>
  <si>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</si>
  <si>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</si>
  <si>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</si>
  <si>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</si>
  <si>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</si>
  <si>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</si>
  <si>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</si>
  <si>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</si>
  <si>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</si>
  <si>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</si>
  <si>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</si>
  <si>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</si>
  <si>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</si>
  <si>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</si>
  <si>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</si>
  <si>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</si>
  <si>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</si>
  <si>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</si>
  <si>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</si>
  <si>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</si>
  <si>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</si>
  <si>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</si>
  <si>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</si>
  <si>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</si>
  <si>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</si>
  <si>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</si>
  <si>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</si>
  <si>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</si>
  <si>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</si>
  <si>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</si>
  <si>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</si>
  <si>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</si>
  <si>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</si>
  <si>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</si>
  <si>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</si>
  <si>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</si>
  <si>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</si>
  <si>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</si>
  <si>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</si>
  <si>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</si>
  <si>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</si>
  <si>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</si>
  <si>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</si>
  <si>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</si>
  <si>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</si>
  <si>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</si>
  <si>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</si>
  <si>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</si>
  <si>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</si>
  <si>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</si>
  <si>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</si>
  <si>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</si>
  <si>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</si>
  <si>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</si>
  <si>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</si>
  <si>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</si>
  <si>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</si>
  <si>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</si>
  <si>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</si>
  <si>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</si>
  <si>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</si>
  <si>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</si>
  <si>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</si>
  <si>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</si>
  <si>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</si>
  <si>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</si>
  <si>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</si>
  <si>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</si>
  <si>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</si>
  <si>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</si>
  <si>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</si>
  <si>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</si>
  <si>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</si>
  <si>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</si>
  <si>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</si>
  <si>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</si>
  <si>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</si>
  <si>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</si>
  <si>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</si>
  <si>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</si>
  <si>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</si>
  <si>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</si>
  <si>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</si>
  <si>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</si>
  <si>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</si>
  <si>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</si>
  <si>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</si>
  <si>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</si>
  <si>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</si>
  <si>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</si>
  <si>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</si>
  <si>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</si>
  <si>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</si>
  <si>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</si>
  <si>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</si>
  <si>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</si>
  <si>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</si>
  <si>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</si>
  <si>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</si>
  <si>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</si>
  <si>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</si>
  <si>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</si>
  <si>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</si>
  <si>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</si>
  <si>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</si>
  <si>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</si>
  <si>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</si>
  <si>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</si>
  <si>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</si>
  <si>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</si>
  <si>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</si>
  <si>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</si>
  <si>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</si>
  <si>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</si>
  <si>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</si>
  <si>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</si>
  <si>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</si>
  <si>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</si>
  <si>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</si>
  <si>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</si>
  <si>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</si>
  <si>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</si>
  <si>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</si>
  <si>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</si>
  <si>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</si>
  <si>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</si>
  <si>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</si>
  <si>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</si>
  <si>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</si>
  <si>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</si>
  <si>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</si>
  <si>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</si>
  <si>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</si>
  <si>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</si>
  <si>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</si>
  <si>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</si>
  <si>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</si>
  <si>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</si>
  <si>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</si>
  <si>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</si>
  <si>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</si>
  <si>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</si>
  <si>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</si>
  <si>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</si>
  <si>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</si>
  <si>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</si>
  <si>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</si>
  <si>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</si>
  <si>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</si>
  <si>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</si>
  <si>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</si>
  <si>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</si>
  <si>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</si>
  <si>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</si>
  <si>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</si>
  <si>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</si>
  <si>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</si>
  <si>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</si>
  <si>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</si>
  <si>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</si>
  <si>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</si>
  <si>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</si>
  <si>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</si>
  <si>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</si>
  <si>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</si>
  <si>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</si>
  <si>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</si>
  <si>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</si>
  <si>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</si>
  <si>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</si>
  <si>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</si>
  <si>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</si>
  <si>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</si>
  <si>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</si>
  <si>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</si>
  <si>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</si>
  <si>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</si>
  <si>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</si>
  <si>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</si>
  <si>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</si>
  <si>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</si>
  <si>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</si>
  <si>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</si>
  <si>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</si>
  <si>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</si>
  <si>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</si>
  <si>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</si>
  <si>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</si>
  <si>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</si>
  <si>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</si>
  <si>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</si>
  <si>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</si>
  <si>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</si>
  <si>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</si>
  <si>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</si>
  <si>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</si>
  <si>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</si>
  <si>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</si>
  <si>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</si>
  <si>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</si>
  <si>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</si>
  <si>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</si>
  <si>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</si>
  <si>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</si>
  <si>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</si>
  <si>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</si>
  <si>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</si>
  <si>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</si>
  <si>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</si>
  <si>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</si>
  <si>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</si>
  <si>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</si>
  <si>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</si>
  <si>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</si>
  <si>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</si>
  <si>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</si>
  <si>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</si>
  <si>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</si>
  <si>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</si>
  <si>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</si>
  <si>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</si>
  <si>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</si>
  <si>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</si>
  <si>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</si>
  <si>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</si>
  <si>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</si>
  <si>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</si>
  <si>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</si>
  <si>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</si>
  <si>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</si>
  <si>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</si>
  <si>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</si>
  <si>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</si>
  <si>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</si>
  <si>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</si>
  <si>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</si>
  <si>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</si>
  <si>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</si>
  <si>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</si>
  <si>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</si>
  <si>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</si>
  <si>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</si>
  <si>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</si>
  <si>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</si>
  <si>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</si>
  <si>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</si>
  <si>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</si>
  <si>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</si>
  <si>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</si>
  <si>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</si>
  <si>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</si>
  <si>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</si>
  <si>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</si>
  <si>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</si>
  <si>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</si>
  <si>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</si>
  <si>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</si>
  <si>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</si>
  <si>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</si>
  <si>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</si>
  <si>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</si>
  <si>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</si>
  <si>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</si>
  <si>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</si>
  <si>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</si>
  <si>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</si>
  <si>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</si>
  <si>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</si>
  <si>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</si>
  <si>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</si>
  <si>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</si>
  <si>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</si>
  <si>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</si>
  <si>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</si>
  <si>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</si>
  <si>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</si>
  <si>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</si>
  <si>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</si>
  <si>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</si>
  <si>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</si>
  <si>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</si>
  <si>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</si>
  <si>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</si>
  <si>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</si>
  <si>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</si>
  <si>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</si>
  <si>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</si>
  <si>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</si>
  <si>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</si>
  <si>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</si>
  <si>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</si>
  <si>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</si>
  <si>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</si>
  <si>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</si>
  <si>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</si>
  <si>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</si>
  <si>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</si>
  <si>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</si>
  <si>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</si>
  <si>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</si>
  <si>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</si>
  <si>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</si>
  <si>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</si>
  <si>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</si>
  <si>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</si>
  <si>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</si>
  <si>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</si>
  <si>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</si>
  <si>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</si>
  <si>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</si>
  <si>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</si>
  <si>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</si>
  <si>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</si>
  <si>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</si>
  <si>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</si>
  <si>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</si>
  <si>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</si>
  <si>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</si>
  <si>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</si>
  <si>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</si>
  <si>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</si>
  <si>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</si>
  <si>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</si>
  <si>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</si>
  <si>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</si>
  <si>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</si>
  <si>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</si>
  <si>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</si>
  <si>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</si>
  <si>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</si>
  <si>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</si>
  <si>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</si>
  <si>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</si>
  <si>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</si>
  <si>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</si>
  <si>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</si>
  <si>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</si>
  <si>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</si>
  <si>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</si>
  <si>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</si>
  <si>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</si>
  <si>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</si>
  <si>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</si>
  <si>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</si>
  <si>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</si>
  <si>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</si>
  <si>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</si>
  <si>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</si>
  <si>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</si>
  <si>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</si>
  <si>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</si>
  <si>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</si>
  <si>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</si>
  <si>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</si>
  <si>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</si>
  <si>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</si>
  <si>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</si>
  <si>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</si>
  <si>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</si>
  <si>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</si>
  <si>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</si>
  <si>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</si>
  <si>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</si>
  <si>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</si>
  <si>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</si>
  <si>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</si>
  <si>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</si>
  <si>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</si>
  <si>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</si>
  <si>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</si>
  <si>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</si>
  <si>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</si>
  <si>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</si>
  <si>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</si>
  <si>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</si>
  <si>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</si>
  <si>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</si>
  <si>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</si>
  <si>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</si>
  <si>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</si>
  <si>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</si>
  <si>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</si>
  <si>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</si>
  <si>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</si>
  <si>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</si>
  <si>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</si>
  <si>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</si>
  <si>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</si>
  <si>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</si>
  <si>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</si>
  <si>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</si>
  <si>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</si>
  <si>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</si>
  <si>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</si>
  <si>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</si>
  <si>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</si>
  <si>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</si>
  <si>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</si>
  <si>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</si>
  <si>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</si>
  <si>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</si>
  <si>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</si>
  <si>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</si>
  <si>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</si>
  <si>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</si>
  <si>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</si>
  <si>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</si>
  <si>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</si>
  <si>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</si>
  <si>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</si>
  <si>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</si>
  <si>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</si>
  <si>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</si>
  <si>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</si>
  <si>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</si>
  <si>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</si>
  <si>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</si>
  <si>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</si>
  <si>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</si>
  <si>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</si>
  <si>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</si>
  <si>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</si>
  <si>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</si>
  <si>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</si>
  <si>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</si>
  <si>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</si>
  <si>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</si>
  <si>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</si>
  <si>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</si>
  <si>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</si>
  <si>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</si>
  <si>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</si>
  <si>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</si>
  <si>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</si>
  <si>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</si>
  <si>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</si>
  <si>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</si>
  <si>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</si>
  <si>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</si>
  <si>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</si>
  <si>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</si>
  <si>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</si>
  <si>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</si>
  <si>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</si>
  <si>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</si>
  <si>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</si>
  <si>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</si>
  <si>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</si>
  <si>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</si>
  <si>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</si>
  <si>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</si>
  <si>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</si>
  <si>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</si>
  <si>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</si>
  <si>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</si>
  <si>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</si>
  <si>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</si>
  <si>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</si>
  <si>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</si>
  <si>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</si>
  <si>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</si>
  <si>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</si>
  <si>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</si>
  <si>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</si>
  <si>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</si>
  <si>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</si>
  <si>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</si>
  <si>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</si>
  <si>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</si>
  <si>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</si>
  <si>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</si>
  <si>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</si>
  <si>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</si>
  <si>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</si>
  <si>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</si>
  <si>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</si>
  <si>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</si>
  <si>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</si>
  <si>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</si>
  <si>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</si>
  <si>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</si>
  <si>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</si>
  <si>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</si>
  <si>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</si>
  <si>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</si>
  <si>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</si>
  <si>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</si>
  <si>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</si>
  <si>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</si>
  <si>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</si>
  <si>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</si>
  <si>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</si>
  <si>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</si>
  <si>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</si>
  <si>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</si>
  <si>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</si>
  <si>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</si>
  <si>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</si>
  <si>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</si>
  <si>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</si>
  <si>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</si>
  <si>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</si>
  <si>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</si>
  <si>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</si>
  <si>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</si>
  <si>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</si>
  <si>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</si>
  <si>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</si>
  <si>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</si>
  <si>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</si>
  <si>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</si>
  <si>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</si>
  <si>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</si>
  <si>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</si>
  <si>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</si>
  <si>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</si>
  <si>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</si>
  <si>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</si>
  <si>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</si>
  <si>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</si>
  <si>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</si>
  <si>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</si>
  <si>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</si>
  <si>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</si>
  <si>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</si>
  <si>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</si>
  <si>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</si>
  <si>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</si>
  <si>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</si>
  <si>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</si>
  <si>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</si>
  <si>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</si>
  <si>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</si>
  <si>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</si>
  <si>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</si>
  <si>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</si>
  <si>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</si>
  <si>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</si>
  <si>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</si>
  <si>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</si>
  <si>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</si>
  <si>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</si>
  <si>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</si>
  <si>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</si>
  <si>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</si>
  <si>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</si>
  <si>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</si>
  <si>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</si>
  <si>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</si>
  <si>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</si>
  <si>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</si>
  <si>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</si>
  <si>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</si>
  <si>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</si>
  <si>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</si>
  <si>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</si>
  <si>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</si>
  <si>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</si>
  <si>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</si>
  <si>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</si>
  <si>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</si>
  <si>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</si>
  <si>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</si>
  <si>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</si>
  <si>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</si>
  <si>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</si>
  <si>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</si>
  <si>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</si>
  <si>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</si>
  <si>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</si>
  <si>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</si>
  <si>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</si>
  <si>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</si>
  <si>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</si>
  <si>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</si>
  <si>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</si>
  <si>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</si>
  <si>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</si>
  <si>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</si>
  <si>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</si>
  <si>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</si>
  <si>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</si>
  <si>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</si>
  <si>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</si>
  <si>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</si>
  <si>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</si>
  <si>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</si>
  <si>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</si>
  <si>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</si>
  <si>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</si>
  <si>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</si>
  <si>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</si>
  <si>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</si>
  <si>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</si>
  <si>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</si>
  <si>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</si>
  <si>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</si>
  <si>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</si>
  <si>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</si>
  <si>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</si>
  <si>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</si>
  <si>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</si>
  <si>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</si>
  <si>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</si>
  <si>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</si>
  <si>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</si>
  <si>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</si>
  <si>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</si>
  <si>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</si>
  <si>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</si>
  <si>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</si>
  <si>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</si>
  <si>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</si>
  <si>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</si>
  <si>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</si>
  <si>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</si>
  <si>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</si>
  <si>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</si>
  <si>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</si>
  <si>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</si>
  <si>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</si>
  <si>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</si>
  <si>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</si>
  <si>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</si>
  <si>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</si>
  <si>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</si>
  <si>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</si>
  <si>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</si>
  <si>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</si>
  <si>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</si>
  <si>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</si>
  <si>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</si>
  <si>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</si>
  <si>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</si>
  <si>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</si>
  <si>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</si>
  <si>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</si>
  <si>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</si>
  <si>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</si>
  <si>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</si>
  <si>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</si>
  <si>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</si>
  <si>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</si>
  <si>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</si>
  <si>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</si>
  <si>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</si>
  <si>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</si>
  <si>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</si>
  <si>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</si>
  <si>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</si>
  <si>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</si>
  <si>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</si>
  <si>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</si>
  <si>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</si>
  <si>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</si>
  <si>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</si>
  <si>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</si>
  <si>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</si>
  <si>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</si>
  <si>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</si>
  <si>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</si>
  <si>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</si>
  <si>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</si>
  <si>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</si>
  <si>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</si>
  <si>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</si>
  <si>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</si>
  <si>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</si>
  <si>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</si>
  <si>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</si>
  <si>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</si>
  <si>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</si>
  <si>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</si>
  <si>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</si>
  <si>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</si>
  <si>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</si>
  <si>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</si>
  <si>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</si>
  <si>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</si>
  <si>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</si>
  <si>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</si>
  <si>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</si>
  <si>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</si>
  <si>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</si>
  <si>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</si>
  <si>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</si>
  <si>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</si>
  <si>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</si>
  <si>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</si>
  <si>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</si>
  <si>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</si>
  <si>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</si>
  <si>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</si>
  <si>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</si>
  <si>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</si>
  <si>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</si>
  <si>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</si>
  <si>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</si>
  <si>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</si>
  <si>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</si>
  <si>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</si>
  <si>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</si>
  <si>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</si>
  <si>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</si>
  <si>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</si>
  <si>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</si>
  <si>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</si>
  <si>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</si>
  <si>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</si>
  <si>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</si>
  <si>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</si>
  <si>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</si>
  <si>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</si>
  <si>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</si>
  <si>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</si>
  <si>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</si>
  <si>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</si>
  <si>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</si>
  <si>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</si>
  <si>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</si>
  <si>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</si>
  <si>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</si>
  <si>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</si>
  <si>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</si>
  <si>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</si>
  <si>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</si>
  <si>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</si>
  <si>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</si>
  <si>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</si>
  <si>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</si>
  <si>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</si>
  <si>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</si>
  <si>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</si>
  <si>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</si>
  <si>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</si>
  <si>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</si>
  <si>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</si>
  <si>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</si>
  <si>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</si>
  <si>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</si>
  <si>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</si>
  <si>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</si>
  <si>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</si>
  <si>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</si>
  <si>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</si>
  <si>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</si>
  <si>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</si>
  <si>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</si>
  <si>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</si>
  <si>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</si>
  <si>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</si>
  <si>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</si>
  <si>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</si>
  <si>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</si>
  <si>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</si>
  <si>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</si>
  <si>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</si>
  <si>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</si>
  <si>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</si>
  <si>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</si>
  <si>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</si>
  <si>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</si>
  <si>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</si>
  <si>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</si>
  <si>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</si>
  <si>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</si>
  <si>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</si>
  <si>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</si>
  <si>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</si>
  <si>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</si>
  <si>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</si>
  <si>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</si>
  <si>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</si>
  <si>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</si>
  <si>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</si>
  <si>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</si>
  <si>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</si>
  <si>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</si>
  <si>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</si>
  <si>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</si>
  <si>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</si>
  <si>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</si>
  <si>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</si>
  <si>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</si>
  <si>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</si>
  <si>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</si>
  <si>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</si>
  <si>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</si>
  <si>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</si>
  <si>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</si>
  <si>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</si>
  <si>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</si>
  <si>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</si>
  <si>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</si>
  <si>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</si>
  <si>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</si>
  <si>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</si>
  <si>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</si>
  <si>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</si>
  <si>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</si>
  <si>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</si>
  <si>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</si>
  <si>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</si>
  <si>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</si>
  <si>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</si>
  <si>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</si>
  <si>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</si>
  <si>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</si>
  <si>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</si>
  <si>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</si>
  <si>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</si>
  <si>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</si>
  <si>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</si>
  <si>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</si>
  <si>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</si>
  <si>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</si>
  <si>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</si>
  <si>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</si>
  <si>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</si>
  <si>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</si>
  <si>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</si>
  <si>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</si>
  <si>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</si>
  <si>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</si>
  <si>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</si>
  <si>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</si>
  <si>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</si>
  <si>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</si>
  <si>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</si>
  <si>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</si>
  <si>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</si>
  <si>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</si>
  <si>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</si>
  <si>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</si>
  <si>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</si>
  <si>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</si>
  <si>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</si>
  <si>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</si>
  <si>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</si>
  <si>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</si>
  <si>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</si>
  <si>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</si>
  <si>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</si>
  <si>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</si>
  <si>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</si>
  <si>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</si>
  <si>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</si>
  <si>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</si>
  <si>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</si>
  <si>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</si>
  <si>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</si>
  <si>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</si>
  <si>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</si>
  <si>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</si>
  <si>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</si>
  <si>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</si>
  <si>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</si>
  <si>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</si>
  <si>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</si>
  <si>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</si>
  <si>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</si>
  <si>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</si>
  <si>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</si>
  <si>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</si>
  <si>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</si>
  <si>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</si>
  <si>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</si>
  <si>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</si>
  <si>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</si>
  <si>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</si>
  <si>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</si>
  <si>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</si>
  <si>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</si>
  <si>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</si>
  <si>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</si>
  <si>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</si>
  <si>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</si>
  <si>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</si>
  <si>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</si>
  <si>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</si>
  <si>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</si>
  <si>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</si>
  <si>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</si>
  <si>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</si>
  <si>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</si>
  <si>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</si>
  <si>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</si>
  <si>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</si>
  <si>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</si>
  <si>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</si>
  <si>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</si>
  <si>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</si>
  <si>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</si>
  <si>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</si>
  <si>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</si>
  <si>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</si>
  <si>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</si>
  <si>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</si>
  <si>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</si>
  <si>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</si>
  <si>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</si>
  <si>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</si>
  <si>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</si>
  <si>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</si>
  <si>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</si>
  <si>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</si>
  <si>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</si>
  <si>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</si>
  <si>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</si>
  <si>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</si>
  <si>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</si>
  <si>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</si>
  <si>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</si>
  <si>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</si>
  <si>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</si>
  <si>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</si>
  <si>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</si>
  <si>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</si>
  <si>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</si>
  <si>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</si>
  <si>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</si>
  <si>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</si>
  <si>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</si>
  <si>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</si>
  <si>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</si>
  <si>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</si>
  <si>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</si>
  <si>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</si>
  <si>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</si>
  <si>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</si>
  <si>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</si>
  <si>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</si>
  <si>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</si>
  <si>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</si>
  <si>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</si>
  <si>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</si>
  <si>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</si>
  <si>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</si>
  <si>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</si>
  <si>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</si>
  <si>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</si>
  <si>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</si>
  <si>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</si>
  <si>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</si>
  <si>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</si>
  <si>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</si>
  <si>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</si>
  <si>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</si>
  <si>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</si>
  <si>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</si>
  <si>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</si>
  <si>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</si>
  <si>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</si>
  <si>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</si>
  <si>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</si>
  <si>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</si>
  <si>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</si>
  <si>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</si>
  <si>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</si>
  <si>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</si>
  <si>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</si>
  <si>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</si>
  <si>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</si>
  <si>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</si>
  <si>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</si>
  <si>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</si>
  <si>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</si>
  <si>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</si>
  <si>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</si>
  <si>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</si>
  <si>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</si>
  <si>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</si>
  <si>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</si>
  <si>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</si>
  <si>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</si>
  <si>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</si>
  <si>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</si>
  <si>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</si>
  <si>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</si>
  <si>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</si>
  <si>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</si>
  <si>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</si>
  <si>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</si>
  <si>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</si>
  <si>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</si>
  <si>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</si>
  <si>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</si>
  <si>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</si>
  <si>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</si>
  <si>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</si>
  <si>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</si>
  <si>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</si>
  <si>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</si>
  <si>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</si>
  <si>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</si>
  <si>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</si>
  <si>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</si>
  <si>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</si>
  <si>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</si>
  <si>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</si>
  <si>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</si>
  <si>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</si>
  <si>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</si>
  <si>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</si>
  <si>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</si>
  <si>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</si>
  <si>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</si>
  <si>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</si>
  <si>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</si>
  <si>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</si>
  <si>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</si>
  <si>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</si>
  <si>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</si>
  <si>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</si>
  <si>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</si>
  <si>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</si>
  <si>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</si>
  <si>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</si>
  <si>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</si>
  <si>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</si>
  <si>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</si>
  <si>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</si>
  <si>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</si>
  <si>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</si>
  <si>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</si>
  <si>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</si>
  <si>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</si>
  <si>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</si>
  <si>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</si>
  <si>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</si>
  <si>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</si>
  <si>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</si>
  <si>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</si>
  <si>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</si>
  <si>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</si>
  <si>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</si>
  <si>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</si>
  <si>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</si>
  <si>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</si>
  <si>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</si>
  <si>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</si>
  <si>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</si>
  <si>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</si>
  <si>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</si>
  <si>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</si>
  <si>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</si>
  <si>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</si>
  <si>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</si>
  <si>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</si>
  <si>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</si>
  <si>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</si>
  <si>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</si>
  <si>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</si>
  <si>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</si>
  <si>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</si>
  <si>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</si>
  <si>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</si>
  <si>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</si>
  <si>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</si>
  <si>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</si>
  <si>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</si>
  <si>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</si>
  <si>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</si>
  <si>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</si>
  <si>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</si>
  <si>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</si>
  <si>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</si>
  <si>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</si>
  <si>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</si>
  <si>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</si>
  <si>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</si>
  <si>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</si>
  <si>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</si>
  <si>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</si>
  <si>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</si>
  <si>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</si>
  <si>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</si>
  <si>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</si>
  <si>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</si>
  <si>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</si>
  <si>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</si>
  <si>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</si>
  <si>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</si>
  <si>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</si>
  <si>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</si>
  <si>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</si>
  <si>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</si>
  <si>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</si>
  <si>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</si>
  <si>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</si>
  <si>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</si>
  <si>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</si>
  <si>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</si>
  <si>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</si>
  <si>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</si>
  <si>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</si>
  <si>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</si>
  <si>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</si>
  <si>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</si>
  <si>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</si>
  <si>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</si>
  <si>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</si>
  <si>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</si>
  <si>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</si>
  <si>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</si>
  <si>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</si>
  <si>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</si>
  <si>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</si>
  <si>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</si>
  <si>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</si>
  <si>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</si>
  <si>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</si>
  <si>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</si>
  <si>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</si>
  <si>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</si>
  <si>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</si>
  <si>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</si>
  <si>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</si>
  <si>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</si>
  <si>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</si>
  <si>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</si>
  <si>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</si>
  <si>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</si>
  <si>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</si>
  <si>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</si>
  <si>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</si>
  <si>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</si>
  <si>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</si>
  <si>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</si>
  <si>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</si>
  <si>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</si>
  <si>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</si>
  <si>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</si>
  <si>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</si>
  <si>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</si>
  <si>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</si>
  <si>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</si>
  <si>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</si>
  <si>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</si>
  <si>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</si>
  <si>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</si>
  <si>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</si>
  <si>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</si>
  <si>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</si>
  <si>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</si>
  <si>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</si>
  <si>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</si>
  <si>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</si>
  <si>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</si>
  <si>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</si>
  <si>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</si>
  <si>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</si>
  <si>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</si>
  <si>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</si>
  <si>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</si>
  <si>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</si>
  <si>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</si>
  <si>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</si>
  <si>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</si>
  <si>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</si>
  <si>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</si>
  <si>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</si>
  <si>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</si>
  <si>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</si>
  <si>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</si>
  <si>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</si>
  <si>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</si>
  <si>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</si>
  <si>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</si>
  <si>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</si>
  <si>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</si>
  <si>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</si>
  <si>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</si>
  <si>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</si>
  <si>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</si>
  <si>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</si>
  <si>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</si>
  <si>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</si>
  <si>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</si>
  <si>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</si>
  <si>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</si>
  <si>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</si>
  <si>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</si>
  <si>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</si>
  <si>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</si>
  <si>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</si>
  <si>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</si>
  <si>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</si>
  <si>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</si>
  <si>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</si>
  <si>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</si>
  <si>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</si>
  <si>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</si>
  <si>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</si>
  <si>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</si>
  <si>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</si>
  <si>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</si>
  <si>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</si>
  <si>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</si>
  <si>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</si>
  <si>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</si>
  <si>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</si>
  <si>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</si>
  <si>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</si>
  <si>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</si>
  <si>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</si>
  <si>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</si>
  <si>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</si>
  <si>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</si>
  <si>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</si>
  <si>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</si>
  <si>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</si>
  <si>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</si>
  <si>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</si>
  <si>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</si>
  <si>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</si>
  <si>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</si>
  <si>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</si>
  <si>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</si>
  <si>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</si>
  <si>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</si>
  <si>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</si>
  <si>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</si>
  <si>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</si>
  <si>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</si>
  <si>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</si>
  <si>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</si>
  <si>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</si>
  <si>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</si>
  <si>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</si>
  <si>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</si>
  <si>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</si>
  <si>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</si>
  <si>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</si>
  <si>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</si>
  <si>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</si>
  <si>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</si>
  <si>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</si>
  <si>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</si>
  <si>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</si>
  <si>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</si>
  <si>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</si>
  <si>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</si>
  <si>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</si>
  <si>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</si>
  <si>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</si>
  <si>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</si>
  <si>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</si>
  <si>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</si>
  <si>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</si>
  <si>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</si>
  <si>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</si>
  <si>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</si>
  <si>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</si>
  <si>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</si>
  <si>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</si>
  <si>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</si>
  <si>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</si>
  <si>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</si>
  <si>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</si>
  <si>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</si>
  <si>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</si>
  <si>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</si>
  <si>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</si>
  <si>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</si>
  <si>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</si>
  <si>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</si>
  <si>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</si>
  <si>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</si>
  <si>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</si>
  <si>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</si>
  <si>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</si>
  <si>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</si>
  <si>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</si>
  <si>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</si>
  <si>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</si>
  <si>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</si>
  <si>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</si>
  <si>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</si>
  <si>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</si>
  <si>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</si>
  <si>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</si>
  <si>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</si>
  <si>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</si>
  <si>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</si>
  <si>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</si>
  <si>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</si>
  <si>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</si>
  <si>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</si>
  <si>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</si>
  <si>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</si>
  <si>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</si>
  <si>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</si>
  <si>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</si>
  <si>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</si>
  <si>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</si>
  <si>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</si>
  <si>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</si>
  <si>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</si>
  <si>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</si>
  <si>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</si>
  <si>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</si>
  <si>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</si>
  <si>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</si>
  <si>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</si>
  <si>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</si>
  <si>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</si>
  <si>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</si>
  <si>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</si>
  <si>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</si>
  <si>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</si>
  <si>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</si>
  <si>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</si>
  <si>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</si>
  <si>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</si>
  <si>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</si>
  <si>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</si>
  <si>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</si>
  <si>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</si>
  <si>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</si>
  <si>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</si>
  <si>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</si>
  <si>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</si>
  <si>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</si>
  <si>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</si>
  <si>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</si>
  <si>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</si>
  <si>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</si>
  <si>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</si>
  <si>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</si>
  <si>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</si>
  <si>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</si>
  <si>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</si>
  <si>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</si>
  <si>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</si>
  <si>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</si>
  <si>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</si>
  <si>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</si>
  <si>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</si>
  <si>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</si>
  <si>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</si>
  <si>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</si>
  <si>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</si>
  <si>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</si>
  <si>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</si>
  <si>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</si>
  <si>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</si>
  <si>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</si>
  <si>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</si>
  <si>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</si>
  <si>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</si>
  <si>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</si>
  <si>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</si>
  <si>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</si>
  <si>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</si>
  <si>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</si>
  <si>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</si>
  <si>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</si>
  <si>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</si>
  <si>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</si>
  <si>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</si>
  <si>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</si>
  <si>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</si>
  <si>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</si>
  <si>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</si>
  <si>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</si>
  <si>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</si>
  <si>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</si>
  <si>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</si>
  <si>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</si>
  <si>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</si>
  <si>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</si>
  <si>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</si>
  <si>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</si>
  <si>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</si>
  <si>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</si>
  <si>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</si>
  <si>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</si>
  <si>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</si>
  <si>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</si>
  <si>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</si>
  <si>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</si>
  <si>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</si>
  <si>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</si>
  <si>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</si>
  <si>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</si>
  <si>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</si>
  <si>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</si>
  <si>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</si>
  <si>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</si>
  <si>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</si>
  <si>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</si>
  <si>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</si>
  <si>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</si>
  <si>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</si>
  <si>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</si>
  <si>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</si>
  <si>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</si>
  <si>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</si>
  <si>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</si>
  <si>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</si>
  <si>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</si>
  <si>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</si>
  <si>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</si>
  <si>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</si>
  <si>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</si>
  <si>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</si>
  <si>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</si>
  <si>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</si>
  <si>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</si>
  <si>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</si>
  <si>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</si>
  <si>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</si>
  <si>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</si>
  <si>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</si>
  <si>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</si>
  <si>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</si>
  <si>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</si>
  <si>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</si>
  <si>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</si>
  <si>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</si>
  <si>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</si>
  <si>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</si>
  <si>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</si>
  <si>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</si>
  <si>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</si>
  <si>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</si>
  <si>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</si>
  <si>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</si>
  <si>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</si>
  <si>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</si>
  <si>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</si>
  <si>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</si>
  <si>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</si>
  <si>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</si>
  <si>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</si>
  <si>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</si>
  <si>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</si>
  <si>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</si>
  <si>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</si>
  <si>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</si>
  <si>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</si>
  <si>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</si>
  <si>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</si>
  <si>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</si>
  <si>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</si>
  <si>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</si>
  <si>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</si>
  <si>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</si>
  <si>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</si>
  <si>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</si>
  <si>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</si>
  <si>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</si>
  <si>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</si>
  <si>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</si>
  <si>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</si>
  <si>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</si>
  <si>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</si>
  <si>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</si>
  <si>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</si>
  <si>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</si>
  <si>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</si>
  <si>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</si>
  <si>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</si>
  <si>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</si>
  <si>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</si>
  <si>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</si>
  <si>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</si>
  <si>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</si>
  <si>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</si>
  <si>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</si>
  <si>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</si>
  <si>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</si>
  <si>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</si>
  <si>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</si>
  <si>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</si>
  <si>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</si>
  <si>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</si>
  <si>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</si>
  <si>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</si>
  <si>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</si>
  <si>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</si>
  <si>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</si>
  <si>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</si>
  <si>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</si>
  <si>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</si>
  <si>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</si>
  <si>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</si>
  <si>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</si>
  <si>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</si>
  <si>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</si>
  <si>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</si>
  <si>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</si>
  <si>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</si>
  <si>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</si>
  <si>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</si>
  <si>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</si>
  <si>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</si>
  <si>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</si>
  <si>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</si>
  <si>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</si>
  <si>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</si>
  <si>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</si>
  <si>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</si>
  <si>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</si>
  <si>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</si>
  <si>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</si>
  <si>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</si>
  <si>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</si>
  <si>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</si>
  <si>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</si>
  <si>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</si>
  <si>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</si>
  <si>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</si>
  <si>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</si>
  <si>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</si>
  <si>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</si>
  <si>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</si>
  <si>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</si>
  <si>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</si>
  <si>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</si>
  <si>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</si>
  <si>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</si>
  <si>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</si>
  <si>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</si>
  <si>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</si>
  <si>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</si>
  <si>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</si>
  <si>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</si>
  <si>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</si>
  <si>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</si>
  <si>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</si>
  <si>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</si>
  <si>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</si>
  <si>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</si>
  <si>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</si>
  <si>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</si>
  <si>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</si>
  <si>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</si>
  <si>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</si>
  <si>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</si>
  <si>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</si>
  <si>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</si>
  <si>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</si>
  <si>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</si>
  <si>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</si>
  <si>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</si>
  <si>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</si>
  <si>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</si>
  <si>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</si>
  <si>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</si>
  <si>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</si>
  <si>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</si>
  <si>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</si>
  <si>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</si>
  <si>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</si>
  <si>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</si>
  <si>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</si>
  <si>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</si>
  <si>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</si>
  <si>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</si>
  <si>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</si>
  <si>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</si>
  <si>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</si>
  <si>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</si>
  <si>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</si>
  <si>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</si>
  <si>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</si>
  <si>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</si>
  <si>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</si>
  <si>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</si>
  <si>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</si>
  <si>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</si>
  <si>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</si>
  <si>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</si>
  <si>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</si>
  <si>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</si>
  <si>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</si>
  <si>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</si>
  <si>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</si>
  <si>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</si>
  <si>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</si>
  <si>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</si>
  <si>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</si>
  <si>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</si>
  <si>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</si>
  <si>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</si>
  <si>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</si>
  <si>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</si>
  <si>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</si>
  <si>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</si>
  <si>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</si>
  <si>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</si>
  <si>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</si>
  <si>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</si>
  <si>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</si>
  <si>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</si>
  <si>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</si>
  <si>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</si>
  <si>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</si>
  <si>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</si>
  <si>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</si>
  <si>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</si>
  <si>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</si>
  <si>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</si>
  <si>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</si>
  <si>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</si>
  <si>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</si>
  <si>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</si>
  <si>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</si>
  <si>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</si>
  <si>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</si>
  <si>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</si>
  <si>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</si>
  <si>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</si>
  <si>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</si>
  <si>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</si>
  <si>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</si>
  <si>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</si>
  <si>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</si>
  <si>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</si>
  <si>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</si>
  <si>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</si>
  <si>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</si>
  <si>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</si>
  <si>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</si>
  <si>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</si>
  <si>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</si>
  <si>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</si>
  <si>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</si>
  <si>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</si>
  <si>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</si>
  <si>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</si>
  <si>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</si>
  <si>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</si>
  <si>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</si>
  <si>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</si>
  <si>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</si>
  <si>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</si>
  <si>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</si>
  <si>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</si>
  <si>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</si>
  <si>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</si>
  <si>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</si>
  <si>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</si>
  <si>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</si>
  <si>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</si>
  <si>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</si>
  <si>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</si>
  <si>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</si>
  <si>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</si>
  <si>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</si>
  <si>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</si>
  <si>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</si>
  <si>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</si>
  <si>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</si>
  <si>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</si>
  <si>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</si>
  <si>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</si>
  <si>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</si>
  <si>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</si>
  <si>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</si>
  <si>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</si>
  <si>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</si>
  <si>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</si>
  <si>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</si>
  <si>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</si>
  <si>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</si>
  <si>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</si>
  <si>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</si>
  <si>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</si>
  <si>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</si>
  <si>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</si>
  <si>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</si>
  <si>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</si>
  <si>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</si>
  <si>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</si>
  <si>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</si>
  <si>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</si>
  <si>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</si>
  <si>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</si>
  <si>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</si>
  <si>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</si>
  <si>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</si>
  <si>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</si>
  <si>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</si>
  <si>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</si>
  <si>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</si>
  <si>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</si>
  <si>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</si>
  <si>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</si>
  <si>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</si>
  <si>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</si>
  <si>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</si>
  <si>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</si>
  <si>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</si>
  <si>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</si>
  <si>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</si>
  <si>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</si>
  <si>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</si>
  <si>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</si>
  <si>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</si>
  <si>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</si>
  <si>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</si>
  <si>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</si>
  <si>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</si>
  <si>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</si>
  <si>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</si>
  <si>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</si>
  <si>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</si>
  <si>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</si>
  <si>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</si>
  <si>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</si>
  <si>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</si>
  <si>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</si>
  <si>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</si>
  <si>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</si>
  <si>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</si>
  <si>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</si>
  <si>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</si>
  <si>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</si>
  <si>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</si>
  <si>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</si>
  <si>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</si>
  <si>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</si>
  <si>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</si>
  <si>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</si>
  <si>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</si>
  <si>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</si>
  <si>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</si>
  <si>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</si>
  <si>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</si>
  <si>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</si>
  <si>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</si>
  <si>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</si>
  <si>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</si>
  <si>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</si>
  <si>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</si>
  <si>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</si>
  <si>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</si>
  <si>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</si>
  <si>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</si>
  <si>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</si>
  <si>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</si>
  <si>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</si>
  <si>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</si>
  <si>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</si>
  <si>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</si>
  <si>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</si>
  <si>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</si>
  <si>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</si>
  <si>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</si>
  <si>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</si>
  <si>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</si>
  <si>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</si>
  <si>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</si>
  <si>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</si>
  <si>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</si>
  <si>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</si>
  <si>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</si>
  <si>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</si>
  <si>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</si>
  <si>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</si>
  <si>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</si>
  <si>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</si>
  <si>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</si>
  <si>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</si>
  <si>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</si>
  <si>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</si>
  <si>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</si>
  <si>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</si>
  <si>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</si>
  <si>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</si>
  <si>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</si>
  <si>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</si>
  <si>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</si>
  <si>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</si>
  <si>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</si>
  <si>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</si>
  <si>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</si>
  <si>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</si>
  <si>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</si>
  <si>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</si>
  <si>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</si>
  <si>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</si>
  <si>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</si>
  <si>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</si>
  <si>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</si>
  <si>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</si>
  <si>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</si>
  <si>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</si>
  <si>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</si>
  <si>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</si>
  <si>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</si>
  <si>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</si>
  <si>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</si>
  <si>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</si>
  <si>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</si>
  <si>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</si>
  <si>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</si>
  <si>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</si>
  <si>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</si>
  <si>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</si>
  <si>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</si>
  <si>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</si>
  <si>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</si>
  <si>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</si>
  <si>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</si>
  <si>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</si>
  <si>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</si>
  <si>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</si>
  <si>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</si>
  <si>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</si>
  <si>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</si>
  <si>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</si>
  <si>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</si>
  <si>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</si>
  <si>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</si>
  <si>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</si>
  <si>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</si>
  <si>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</si>
  <si>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</si>
  <si>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</si>
  <si>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</si>
  <si>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</si>
  <si>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</si>
  <si>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</si>
  <si>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</si>
  <si>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</si>
  <si>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</si>
  <si>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</si>
  <si>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</si>
  <si>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</si>
  <si>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</si>
  <si>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</si>
  <si>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</si>
  <si>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</si>
  <si>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</si>
  <si>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</si>
  <si>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</si>
  <si>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</si>
  <si>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</si>
  <si>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</si>
  <si>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</si>
  <si>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</si>
  <si>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</si>
  <si>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</si>
  <si>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</si>
  <si>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</si>
  <si>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</si>
  <si>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</si>
  <si>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</si>
  <si>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</si>
  <si>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</si>
  <si>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</si>
  <si>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</si>
  <si>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</si>
  <si>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</si>
  <si>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</si>
  <si>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</si>
  <si>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</si>
  <si>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</si>
  <si>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</si>
  <si>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</si>
  <si>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</si>
  <si>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</si>
  <si>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</si>
  <si>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</si>
  <si>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</si>
  <si>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</si>
  <si>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</si>
  <si>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</si>
  <si>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</si>
  <si>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</si>
  <si>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</si>
  <si>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</si>
  <si>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</si>
  <si>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</si>
  <si>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</si>
  <si>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</si>
  <si>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</si>
  <si>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</si>
  <si>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</si>
  <si>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</si>
  <si>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</si>
  <si>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</si>
  <si>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</si>
  <si>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</si>
  <si>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</si>
  <si>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</si>
  <si>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</si>
  <si>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</si>
  <si>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</si>
  <si>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</si>
  <si>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</si>
  <si>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</si>
  <si>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</si>
  <si>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</si>
  <si>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</si>
  <si>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</si>
  <si>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</si>
  <si>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</si>
  <si>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</si>
  <si>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</si>
  <si>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</si>
  <si>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</si>
  <si>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</si>
  <si>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</si>
  <si>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</si>
  <si>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</si>
  <si>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</si>
  <si>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</si>
  <si>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</si>
  <si>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</si>
  <si>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</si>
  <si>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</si>
  <si>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</si>
  <si>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</si>
  <si>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</si>
  <si>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</si>
  <si>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</si>
  <si>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</si>
  <si>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</si>
  <si>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</si>
  <si>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</si>
  <si>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</si>
  <si>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</si>
  <si>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</si>
  <si>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</si>
  <si>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</si>
  <si>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</si>
  <si>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</si>
  <si>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</si>
  <si>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</si>
  <si>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</si>
  <si>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</si>
  <si>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</si>
  <si>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</si>
  <si>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</si>
  <si>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</si>
  <si>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</si>
  <si>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</si>
  <si>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</si>
  <si>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</si>
  <si>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</si>
  <si>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</si>
  <si>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</si>
  <si>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</si>
  <si>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</si>
  <si>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</si>
  <si>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</si>
  <si>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</si>
  <si>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</si>
  <si>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</si>
  <si>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</si>
  <si>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</si>
  <si>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</si>
  <si>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</si>
  <si>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</si>
  <si>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</si>
  <si>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</si>
  <si>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</si>
  <si>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</si>
  <si>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</si>
  <si>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</si>
  <si>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</si>
  <si>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</si>
  <si>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</si>
  <si>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</si>
  <si>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</si>
  <si>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</si>
  <si>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</si>
  <si>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</si>
  <si>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</si>
  <si>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</si>
  <si>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</si>
  <si>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</si>
  <si>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</si>
  <si>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</si>
  <si>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</si>
  <si>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</si>
  <si>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</si>
  <si>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</si>
  <si>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</si>
  <si>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</si>
  <si>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</si>
  <si>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</si>
  <si>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</si>
  <si>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</si>
  <si>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</si>
  <si>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</si>
  <si>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</si>
  <si>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</si>
  <si>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</si>
  <si>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</si>
  <si>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</si>
  <si>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</si>
  <si>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</si>
  <si>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</si>
  <si>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</si>
  <si>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</si>
  <si>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</si>
  <si>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</si>
  <si>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</si>
  <si>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</si>
  <si>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</si>
  <si>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</si>
  <si>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</si>
  <si>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</si>
  <si>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</si>
  <si>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</si>
  <si>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</si>
  <si>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</si>
  <si>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</si>
  <si>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</si>
  <si>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</si>
  <si>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</si>
  <si>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</si>
  <si>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</si>
  <si>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</si>
  <si>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</si>
  <si>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</si>
  <si>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</si>
  <si>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</si>
  <si>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</si>
  <si>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</si>
  <si>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</si>
  <si>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</si>
  <si>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</si>
  <si>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</si>
  <si>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</si>
  <si>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</si>
  <si>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</si>
  <si>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</si>
  <si>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</si>
  <si>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</si>
  <si>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</si>
  <si>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</si>
  <si>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</si>
  <si>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</si>
  <si>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</si>
  <si>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</si>
  <si>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</si>
  <si>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</si>
  <si>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</si>
  <si>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</si>
  <si>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</si>
  <si>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</si>
  <si>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</si>
  <si>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</si>
  <si>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</si>
  <si>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</si>
  <si>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</si>
  <si>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</si>
  <si>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</si>
  <si>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</si>
  <si>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</si>
  <si>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</si>
  <si>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</si>
  <si>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</si>
  <si>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</si>
  <si>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</si>
  <si>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</si>
  <si>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</si>
  <si>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</si>
  <si>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</si>
  <si>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</si>
  <si>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</si>
  <si>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</si>
  <si>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</si>
  <si>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</si>
  <si>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</si>
  <si>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</si>
  <si>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</si>
  <si>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</si>
  <si>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</si>
  <si>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</si>
  <si>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</si>
  <si>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</si>
  <si>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</si>
  <si>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</si>
  <si>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</si>
  <si>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</si>
  <si>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</si>
  <si>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</si>
  <si>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</si>
  <si>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</si>
  <si>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</si>
  <si>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</si>
  <si>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</si>
  <si>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</si>
  <si>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</si>
  <si>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</si>
  <si>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</si>
  <si>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</si>
  <si>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</si>
  <si>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</si>
  <si>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</si>
  <si>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</si>
  <si>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</si>
  <si>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</si>
  <si>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</si>
  <si>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</si>
  <si>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</si>
  <si>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</si>
  <si>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</si>
  <si>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</si>
  <si>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</si>
  <si>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</si>
  <si>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</si>
  <si>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</si>
  <si>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</si>
  <si>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</si>
  <si>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</si>
  <si>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</si>
  <si>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</si>
  <si>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</si>
  <si>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</si>
  <si>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</si>
  <si>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</si>
  <si>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</si>
  <si>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</si>
  <si>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</si>
  <si>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</si>
  <si>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</si>
  <si>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</si>
  <si>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</si>
  <si>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</si>
  <si>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</si>
  <si>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</si>
  <si>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</si>
  <si>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</si>
  <si>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</si>
  <si>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</si>
  <si>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</si>
  <si>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</si>
  <si>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</si>
  <si>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</si>
  <si>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</si>
  <si>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</si>
  <si>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</si>
  <si>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</si>
  <si>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</si>
  <si>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</si>
  <si>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</si>
  <si>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</si>
  <si>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</si>
  <si>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</si>
  <si>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</si>
  <si>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</si>
  <si>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</si>
  <si>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</si>
  <si>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</si>
  <si>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</si>
  <si>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</si>
  <si>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</si>
  <si>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</si>
  <si>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</si>
  <si>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</si>
  <si>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</si>
  <si>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</si>
  <si>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</si>
  <si>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</si>
  <si>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</si>
  <si>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</si>
  <si>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</si>
  <si>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</si>
  <si>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</si>
  <si>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</si>
  <si>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</si>
  <si>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</si>
  <si>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</si>
  <si>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</si>
  <si>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</si>
  <si>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</si>
  <si>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</si>
  <si>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</si>
  <si>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</si>
  <si>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</si>
  <si>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</si>
  <si>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</si>
  <si>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</si>
  <si>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</si>
  <si>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</si>
  <si>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</si>
  <si>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</si>
  <si>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</si>
  <si>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</si>
  <si>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</si>
  <si>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</si>
  <si>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</si>
  <si>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</si>
  <si>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</si>
  <si>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</si>
  <si>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</si>
  <si>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</si>
  <si>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</si>
  <si>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</si>
  <si>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</si>
  <si>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</si>
  <si>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</si>
  <si>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</si>
  <si>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</si>
  <si>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</si>
  <si>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</si>
  <si>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</si>
  <si>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</si>
  <si>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</si>
  <si>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</si>
  <si>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</si>
  <si>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</si>
  <si>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</si>
  <si>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</si>
  <si>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</si>
  <si>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</si>
  <si>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</si>
  <si>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</si>
  <si>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</si>
  <si>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</si>
  <si>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</si>
  <si>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</si>
  <si>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</si>
  <si>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</si>
  <si>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</si>
  <si>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</si>
  <si>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</si>
  <si>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</si>
  <si>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</si>
  <si>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</si>
  <si>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</si>
  <si>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</si>
  <si>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</si>
  <si>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</si>
  <si>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</si>
  <si>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</si>
  <si>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</si>
  <si>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</si>
  <si>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</si>
  <si>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</si>
  <si>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</si>
  <si>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</si>
  <si>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</si>
  <si>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</si>
  <si>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</si>
  <si>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</si>
  <si>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</si>
  <si>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</si>
  <si>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</si>
  <si>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</si>
  <si>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</si>
  <si>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</si>
  <si>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</si>
  <si>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</si>
  <si>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</si>
  <si>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</si>
  <si>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</si>
  <si>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</si>
  <si>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</si>
  <si>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</si>
  <si>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</si>
  <si>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</si>
  <si>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</si>
  <si>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</si>
  <si>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</si>
  <si>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</si>
  <si>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</si>
  <si>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</si>
  <si>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</si>
  <si>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</si>
  <si>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</si>
  <si>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</si>
  <si>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</si>
  <si>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</si>
  <si>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</si>
  <si>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</si>
  <si>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</si>
  <si>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</si>
  <si>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</si>
  <si>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</si>
  <si>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</si>
  <si>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</si>
  <si>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</si>
  <si>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</si>
  <si>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</si>
  <si>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</si>
  <si>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</si>
  <si>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</si>
  <si>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</si>
  <si>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</si>
  <si>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</si>
  <si>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</si>
  <si>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</si>
  <si>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</si>
  <si>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</si>
  <si>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</si>
  <si>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</si>
  <si>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</si>
  <si>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</si>
  <si>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</si>
  <si>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</si>
  <si>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</si>
  <si>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</si>
  <si>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</si>
  <si>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</si>
  <si>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</si>
  <si>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</si>
  <si>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</si>
  <si>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</si>
  <si>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</si>
  <si>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</si>
  <si>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</si>
  <si>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</si>
  <si>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</si>
  <si>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</si>
  <si>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</si>
  <si>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</si>
  <si>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</si>
  <si>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</si>
  <si>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</si>
  <si>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</si>
  <si>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</si>
  <si>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</si>
  <si>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</si>
  <si>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</si>
  <si>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</si>
  <si>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</si>
  <si>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</si>
  <si>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</si>
  <si>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</si>
  <si>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</si>
  <si>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</si>
  <si>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</si>
  <si>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</si>
  <si>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</si>
  <si>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</si>
  <si>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</si>
  <si>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</si>
  <si>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</si>
  <si>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</si>
  <si>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</si>
  <si>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</si>
  <si>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</si>
  <si>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</si>
  <si>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</si>
  <si>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</si>
  <si>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</si>
  <si>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</si>
  <si>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</si>
  <si>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</si>
  <si>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</si>
  <si>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</si>
  <si>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</si>
  <si>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</si>
  <si>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</si>
  <si>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</si>
  <si>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</si>
  <si>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</si>
  <si>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</si>
  <si>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</si>
  <si>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</si>
  <si>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</si>
  <si>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</si>
  <si>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</si>
  <si>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</si>
  <si>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</si>
  <si>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</si>
  <si>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</si>
  <si>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</si>
  <si>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</si>
  <si>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</si>
  <si>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</si>
  <si>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</si>
  <si>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</si>
  <si>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</si>
  <si>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</si>
  <si>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</si>
  <si>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</si>
  <si>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</si>
  <si>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</si>
  <si>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</si>
  <si>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</si>
  <si>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</si>
  <si>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</si>
  <si>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</si>
  <si>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</si>
  <si>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</si>
  <si>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</si>
  <si>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</si>
  <si>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</si>
  <si>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</si>
  <si>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</si>
  <si>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</si>
  <si>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</si>
  <si>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</si>
  <si>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</si>
  <si>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</si>
  <si>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</si>
  <si>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</si>
  <si>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</si>
  <si>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</si>
  <si>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</si>
  <si>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</si>
  <si>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</si>
  <si>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</si>
  <si>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</si>
  <si>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</si>
  <si>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</si>
  <si>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</si>
  <si>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</si>
  <si>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</si>
  <si>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</si>
  <si>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</si>
  <si>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</si>
  <si>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</si>
  <si>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</si>
  <si>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</si>
  <si>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</si>
  <si>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</si>
  <si>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</si>
  <si>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</si>
  <si>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</si>
  <si>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</si>
  <si>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</si>
  <si>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</si>
  <si>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</si>
  <si>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</si>
  <si>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</si>
  <si>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</si>
  <si>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</si>
  <si>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</si>
  <si>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</si>
  <si>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</si>
  <si>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</si>
  <si>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</si>
  <si>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</si>
  <si>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</si>
  <si>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</si>
  <si>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</si>
  <si>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</si>
  <si>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</si>
  <si>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</si>
  <si>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</si>
  <si>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</si>
  <si>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</si>
  <si>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</si>
  <si>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</si>
  <si>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</si>
  <si>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</si>
  <si>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</si>
  <si>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</si>
  <si>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</si>
  <si>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</si>
  <si>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</si>
  <si>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</si>
  <si>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</si>
  <si>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</si>
  <si>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</si>
  <si>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</si>
  <si>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</si>
  <si>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</si>
  <si>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</si>
  <si>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</si>
  <si>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</si>
  <si>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</si>
  <si>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</si>
  <si>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</si>
  <si>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</si>
  <si>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</si>
  <si>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</si>
  <si>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</si>
  <si>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</si>
  <si>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</si>
  <si>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</si>
  <si>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</si>
  <si>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</si>
  <si>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</si>
  <si>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</si>
  <si>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</si>
  <si>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</si>
  <si>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</si>
  <si>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</si>
  <si>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</si>
  <si>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</si>
  <si>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</si>
  <si>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</si>
  <si>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</si>
  <si>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</si>
  <si>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</si>
  <si>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</si>
  <si>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</si>
  <si>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</si>
  <si>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</si>
  <si>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</si>
  <si>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</si>
  <si>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</si>
  <si>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</si>
  <si>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</si>
  <si>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</si>
  <si>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</si>
  <si>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</si>
  <si>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</si>
  <si>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</si>
  <si>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</si>
  <si>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</si>
  <si>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</si>
  <si>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</si>
  <si>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</si>
  <si>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</si>
  <si>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</si>
  <si>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</si>
  <si>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</si>
  <si>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</si>
  <si>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</si>
  <si>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</si>
  <si>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</si>
  <si>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</si>
  <si>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</si>
  <si>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</si>
  <si>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</si>
  <si>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</si>
  <si>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</si>
  <si>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</si>
  <si>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</si>
  <si>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</si>
  <si>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</si>
  <si>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</si>
  <si>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</si>
  <si>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</si>
  <si>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</si>
  <si>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</si>
  <si>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</si>
  <si>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</si>
  <si>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</si>
  <si>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</si>
  <si>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</si>
  <si>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</si>
  <si>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</si>
  <si>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</si>
  <si>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</si>
  <si>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</si>
  <si>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</si>
  <si>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</si>
  <si>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</si>
  <si>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</si>
  <si>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</si>
  <si>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</si>
  <si>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</si>
  <si>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</si>
  <si>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</si>
  <si>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</si>
  <si>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</si>
  <si>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</si>
  <si>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</si>
  <si>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</si>
  <si>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</si>
  <si>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</si>
  <si>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</si>
  <si>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</si>
  <si>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</si>
  <si>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</si>
  <si>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</si>
  <si>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</si>
  <si>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</si>
  <si>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</si>
  <si>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</si>
  <si>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</si>
  <si>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</si>
  <si>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</si>
  <si>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</si>
  <si>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</si>
  <si>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</si>
  <si>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</si>
  <si>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</si>
  <si>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</si>
  <si>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</si>
  <si>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</si>
  <si>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</si>
  <si>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</si>
  <si>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</si>
  <si>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</si>
  <si>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</si>
  <si>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</si>
  <si>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</si>
  <si>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</si>
  <si>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</si>
  <si>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</si>
  <si>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</si>
  <si>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</si>
  <si>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</si>
  <si>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</si>
  <si>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</si>
  <si>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</si>
  <si>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</si>
  <si>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</si>
  <si>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</si>
  <si>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</si>
  <si>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</si>
  <si>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</si>
  <si>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</si>
  <si>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</si>
  <si>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</si>
  <si>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</si>
  <si>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</si>
  <si>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</si>
  <si>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</si>
  <si>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</si>
  <si>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</si>
  <si>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</si>
  <si>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</si>
  <si>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</si>
  <si>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</si>
  <si>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</si>
  <si>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</si>
  <si>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</si>
  <si>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</si>
  <si>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</si>
  <si>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</si>
  <si>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</si>
  <si>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</si>
  <si>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</si>
  <si>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</si>
  <si>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</si>
  <si>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</si>
  <si>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</si>
  <si>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</si>
  <si>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</si>
  <si>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</si>
  <si>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</si>
  <si>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</si>
  <si>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</si>
  <si>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</si>
  <si>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</si>
  <si>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</si>
  <si>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</si>
  <si>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</si>
  <si>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</si>
  <si>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</si>
  <si>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</si>
  <si>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</si>
  <si>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</si>
  <si>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</si>
  <si>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</si>
  <si>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</si>
  <si>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</si>
  <si>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</si>
  <si>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</si>
  <si>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</si>
  <si>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</si>
  <si>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</si>
  <si>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</si>
  <si>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</si>
  <si>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</si>
  <si>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</si>
  <si>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</si>
  <si>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</si>
  <si>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</si>
  <si>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</si>
  <si>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</si>
  <si>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</si>
  <si>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</si>
  <si>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</si>
  <si>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</si>
  <si>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</si>
  <si>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</si>
  <si>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</si>
  <si>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</si>
  <si>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</si>
  <si>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</si>
  <si>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</si>
  <si>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</si>
  <si>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</si>
  <si>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</si>
  <si>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</si>
  <si>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</si>
  <si>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</si>
  <si>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</si>
  <si>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</si>
  <si>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</si>
  <si>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</si>
  <si>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</si>
  <si>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</si>
  <si>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</si>
  <si>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</si>
  <si>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</si>
  <si>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</si>
  <si>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</si>
  <si>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</si>
  <si>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</si>
  <si>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</si>
  <si>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</si>
  <si>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</si>
  <si>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</si>
  <si>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</si>
  <si>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</si>
  <si>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</si>
  <si>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</si>
  <si>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</si>
  <si>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</si>
  <si>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</si>
  <si>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</si>
  <si>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</si>
  <si>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</si>
  <si>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</si>
  <si>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</si>
  <si>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</si>
  <si>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</si>
  <si>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</si>
  <si>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</si>
  <si>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</si>
  <si>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</si>
  <si>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</si>
  <si>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</si>
  <si>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</si>
  <si>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</si>
  <si>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</si>
  <si>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</si>
  <si>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</si>
  <si>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</si>
  <si>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</si>
  <si>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</si>
  <si>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</si>
  <si>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</si>
  <si>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</si>
  <si>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</si>
  <si>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</si>
  <si>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</si>
  <si>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</si>
  <si>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</si>
  <si>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</si>
  <si>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</si>
  <si>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</si>
  <si>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</si>
  <si>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</si>
  <si>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</si>
  <si>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</si>
  <si>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</si>
  <si>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</si>
  <si>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</si>
  <si>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</si>
  <si>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</si>
  <si>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</si>
  <si>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</si>
  <si>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</si>
  <si>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</si>
  <si>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</si>
  <si>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</si>
  <si>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</si>
  <si>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</si>
  <si>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</si>
  <si>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</si>
  <si>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</si>
  <si>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</si>
  <si>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</si>
  <si>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</si>
  <si>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</si>
  <si>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</si>
  <si>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</si>
  <si>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</si>
  <si>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</si>
  <si>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</si>
  <si>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</si>
  <si>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</si>
  <si>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</si>
  <si>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</si>
  <si>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</si>
  <si>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</si>
  <si>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</si>
  <si>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</si>
  <si>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</si>
  <si>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</si>
  <si>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</si>
  <si>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</si>
  <si>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</si>
  <si>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</si>
  <si>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</si>
  <si>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</si>
  <si>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</si>
  <si>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</si>
  <si>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</si>
  <si>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</si>
  <si>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</si>
  <si>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</si>
  <si>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</si>
  <si>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</si>
  <si>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</si>
  <si>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</si>
  <si>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</si>
  <si>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</si>
  <si>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</si>
  <si>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</si>
  <si>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</si>
  <si>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</si>
  <si>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</si>
  <si>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</si>
  <si>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</si>
  <si>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</si>
  <si>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</si>
  <si>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</si>
  <si>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</si>
  <si>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</si>
  <si>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</si>
  <si>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</si>
  <si>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</si>
  <si>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</si>
  <si>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</si>
  <si>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</si>
  <si>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</si>
  <si>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</si>
  <si>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</si>
  <si>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</si>
  <si>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</si>
  <si>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</si>
  <si>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</si>
  <si>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</si>
  <si>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</si>
  <si>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</si>
  <si>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</si>
  <si>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</si>
  <si>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</si>
  <si>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</si>
  <si>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</si>
  <si>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</si>
  <si>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</si>
  <si>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</si>
  <si>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</si>
  <si>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</si>
  <si>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</si>
  <si>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</si>
  <si>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</si>
  <si>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</si>
  <si>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</si>
  <si>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</si>
  <si>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</si>
  <si>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</si>
  <si>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</si>
  <si>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</si>
  <si>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</si>
  <si>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</si>
  <si>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</si>
  <si>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</si>
  <si>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</si>
  <si>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</si>
  <si>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</si>
  <si>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</si>
  <si>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</si>
  <si>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</si>
  <si>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</si>
  <si>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</si>
  <si>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</si>
  <si>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</si>
  <si>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</si>
  <si>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</si>
  <si>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</si>
  <si>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</si>
  <si>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</si>
  <si>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</si>
  <si>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</si>
  <si>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</si>
  <si>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</si>
  <si>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</si>
  <si>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</si>
  <si>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</si>
  <si>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</si>
  <si>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</si>
  <si>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</si>
  <si>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</si>
  <si>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</si>
  <si>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</si>
  <si>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</si>
  <si>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</si>
  <si>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</si>
  <si>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</si>
  <si>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</si>
  <si>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</si>
  <si>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</si>
  <si>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</si>
  <si>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</si>
  <si>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</si>
  <si>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</si>
  <si>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</si>
  <si>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</si>
  <si>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</si>
  <si>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</si>
  <si>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</si>
  <si>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</si>
  <si>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</si>
  <si>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</si>
  <si>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</si>
  <si>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</si>
  <si>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</si>
  <si>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</si>
  <si>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</si>
  <si>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</si>
  <si>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</si>
  <si>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</si>
  <si>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</si>
  <si>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</si>
  <si>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</si>
  <si>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</si>
  <si>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</si>
  <si>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</si>
  <si>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</si>
  <si>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</si>
  <si>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</si>
  <si>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</si>
  <si>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</si>
  <si>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</si>
  <si>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</si>
  <si>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</si>
  <si>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</si>
  <si>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</si>
  <si>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</si>
  <si>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</si>
  <si>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</si>
  <si>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</si>
  <si>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</si>
  <si>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</si>
  <si>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</si>
  <si>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</si>
  <si>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</si>
  <si>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</si>
  <si>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</si>
  <si>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</si>
  <si>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</si>
  <si>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</si>
  <si>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</si>
  <si>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</si>
  <si>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</si>
  <si>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</si>
  <si>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</si>
  <si>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</si>
  <si>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</si>
  <si>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</si>
  <si>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</si>
  <si>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</si>
  <si>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</si>
  <si>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</si>
  <si>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</si>
  <si>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</si>
  <si>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</si>
  <si>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</si>
  <si>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</si>
  <si>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</si>
  <si>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</si>
  <si>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</si>
  <si>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</si>
  <si>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</si>
  <si>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</si>
  <si>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</si>
  <si>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</si>
  <si>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</si>
  <si>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</si>
  <si>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</si>
  <si>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</si>
  <si>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</si>
  <si>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</si>
  <si>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</si>
  <si>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</si>
  <si>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</si>
  <si>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</si>
  <si>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</si>
  <si>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</si>
  <si>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</si>
  <si>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</si>
  <si>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</si>
  <si>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</si>
  <si>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</si>
  <si>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</si>
  <si>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</si>
  <si>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</si>
  <si>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</si>
  <si>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</si>
  <si>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</si>
  <si>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</si>
  <si>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</si>
  <si>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</si>
  <si>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</si>
  <si>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</si>
  <si>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</si>
  <si>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</si>
  <si>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</si>
  <si>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</si>
  <si>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</si>
  <si>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</si>
  <si>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</si>
  <si>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</si>
  <si>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</si>
  <si>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</si>
  <si>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</si>
  <si>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</si>
  <si>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</si>
  <si>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</si>
  <si>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</si>
  <si>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</si>
  <si>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</si>
  <si>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</si>
  <si>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</si>
  <si>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</si>
  <si>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</si>
  <si>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</si>
  <si>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</si>
  <si>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</si>
  <si>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</si>
  <si>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</si>
  <si>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</si>
  <si>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</si>
  <si>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</si>
  <si>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</si>
  <si>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</si>
  <si>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</si>
  <si>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</si>
  <si>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</si>
  <si>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</si>
  <si>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</si>
  <si>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</si>
  <si>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</si>
  <si>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</si>
  <si>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</si>
  <si>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</si>
  <si>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</si>
  <si>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</si>
  <si>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</si>
  <si>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</si>
  <si>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</si>
  <si>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</si>
  <si>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</si>
  <si>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</si>
  <si>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</si>
  <si>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</si>
  <si>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</si>
  <si>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</si>
  <si>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</si>
  <si>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</si>
  <si>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</si>
  <si>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</si>
  <si>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</si>
  <si>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</si>
  <si>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</si>
  <si>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</si>
  <si>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</si>
  <si>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</si>
  <si>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</si>
  <si>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</si>
  <si>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</si>
  <si>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</si>
  <si>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</si>
  <si>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</si>
  <si>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</si>
  <si>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</si>
  <si>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</si>
  <si>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</si>
  <si>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</si>
  <si>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</si>
  <si>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</si>
  <si>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</si>
  <si>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</si>
  <si>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</si>
  <si>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</si>
  <si>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</si>
  <si>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</si>
  <si>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</si>
  <si>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</si>
  <si>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</si>
  <si>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</si>
  <si>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</si>
  <si>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</si>
  <si>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</si>
  <si>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</si>
  <si>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</si>
  <si>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</si>
  <si>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</si>
  <si>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</si>
  <si>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</si>
  <si>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</si>
  <si>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</si>
  <si>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</si>
  <si>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</si>
  <si>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</si>
  <si>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</si>
  <si>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</si>
  <si>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</si>
  <si>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</si>
  <si>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</si>
  <si>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</si>
  <si>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</si>
  <si>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</si>
  <si>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</si>
  <si>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</si>
  <si>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</si>
  <si>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</si>
  <si>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</si>
  <si>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</si>
  <si>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</si>
  <si>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</si>
  <si>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</si>
  <si>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</si>
  <si>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</si>
  <si>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</si>
  <si>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</si>
  <si>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</si>
  <si>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</si>
  <si>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</si>
  <si>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</si>
  <si>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</si>
  <si>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</si>
  <si>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</si>
  <si>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</si>
  <si>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</si>
  <si>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</si>
  <si>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</si>
  <si>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</si>
  <si>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</si>
  <si>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</si>
  <si>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</si>
  <si>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</si>
  <si>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</si>
  <si>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</si>
  <si>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</si>
  <si>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</si>
  <si>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</si>
  <si>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</si>
  <si>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</si>
  <si>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</si>
  <si>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</si>
  <si>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</si>
  <si>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</si>
  <si>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</si>
  <si>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</si>
  <si>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</si>
  <si>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</si>
  <si>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</si>
  <si>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</si>
  <si>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</si>
  <si>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</si>
  <si>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</si>
  <si>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</si>
  <si>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</si>
  <si>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</si>
  <si>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</si>
  <si>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</si>
  <si>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</si>
  <si>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</si>
  <si>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</si>
  <si>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</si>
  <si>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</si>
  <si>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</si>
  <si>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</si>
  <si>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</si>
  <si>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</si>
  <si>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</si>
  <si>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</si>
  <si>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</si>
  <si>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</si>
  <si>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</si>
  <si>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</si>
  <si>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</si>
  <si>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</si>
  <si>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</si>
  <si>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办公楼</t>
  </si>
  <si>
    <t>利息：取LPR加浮动点数</t>
  </si>
  <si>
    <t>成新度</t>
  </si>
  <si>
    <t>收益法 (元)816</t>
  </si>
  <si>
    <t>收益法 (元)816</t>
    <phoneticPr fontId="16" type="noConversion"/>
  </si>
  <si>
    <t>收益法 (元)817</t>
  </si>
  <si>
    <t>收益法 (元)817</t>
    <phoneticPr fontId="16" type="noConversion"/>
  </si>
  <si>
    <t>比较法-办公816</t>
  </si>
  <si>
    <t>比较法-办公816</t>
    <phoneticPr fontId="16" type="noConversion"/>
  </si>
  <si>
    <t>比较法-办公817</t>
  </si>
  <si>
    <t>比较法-办公817</t>
    <phoneticPr fontId="16" type="noConversion"/>
  </si>
  <si>
    <t>押一</t>
  </si>
  <si>
    <t>按租金收入计税</t>
  </si>
  <si>
    <t>钢混</t>
  </si>
  <si>
    <t>非生产用房</t>
  </si>
  <si>
    <t>收益还原</t>
  </si>
  <si>
    <t>售价</t>
  </si>
  <si>
    <t>金澳国际</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</si>
  <si>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</si>
  <si>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</si>
  <si>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</si>
  <si>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</si>
  <si>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</si>
  <si>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</si>
  <si>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</si>
  <si>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</si>
  <si>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</si>
  <si>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办公</t>
    <phoneticPr fontId="3" type="noConversion"/>
  </si>
  <si>
    <t>30-40（含）</t>
  </si>
  <si>
    <t>低区</t>
  </si>
  <si>
    <t>较好</t>
  </si>
  <si>
    <t>七通</t>
  </si>
  <si>
    <t>正常</t>
  </si>
  <si>
    <t>标准写字楼</t>
  </si>
  <si>
    <t>精装</t>
  </si>
  <si>
    <t>专业</t>
  </si>
  <si>
    <t>专业</t>
    <phoneticPr fontId="32" type="noConversion"/>
  </si>
  <si>
    <t>六通</t>
  </si>
  <si>
    <t>五通</t>
  </si>
  <si>
    <t>四通</t>
  </si>
  <si>
    <t>三通</t>
  </si>
  <si>
    <t>标准</t>
  </si>
  <si>
    <t>标准</t>
    <phoneticPr fontId="31" type="noConversion"/>
  </si>
  <si>
    <t>普装</t>
  </si>
  <si>
    <t>中区</t>
  </si>
  <si>
    <t>高区</t>
  </si>
  <si>
    <t>楼面单价</t>
  </si>
  <si>
    <t>金澳国际816</t>
    <phoneticPr fontId="140" type="noConversion"/>
  </si>
  <si>
    <t>金澳国际817</t>
    <phoneticPr fontId="140" type="noConversion"/>
  </si>
  <si>
    <t>绿地环球1807</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</si>
</sst>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3" fontId="255" fillId="0" borderId="1" xfId="0" applyNumberFormat="1"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275676</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90476" cy="4190476"/>
        </a:xfrm>
        <a:prstGeom prst="rect">
          <a:avLst/>
        </a:prstGeom>
      </xdr:spPr>
    </xdr:pic>
    <xdr:clientData/>
  </xdr:twoCellAnchor>
  <xdr:twoCellAnchor editAs="oneCell">
    <xdr:from>
      <xdr:col>6</xdr:col>
      <xdr:colOff>142875</xdr:colOff>
      <xdr:row>0</xdr:row>
      <xdr:rowOff>66675</xdr:rowOff>
    </xdr:from>
    <xdr:to>
      <xdr:col>12</xdr:col>
      <xdr:colOff>132837</xdr:colOff>
      <xdr:row>25</xdr:row>
      <xdr:rowOff>161378</xdr:rowOff>
    </xdr:to>
    <xdr:pic>
      <xdr:nvPicPr>
        <xdr:cNvPr id="3" name="图片 2"/>
        <xdr:cNvPicPr>
          <a:picLocks noChangeAspect="1"/>
        </xdr:cNvPicPr>
      </xdr:nvPicPr>
      <xdr:blipFill>
        <a:blip xmlns:r="http://schemas.openxmlformats.org/officeDocument/2006/relationships" r:embed="rId2"/>
        <a:stretch>
          <a:fillRect/>
        </a:stretch>
      </xdr:blipFill>
      <xdr:spPr>
        <a:xfrm>
          <a:off x="4257675" y="66675"/>
          <a:ext cx="4104762" cy="4380953"/>
        </a:xfrm>
        <a:prstGeom prst="rect">
          <a:avLst/>
        </a:prstGeom>
      </xdr:spPr>
    </xdr:pic>
    <xdr:clientData/>
  </xdr:twoCellAnchor>
  <xdr:twoCellAnchor editAs="oneCell">
    <xdr:from>
      <xdr:col>0</xdr:col>
      <xdr:colOff>0</xdr:colOff>
      <xdr:row>25</xdr:row>
      <xdr:rowOff>0</xdr:rowOff>
    </xdr:from>
    <xdr:to>
      <xdr:col>5</xdr:col>
      <xdr:colOff>466238</xdr:colOff>
      <xdr:row>48</xdr:row>
      <xdr:rowOff>113793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3895238" cy="4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2-1-0373&#32511;&#22320;&#29615;&#29699;&#37329;&#34701;&#22478;/&#32511;&#22320;&#29615;&#29699;&#37329;&#34701;&#22478;-&#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11;&#22320;&#29615;&#29699;&#37329;&#34701;&#22478;1803-1806-&#27979;&#31639;&#34920;-&#29579;&#26342;20220622-0936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803"/>
      <sheetName val="成本法"/>
      <sheetName val="成本法 (元)"/>
      <sheetName val="假设开发法"/>
      <sheetName val="收益法"/>
      <sheetName val="比较法-办公1803"/>
      <sheetName val="收益法 (元)1803"/>
      <sheetName val="结果表1804"/>
      <sheetName val="比较法-办公1804"/>
      <sheetName val="收益法 (元)1804"/>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1805"/>
      <sheetName val="比较法-办公1805"/>
      <sheetName val="收益法 (元)1805"/>
      <sheetName val="结果表1806"/>
      <sheetName val="比较法-办公1806"/>
      <sheetName val="收益法 (元)1806"/>
      <sheetName val="结果表1807"/>
      <sheetName val="比较法-办公1807"/>
      <sheetName val="收益法 (元)1807"/>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18">
          <cell r="B118">
            <v>207.53</v>
          </cell>
          <cell r="I118">
            <v>30592</v>
          </cell>
        </row>
      </sheetData>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803"/>
      <sheetName val="成本法"/>
      <sheetName val="成本法 (元)"/>
      <sheetName val="假设开发法"/>
      <sheetName val="收益法"/>
      <sheetName val="比较法-办公1803"/>
      <sheetName val="收益法 (元)1803"/>
      <sheetName val="结果表1804"/>
      <sheetName val="比较法-办公1804"/>
      <sheetName val="收益法 (元)1804"/>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1805"/>
      <sheetName val="比较法-办公1805"/>
      <sheetName val="收益法 (元)1805"/>
      <sheetName val="结果表1806"/>
      <sheetName val="比较法-办公1806"/>
      <sheetName val="收益法 (元)1806"/>
      <sheetName val="结果表1807"/>
      <sheetName val="比较法-办公1807"/>
      <sheetName val="收益法 (元)1807"/>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18">
          <cell r="H118">
            <v>633</v>
          </cell>
        </row>
      </sheetData>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945</v>
      </c>
      <c r="B1" s="1310" t="s">
        <v>1024</v>
      </c>
    </row>
    <row r="2" spans="1:2" s="1315" customFormat="1" ht="15" thickTop="1">
      <c r="A2" s="1313" t="s">
        <v>946</v>
      </c>
      <c r="B2" s="1314" t="str">
        <f>'预评函-封皮'!B37:I37</f>
        <v>北京市房地产抵押价值预评估</v>
      </c>
    </row>
    <row r="3" spans="1:2" s="1318" customFormat="1">
      <c r="A3" s="1316" t="s">
        <v>947</v>
      </c>
      <c r="B3" s="1317">
        <f>'预评函-封皮'!B40</f>
        <v>0</v>
      </c>
    </row>
    <row r="4" spans="1:2" s="1318" customFormat="1">
      <c r="A4" s="1316" t="s">
        <v>948</v>
      </c>
      <c r="B4" s="1317" t="str">
        <f>'预评函-封皮'!B46</f>
        <v>（注册号：0)、（注册号：0)</v>
      </c>
    </row>
    <row r="5" spans="1:2" s="1312" customFormat="1" ht="15" thickBot="1">
      <c r="A5" s="1319" t="s">
        <v>949</v>
      </c>
      <c r="B5" s="1320" t="str">
        <f>'预评函-封皮'!B49</f>
        <v>康正预评字号</v>
      </c>
    </row>
    <row r="6" spans="1:2" s="1315" customFormat="1" ht="15" thickTop="1">
      <c r="A6" s="1313" t="s">
        <v>950</v>
      </c>
      <c r="B6" s="1314" t="str">
        <f>'预评函-1'!A4</f>
        <v>受贵公司委托，我公司对北京市房地产抵押价值进行了预评估。</v>
      </c>
    </row>
    <row r="7" spans="1:2" s="1318" customFormat="1">
      <c r="A7" s="1316" t="s">
        <v>990</v>
      </c>
      <c r="B7" s="1317" t="str">
        <f>'预评函-1'!A7</f>
        <v>估价对象为北京市房地产，为所有。根据《国有土地使用证》[]，估价对象（分摊）出让国有建设用地使用权面积为0平方米，建筑面积为373.88平方米。</v>
      </c>
    </row>
    <row r="8" spans="1:2" s="1318" customFormat="1">
      <c r="A8" s="1316" t="s">
        <v>991</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992</v>
      </c>
      <c r="B9" s="1317" t="str">
        <f>'预评函-1'!A10</f>
        <v>估价对象为北京市房地产,属开发建设的，该项目尚在开发建设中。根据《国有土地使用证》[]，估价对象（分摊）出让国有建设用地使用权面积为0平方米，规划建筑面积为373.88平方米。</v>
      </c>
    </row>
    <row r="10" spans="1:2" s="1318" customFormat="1">
      <c r="A10" s="1316" t="s">
        <v>993</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951</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952</v>
      </c>
      <c r="B12" s="1317" t="str">
        <f>'预评函-1'!A15</f>
        <v>2022年6月21日（评估专业人员实地查勘之日）</v>
      </c>
    </row>
    <row r="13" spans="1:2" s="1318" customFormat="1">
      <c r="A13" s="1316" t="s">
        <v>953</v>
      </c>
      <c r="B13" s="1317"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18" customFormat="1">
      <c r="A14" s="1316" t="s">
        <v>954</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955</v>
      </c>
      <c r="B15" s="1317" t="str">
        <f>'预评函-1'!A20</f>
        <v>本次估价的“房地产抵押价值”是指估价对象在价值时点的“房地产价值”扣减估价师于价值时点所知悉的法定优先受偿款后的余额。</v>
      </c>
    </row>
    <row r="16" spans="1:2" s="1318" customFormat="1">
      <c r="A16" s="1316" t="s">
        <v>956</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957</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958</v>
      </c>
      <c r="B18" s="1320" t="str">
        <f>'预评函-1'!A24</f>
        <v>本次评估采用的主估价方法为比较法和收益法。</v>
      </c>
    </row>
    <row r="19" spans="1:2" s="1315" customFormat="1" ht="15" thickTop="1">
      <c r="A19" s="1313" t="s">
        <v>959</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960</v>
      </c>
      <c r="B20" s="1317">
        <f ca="1">'预评函-2'!D5</f>
        <v>860</v>
      </c>
    </row>
    <row r="21" spans="1:2" s="1318" customFormat="1">
      <c r="A21" s="1316" t="s">
        <v>961</v>
      </c>
      <c r="B21" s="1317">
        <f ca="1">'预评函-2'!D7</f>
        <v>38048</v>
      </c>
    </row>
    <row r="22" spans="1:2" s="1318" customFormat="1">
      <c r="A22" s="1316" t="s">
        <v>962</v>
      </c>
      <c r="B22" s="1317" t="str">
        <f ca="1">'预评函-2'!D6</f>
        <v>捌佰陆拾万元整</v>
      </c>
    </row>
    <row r="23" spans="1:2" s="1318" customFormat="1">
      <c r="A23" s="1316" t="s">
        <v>1013</v>
      </c>
      <c r="B23" s="1317" t="str">
        <f>'预评函-2'!B8</f>
        <v>2.估价师知悉的法定优先受偿款</v>
      </c>
    </row>
    <row r="24" spans="1:2" s="1318" customFormat="1">
      <c r="A24" s="1316" t="s">
        <v>1019</v>
      </c>
      <c r="B24" s="1317">
        <f>'预评函-2'!D8</f>
        <v>0</v>
      </c>
    </row>
    <row r="25" spans="1:2" s="1318" customFormat="1">
      <c r="A25" s="1316" t="s">
        <v>963</v>
      </c>
      <c r="B25" s="1317" t="str">
        <f>'预评函-2'!D9</f>
        <v>零元整</v>
      </c>
    </row>
    <row r="26" spans="1:2" s="1318" customFormat="1">
      <c r="A26" s="1316" t="s">
        <v>964</v>
      </c>
      <c r="B26" s="1317">
        <f>'预评函-2'!D10</f>
        <v>0</v>
      </c>
    </row>
    <row r="27" spans="1:2" s="1318" customFormat="1">
      <c r="A27" s="1316" t="s">
        <v>965</v>
      </c>
      <c r="B27" s="1317">
        <f>'预评函-2'!D11</f>
        <v>0</v>
      </c>
    </row>
    <row r="28" spans="1:2" s="1318" customFormat="1">
      <c r="A28" s="1316" t="s">
        <v>966</v>
      </c>
      <c r="B28" s="1317">
        <f>'预评函-2'!D12</f>
        <v>0</v>
      </c>
    </row>
    <row r="29" spans="1:2" s="1318" customFormat="1">
      <c r="A29" s="1316" t="s">
        <v>1017</v>
      </c>
      <c r="B29" s="1317" t="str">
        <f>'预评函-2'!B13</f>
        <v>3.房地产抵押价值</v>
      </c>
    </row>
    <row r="30" spans="1:2" s="1318" customFormat="1">
      <c r="A30" s="1316" t="s">
        <v>1018</v>
      </c>
      <c r="B30" s="1317">
        <f ca="1">'预评函-2'!D13</f>
        <v>860</v>
      </c>
    </row>
    <row r="31" spans="1:2" s="1318" customFormat="1">
      <c r="A31" s="1316" t="s">
        <v>1000</v>
      </c>
      <c r="B31" s="1317">
        <f ca="1">'预评函-2'!D15</f>
        <v>23002</v>
      </c>
    </row>
    <row r="32" spans="1:2" s="1318" customFormat="1">
      <c r="A32" s="1316" t="s">
        <v>967</v>
      </c>
      <c r="B32" s="1317" t="str">
        <f ca="1">'预评函-2'!D14</f>
        <v>捌佰陆拾万元整</v>
      </c>
    </row>
    <row r="33" spans="1:2" s="1318" customFormat="1">
      <c r="A33" s="1316" t="s">
        <v>1002</v>
      </c>
      <c r="B33" s="1317" t="str">
        <f>'预评函-2'!B16</f>
        <v>——</v>
      </c>
    </row>
    <row r="34" spans="1:2" s="1318" customFormat="1">
      <c r="A34" s="1316" t="s">
        <v>1020</v>
      </c>
      <c r="B34" s="1317" t="str">
        <f>'预评函-2'!D16</f>
        <v>——</v>
      </c>
    </row>
    <row r="35" spans="1:2" s="1318" customFormat="1">
      <c r="A35" s="1316" t="s">
        <v>1001</v>
      </c>
      <c r="B35" s="1317" t="str">
        <f>'预评函-2'!D18</f>
        <v>——</v>
      </c>
    </row>
    <row r="36" spans="1:2" s="1318" customFormat="1">
      <c r="A36" s="1316" t="s">
        <v>968</v>
      </c>
      <c r="B36" s="1317" t="e">
        <f>'预评函-2'!D17</f>
        <v>#VALUE!</v>
      </c>
    </row>
    <row r="37" spans="1:2" s="1318" customFormat="1">
      <c r="A37" s="1316" t="s">
        <v>1003</v>
      </c>
      <c r="B37" s="1317" t="str">
        <f>'预评函-2'!B19</f>
        <v>——</v>
      </c>
    </row>
    <row r="38" spans="1:2" s="1318" customFormat="1">
      <c r="A38" s="1316" t="s">
        <v>1021</v>
      </c>
      <c r="B38" s="1317" t="str">
        <f>'预评函-2'!D19</f>
        <v>——</v>
      </c>
    </row>
    <row r="39" spans="1:2" s="1318" customFormat="1">
      <c r="A39" s="1316" t="s">
        <v>969</v>
      </c>
      <c r="B39" s="1317" t="str">
        <f>'预评函-2'!D21</f>
        <v>——</v>
      </c>
    </row>
    <row r="40" spans="1:2" s="1318" customFormat="1">
      <c r="A40" s="1316" t="s">
        <v>970</v>
      </c>
      <c r="B40" s="1317" t="e">
        <f>'预评函-2'!D20</f>
        <v>#VALUE!</v>
      </c>
    </row>
    <row r="41" spans="1:2" s="1318" customFormat="1">
      <c r="A41" s="1316" t="s">
        <v>1016</v>
      </c>
      <c r="B41" s="1317" t="str">
        <f>'预评函-3'!A4</f>
        <v>北京市房地产</v>
      </c>
    </row>
    <row r="42" spans="1:2" s="1318" customFormat="1">
      <c r="A42" s="1316" t="s">
        <v>1014</v>
      </c>
      <c r="B42" s="1317" t="str">
        <f>'预评函-3'!B2</f>
        <v>建筑面积</v>
      </c>
    </row>
    <row r="43" spans="1:2" s="1318" customFormat="1">
      <c r="A43" s="1316" t="s">
        <v>1015</v>
      </c>
      <c r="B43" s="1317">
        <f>'预评函-3'!B4</f>
        <v>373.88</v>
      </c>
    </row>
    <row r="44" spans="1:2" s="1318" customFormat="1">
      <c r="A44" s="1316" t="s">
        <v>999</v>
      </c>
      <c r="B44" s="1317" t="str">
        <f>'预评函-3'!C2</f>
        <v>(分摊)土地面积</v>
      </c>
    </row>
    <row r="45" spans="1:2" s="1318" customFormat="1">
      <c r="A45" s="1316" t="s">
        <v>971</v>
      </c>
      <c r="B45" s="1317">
        <f>'预评函-3'!C4</f>
        <v>0</v>
      </c>
    </row>
    <row r="46" spans="1:2" s="1318" customFormat="1">
      <c r="A46" s="1316" t="s">
        <v>997</v>
      </c>
      <c r="B46" s="1317" t="str">
        <f>'预评函-3'!D2</f>
        <v>出让国有建设用地使用权价值</v>
      </c>
    </row>
    <row r="47" spans="1:2" s="1318" customFormat="1">
      <c r="A47" s="1316" t="s">
        <v>972</v>
      </c>
      <c r="B47" s="1317" t="e">
        <f ca="1">'预评函-3'!D4</f>
        <v>#REF!</v>
      </c>
    </row>
    <row r="48" spans="1:2" s="1318" customFormat="1">
      <c r="A48" s="1316" t="s">
        <v>973</v>
      </c>
      <c r="B48" s="1317" t="e">
        <f ca="1">'预评函-3'!E4</f>
        <v>#REF!</v>
      </c>
    </row>
    <row r="49" spans="1:2" s="1318" customFormat="1">
      <c r="A49" s="1316" t="s">
        <v>974</v>
      </c>
      <c r="B49" s="1317" t="e">
        <f ca="1">'预评函-3'!D5</f>
        <v>#REF!</v>
      </c>
    </row>
    <row r="50" spans="1:2" s="1318" customFormat="1">
      <c r="A50" s="1316" t="s">
        <v>998</v>
      </c>
      <c r="B50" s="1317" t="str">
        <f>'预评函-3'!F2</f>
        <v>在建建筑物价值</v>
      </c>
    </row>
    <row r="51" spans="1:2" s="1318" customFormat="1">
      <c r="A51" s="1316" t="s">
        <v>975</v>
      </c>
      <c r="B51" s="1317" t="e">
        <f ca="1">'预评函-3'!F4</f>
        <v>#REF!</v>
      </c>
    </row>
    <row r="52" spans="1:2" s="1318" customFormat="1">
      <c r="A52" s="1316" t="s">
        <v>976</v>
      </c>
      <c r="B52" s="1317" t="e">
        <f ca="1">'预评函-3'!G4</f>
        <v>#REF!</v>
      </c>
    </row>
    <row r="53" spans="1:2" s="1318" customFormat="1">
      <c r="A53" s="1316" t="s">
        <v>1004</v>
      </c>
      <c r="B53" s="1317" t="e">
        <f ca="1">'预评函-3'!F5</f>
        <v>#REF!</v>
      </c>
    </row>
    <row r="54" spans="1:2" s="1318" customFormat="1">
      <c r="A54" s="1316" t="s">
        <v>1022</v>
      </c>
      <c r="B54" s="1317" t="str">
        <f>'预评函-3'!A8</f>
        <v>房地产抵押价值</v>
      </c>
    </row>
    <row r="55" spans="1:2" s="1318" customFormat="1">
      <c r="A55" s="1316" t="s">
        <v>1005</v>
      </c>
      <c r="B55" s="1317" t="str">
        <f>'预评函-3'!A10</f>
        <v/>
      </c>
    </row>
    <row r="56" spans="1:2" s="1318" customFormat="1">
      <c r="A56" s="1316" t="s">
        <v>1006</v>
      </c>
      <c r="B56" s="1317" t="str">
        <f>'预评函-3'!A12</f>
        <v/>
      </c>
    </row>
    <row r="57" spans="1:2" s="1312" customFormat="1" ht="15" thickBot="1">
      <c r="A57" s="1319" t="s">
        <v>1023</v>
      </c>
      <c r="B57" s="1320" t="str">
        <f>'预评函-3'!A6</f>
        <v>估价师知悉的法定优先受偿款</v>
      </c>
    </row>
    <row r="58" spans="1:2" s="1315" customFormat="1" ht="15" thickTop="1">
      <c r="A58" s="1313" t="s">
        <v>977</v>
      </c>
      <c r="B58" s="1314" t="str">
        <f>'预评函-4'!A12</f>
        <v>2.本《评估意见函》仅供金融机构进行内部审核使用，不做其他目的之用。</v>
      </c>
    </row>
    <row r="59" spans="1:2" s="1318" customFormat="1">
      <c r="A59" s="1316" t="s">
        <v>978</v>
      </c>
      <c r="B59" s="1317" t="str">
        <f>'预评函-4'!A13</f>
        <v>3.抵押双方在办理抵押登记手续时，应使用本公司出具的正式《房地产评估报告》，特提醒报告使用者注意。</v>
      </c>
    </row>
    <row r="60" spans="1:2" s="1318" customFormat="1">
      <c r="A60" s="1316" t="s">
        <v>979</v>
      </c>
      <c r="B60" s="1317" t="str">
        <f>'预评函-4'!A14</f>
        <v>4.本次评估估价师所知悉的法定优先受偿款情况说明如下：</v>
      </c>
    </row>
    <row r="61" spans="1:2" s="1318" customFormat="1">
      <c r="A61" s="1316" t="s">
        <v>980</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981</v>
      </c>
      <c r="B62" s="1317" t="str">
        <f>'预评函-4'!A16</f>
        <v>（2）根据《工程款支付情况说明》，截至价值时点，估价对象不存在应付未付工程款项。（只要没有施工方盖章的，均“设定”进行表述）</v>
      </c>
    </row>
    <row r="63" spans="1:2" s="1318" customFormat="1">
      <c r="A63" s="1316" t="s">
        <v>982</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994</v>
      </c>
      <c r="B64" s="1317" t="str">
        <f>'预评函-4'!A18</f>
        <v>故，本次评估不存在估价师知悉的法定优先受偿款</v>
      </c>
    </row>
    <row r="65" spans="1:2" s="1318" customFormat="1">
      <c r="A65" s="1316" t="s">
        <v>983</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984</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995</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996</v>
      </c>
      <c r="B68" s="1317" t="str">
        <f>'预评函-4'!A22</f>
        <v>8.其他需特殊说明事项：无（注意调整序号）</v>
      </c>
    </row>
    <row r="69" spans="1:2" s="1312" customFormat="1" ht="15" thickBot="1">
      <c r="A69" s="1319" t="s">
        <v>985</v>
      </c>
      <c r="B69" s="1321">
        <f>'预评函-4'!C31</f>
        <v>42551</v>
      </c>
    </row>
    <row r="70" spans="1:2" ht="15" thickTop="1">
      <c r="A70" s="1322" t="s">
        <v>986</v>
      </c>
      <c r="B70" s="1323">
        <f>'预评函-4'!A4</f>
        <v>0</v>
      </c>
    </row>
    <row r="71" spans="1:2">
      <c r="A71" s="1316" t="s">
        <v>987</v>
      </c>
      <c r="B71" s="1317">
        <f>'预评函-4'!B4</f>
        <v>0</v>
      </c>
    </row>
    <row r="72" spans="1:2">
      <c r="A72" s="1316" t="s">
        <v>988</v>
      </c>
      <c r="B72" s="1325">
        <f>'预评函-4'!A5</f>
        <v>0</v>
      </c>
    </row>
    <row r="73" spans="1:2" s="1312" customFormat="1" ht="15" thickBot="1">
      <c r="A73" s="1319" t="s">
        <v>989</v>
      </c>
      <c r="B73" s="1320">
        <f>'预评函-4'!B5</f>
        <v>0</v>
      </c>
    </row>
    <row r="74" spans="1:2" ht="15" thickTop="1">
      <c r="A74" s="1309" t="s">
        <v>1025</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1410</v>
      </c>
      <c r="C1" s="1677" t="s">
        <v>578</v>
      </c>
      <c r="D1" s="1678" t="s">
        <v>1411</v>
      </c>
      <c r="E1" s="1678" t="s">
        <v>1412</v>
      </c>
      <c r="F1" s="1678" t="s">
        <v>1413</v>
      </c>
      <c r="G1" s="1678" t="s">
        <v>1414</v>
      </c>
      <c r="H1" s="1678" t="s">
        <v>1415</v>
      </c>
      <c r="I1" s="1678" t="s">
        <v>1416</v>
      </c>
      <c r="J1" s="1678" t="s">
        <v>1417</v>
      </c>
      <c r="K1" s="1678" t="s">
        <v>1418</v>
      </c>
      <c r="L1" s="1678" t="s">
        <v>1419</v>
      </c>
      <c r="M1" s="1678" t="s">
        <v>1420</v>
      </c>
      <c r="N1" s="1678" t="s">
        <v>1421</v>
      </c>
      <c r="O1" s="1678" t="s">
        <v>1422</v>
      </c>
      <c r="P1" s="1679" t="s">
        <v>573</v>
      </c>
      <c r="Q1" s="1679" t="s">
        <v>872</v>
      </c>
      <c r="R1" s="1678" t="s">
        <v>866</v>
      </c>
      <c r="S1" s="1678" t="s">
        <v>1423</v>
      </c>
      <c r="T1" s="1680" t="s">
        <v>1424</v>
      </c>
      <c r="U1" s="1678" t="s">
        <v>1425</v>
      </c>
      <c r="V1" s="1678" t="s">
        <v>1426</v>
      </c>
      <c r="W1" s="1678" t="s">
        <v>575</v>
      </c>
    </row>
    <row r="2" spans="1:23">
      <c r="A2" s="1682" t="s">
        <v>22</v>
      </c>
      <c r="B2" s="1682" t="s">
        <v>1427</v>
      </c>
      <c r="C2" s="1683" t="s">
        <v>579</v>
      </c>
      <c r="D2" s="1684" t="s">
        <v>1428</v>
      </c>
      <c r="E2" s="1684" t="s">
        <v>1429</v>
      </c>
      <c r="F2" s="1684" t="s">
        <v>1430</v>
      </c>
      <c r="G2" s="1684">
        <v>40</v>
      </c>
      <c r="H2" s="1684" t="s">
        <v>1430</v>
      </c>
      <c r="I2" s="1684" t="s">
        <v>1431</v>
      </c>
      <c r="J2" s="1684" t="s">
        <v>1432</v>
      </c>
      <c r="K2" s="1684" t="s">
        <v>1433</v>
      </c>
      <c r="L2" s="1684" t="s">
        <v>1433</v>
      </c>
      <c r="M2" s="1684" t="s">
        <v>1433</v>
      </c>
      <c r="N2" s="1684" t="s">
        <v>1433</v>
      </c>
      <c r="O2" s="1684" t="s">
        <v>1433</v>
      </c>
      <c r="P2" s="1684" t="s">
        <v>1433</v>
      </c>
      <c r="Q2" s="1684" t="s">
        <v>1433</v>
      </c>
      <c r="R2" s="1684" t="s">
        <v>868</v>
      </c>
      <c r="S2" s="1684" t="s">
        <v>1433</v>
      </c>
      <c r="T2" s="1684" t="s">
        <v>1434</v>
      </c>
      <c r="U2" s="1684" t="s">
        <v>1433</v>
      </c>
      <c r="V2" s="1684" t="s">
        <v>1435</v>
      </c>
      <c r="W2" s="1684" t="s">
        <v>1433</v>
      </c>
    </row>
    <row r="3" spans="1:23">
      <c r="A3" s="1682" t="s">
        <v>1436</v>
      </c>
      <c r="B3" s="1685" t="s">
        <v>873</v>
      </c>
      <c r="C3" s="1686" t="s">
        <v>580</v>
      </c>
      <c r="D3" s="1684" t="s">
        <v>1437</v>
      </c>
      <c r="E3" s="1684" t="s">
        <v>16</v>
      </c>
      <c r="F3" s="1684" t="s">
        <v>1438</v>
      </c>
      <c r="G3" s="1684">
        <v>50</v>
      </c>
      <c r="H3" s="1684" t="s">
        <v>1438</v>
      </c>
      <c r="I3" s="1684" t="s">
        <v>1439</v>
      </c>
      <c r="J3" s="1684" t="s">
        <v>1440</v>
      </c>
      <c r="K3" s="1684" t="s">
        <v>1441</v>
      </c>
      <c r="L3" s="1684" t="s">
        <v>1441</v>
      </c>
      <c r="M3" s="1684" t="s">
        <v>1441</v>
      </c>
      <c r="N3" s="1684" t="s">
        <v>1441</v>
      </c>
      <c r="O3" s="1684" t="s">
        <v>1441</v>
      </c>
      <c r="P3" s="1684" t="s">
        <v>1441</v>
      </c>
      <c r="Q3" s="1684" t="s">
        <v>1441</v>
      </c>
      <c r="R3" s="1684" t="s">
        <v>867</v>
      </c>
      <c r="S3" s="1684" t="s">
        <v>1441</v>
      </c>
      <c r="T3" s="1684" t="s">
        <v>1442</v>
      </c>
      <c r="U3" s="1684" t="s">
        <v>1441</v>
      </c>
      <c r="V3" s="1684" t="s">
        <v>1443</v>
      </c>
      <c r="W3" s="1684" t="s">
        <v>1441</v>
      </c>
    </row>
    <row r="4" spans="1:23">
      <c r="A4" s="1682" t="s">
        <v>1444</v>
      </c>
      <c r="B4" s="1682" t="s">
        <v>1445</v>
      </c>
      <c r="C4" s="1683" t="s">
        <v>581</v>
      </c>
      <c r="D4" s="1684" t="s">
        <v>655</v>
      </c>
      <c r="E4" s="1684" t="s">
        <v>1446</v>
      </c>
      <c r="F4" s="1684" t="s">
        <v>1447</v>
      </c>
      <c r="G4" s="1684">
        <v>70</v>
      </c>
      <c r="H4" s="1684" t="s">
        <v>1447</v>
      </c>
      <c r="I4" s="1684" t="s">
        <v>1448</v>
      </c>
      <c r="K4" s="1684" t="s">
        <v>1449</v>
      </c>
      <c r="L4" s="1684" t="s">
        <v>1449</v>
      </c>
      <c r="M4" s="1684" t="s">
        <v>1449</v>
      </c>
      <c r="N4" s="1684" t="s">
        <v>1449</v>
      </c>
      <c r="O4" s="1684" t="s">
        <v>1449</v>
      </c>
      <c r="P4" s="1684" t="s">
        <v>1449</v>
      </c>
      <c r="Q4" s="1684" t="s">
        <v>1449</v>
      </c>
      <c r="R4" s="1684" t="s">
        <v>869</v>
      </c>
      <c r="S4" s="1684" t="s">
        <v>1449</v>
      </c>
      <c r="T4" s="1684" t="s">
        <v>1450</v>
      </c>
      <c r="U4" s="1684" t="s">
        <v>1449</v>
      </c>
      <c r="W4" s="1684" t="s">
        <v>1449</v>
      </c>
    </row>
    <row r="5" spans="1:23">
      <c r="A5" s="1682" t="s">
        <v>1451</v>
      </c>
      <c r="B5" s="1682" t="s">
        <v>1452</v>
      </c>
      <c r="C5" s="1683" t="s">
        <v>582</v>
      </c>
      <c r="F5" s="1684" t="s">
        <v>1453</v>
      </c>
      <c r="H5" s="1684" t="s">
        <v>1454</v>
      </c>
      <c r="I5" s="1684" t="s">
        <v>1455</v>
      </c>
      <c r="K5" s="1684" t="s">
        <v>1456</v>
      </c>
      <c r="L5" s="1684" t="s">
        <v>1456</v>
      </c>
      <c r="M5" s="1684" t="s">
        <v>1456</v>
      </c>
      <c r="N5" s="1684" t="s">
        <v>1456</v>
      </c>
      <c r="O5" s="1684" t="s">
        <v>1456</v>
      </c>
      <c r="P5" s="1684" t="s">
        <v>1456</v>
      </c>
      <c r="Q5" s="1684" t="s">
        <v>1456</v>
      </c>
      <c r="R5" s="1684" t="s">
        <v>870</v>
      </c>
      <c r="S5" s="1684" t="s">
        <v>1456</v>
      </c>
      <c r="T5" s="1684" t="s">
        <v>1457</v>
      </c>
      <c r="U5" s="1684" t="s">
        <v>1456</v>
      </c>
      <c r="W5" s="1684" t="s">
        <v>1456</v>
      </c>
    </row>
    <row r="6" spans="1:23">
      <c r="A6" s="1682" t="s">
        <v>1458</v>
      </c>
      <c r="B6" s="1685" t="s">
        <v>3181</v>
      </c>
      <c r="C6" s="1688" t="s">
        <v>30</v>
      </c>
      <c r="F6" s="1684" t="s">
        <v>1454</v>
      </c>
      <c r="H6" s="1684" t="s">
        <v>1459</v>
      </c>
      <c r="I6" s="1684" t="s">
        <v>1460</v>
      </c>
      <c r="K6" s="1684" t="s">
        <v>1461</v>
      </c>
      <c r="L6" s="1684" t="s">
        <v>1461</v>
      </c>
      <c r="M6" s="1684" t="s">
        <v>1461</v>
      </c>
      <c r="N6" s="1684" t="s">
        <v>1461</v>
      </c>
      <c r="O6" s="1684" t="s">
        <v>1461</v>
      </c>
      <c r="P6" s="1684" t="s">
        <v>1461</v>
      </c>
      <c r="Q6" s="1684" t="s">
        <v>1461</v>
      </c>
      <c r="R6" s="1684" t="s">
        <v>871</v>
      </c>
      <c r="S6" s="1684" t="s">
        <v>1461</v>
      </c>
      <c r="T6" s="1684"/>
      <c r="U6" s="1684" t="s">
        <v>1461</v>
      </c>
      <c r="W6" s="1684" t="s">
        <v>1461</v>
      </c>
    </row>
    <row r="7" spans="1:23">
      <c r="A7" s="1682" t="s">
        <v>1462</v>
      </c>
      <c r="B7" s="1685" t="s">
        <v>874</v>
      </c>
      <c r="C7" s="1683" t="s">
        <v>31</v>
      </c>
      <c r="F7" s="1684" t="s">
        <v>1463</v>
      </c>
      <c r="H7" s="1684" t="s">
        <v>1464</v>
      </c>
      <c r="I7" s="1684" t="s">
        <v>1465</v>
      </c>
    </row>
    <row r="8" spans="1:23">
      <c r="A8" s="1682" t="s">
        <v>1466</v>
      </c>
      <c r="B8" s="1682" t="s">
        <v>1467</v>
      </c>
      <c r="C8" s="1683" t="s">
        <v>583</v>
      </c>
      <c r="F8" s="1684" t="s">
        <v>1468</v>
      </c>
      <c r="H8" s="1684"/>
      <c r="I8" s="1684" t="s">
        <v>1469</v>
      </c>
    </row>
    <row r="9" spans="1:23">
      <c r="A9" s="1682" t="s">
        <v>1470</v>
      </c>
      <c r="B9" s="1682" t="s">
        <v>1471</v>
      </c>
      <c r="C9" s="1683" t="s">
        <v>584</v>
      </c>
      <c r="F9" s="1684" t="s">
        <v>1472</v>
      </c>
      <c r="H9" s="1684"/>
    </row>
    <row r="10" spans="1:23">
      <c r="A10" s="1682" t="s">
        <v>1473</v>
      </c>
      <c r="B10" s="1685" t="s">
        <v>3185</v>
      </c>
      <c r="C10" s="1683" t="s">
        <v>585</v>
      </c>
      <c r="F10" s="1684" t="s">
        <v>16</v>
      </c>
    </row>
    <row r="11" spans="1:23">
      <c r="A11" s="1682" t="s">
        <v>1474</v>
      </c>
      <c r="B11" s="1682" t="s">
        <v>1475</v>
      </c>
      <c r="C11" s="1683" t="s">
        <v>586</v>
      </c>
    </row>
    <row r="12" spans="1:23">
      <c r="A12" s="1682" t="s">
        <v>1476</v>
      </c>
      <c r="B12" s="1682" t="s">
        <v>1477</v>
      </c>
      <c r="C12" s="1683" t="s">
        <v>587</v>
      </c>
    </row>
    <row r="13" spans="1:23">
      <c r="A13" s="1682" t="s">
        <v>1478</v>
      </c>
      <c r="B13" s="1682" t="s">
        <v>1479</v>
      </c>
      <c r="C13" s="1683" t="s">
        <v>588</v>
      </c>
    </row>
    <row r="14" spans="1:23">
      <c r="A14" s="1682" t="s">
        <v>1480</v>
      </c>
      <c r="B14" s="1682" t="s">
        <v>1481</v>
      </c>
      <c r="C14" s="1684" t="s">
        <v>16</v>
      </c>
    </row>
    <row r="15" spans="1:23">
      <c r="A15" s="1682" t="s">
        <v>1482</v>
      </c>
      <c r="B15" s="1682" t="s">
        <v>1483</v>
      </c>
      <c r="C15" s="1683"/>
    </row>
    <row r="16" spans="1:23">
      <c r="A16" s="1682" t="s">
        <v>1484</v>
      </c>
      <c r="B16" s="1682" t="s">
        <v>576</v>
      </c>
      <c r="C16" s="1683"/>
    </row>
    <row r="17" spans="1:3">
      <c r="A17" s="1682" t="s">
        <v>1485</v>
      </c>
      <c r="B17" s="1682" t="s">
        <v>2789</v>
      </c>
      <c r="C17" s="1683"/>
    </row>
    <row r="18" spans="1:3">
      <c r="A18" s="1682" t="s">
        <v>1486</v>
      </c>
      <c r="B18" s="1682" t="s">
        <v>2933</v>
      </c>
      <c r="C18" s="1683"/>
    </row>
    <row r="19" spans="1:3">
      <c r="A19" s="1682" t="s">
        <v>1487</v>
      </c>
      <c r="B19" s="1685" t="s">
        <v>3183</v>
      </c>
      <c r="C19" s="1683"/>
    </row>
    <row r="20" spans="1:3">
      <c r="A20" s="1682" t="s">
        <v>1488</v>
      </c>
      <c r="B20" s="1685" t="s">
        <v>3187</v>
      </c>
      <c r="C20" s="1683"/>
    </row>
    <row r="21" spans="1:3">
      <c r="A21" s="1682" t="s">
        <v>1489</v>
      </c>
      <c r="B21" s="1682" t="s">
        <v>577</v>
      </c>
      <c r="C21" s="1683"/>
    </row>
    <row r="22" spans="1:3">
      <c r="A22" s="1682" t="s">
        <v>1490</v>
      </c>
      <c r="B22" s="1682" t="s">
        <v>577</v>
      </c>
      <c r="C22" s="1683"/>
    </row>
    <row r="23" spans="1:3">
      <c r="A23" s="1682" t="s">
        <v>1491</v>
      </c>
      <c r="B23" s="1682" t="s">
        <v>577</v>
      </c>
      <c r="C23" s="1683"/>
    </row>
    <row r="24" spans="1:3">
      <c r="A24" s="1682" t="s">
        <v>1492</v>
      </c>
      <c r="B24" s="1682" t="s">
        <v>577</v>
      </c>
      <c r="C24" s="1683"/>
    </row>
    <row r="25" spans="1:3">
      <c r="A25" s="1682" t="s">
        <v>1493</v>
      </c>
      <c r="B25" s="1682" t="s">
        <v>577</v>
      </c>
      <c r="C25" s="1683"/>
    </row>
    <row r="26" spans="1:3">
      <c r="A26" s="1682" t="s">
        <v>1494</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1010</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1007</v>
      </c>
    </row>
    <row r="55" spans="1:4">
      <c r="A55" s="3310"/>
      <c r="B55" s="1690" t="s">
        <v>652</v>
      </c>
      <c r="C55" s="1687" t="s">
        <v>1008</v>
      </c>
    </row>
    <row r="56" spans="1:4">
      <c r="A56" s="3310"/>
      <c r="B56" s="1690" t="s">
        <v>653</v>
      </c>
      <c r="C56" s="1687" t="s">
        <v>1012</v>
      </c>
    </row>
    <row r="57" spans="1:4">
      <c r="A57" s="3310"/>
      <c r="B57" s="1690" t="s">
        <v>654</v>
      </c>
      <c r="C57" s="1687" t="s">
        <v>1009</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F13" sqref="F1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2664</v>
      </c>
      <c r="B1" s="3311" t="str">
        <f>IF(B10="北京市","北京市",C10)&amp;F10&amp;IF(结果表816!G1="在建","出让国有建设用地使用权及在建建筑物",IF(结果表816!G1="土地","出让国有建设用地使用权",))&amp;B9&amp;"预评估"</f>
        <v>北京市房地产抵押价值预评估</v>
      </c>
      <c r="C1" s="3312"/>
      <c r="D1" s="3312"/>
      <c r="E1" s="3312"/>
      <c r="F1" s="3312"/>
      <c r="G1" s="3312"/>
      <c r="H1" s="3312"/>
      <c r="I1" s="3313"/>
      <c r="J1" s="2647"/>
      <c r="K1" s="2542"/>
      <c r="L1" s="2543"/>
      <c r="M1" s="2543"/>
      <c r="N1" s="2544"/>
      <c r="O1" s="1712"/>
      <c r="P1" s="2544"/>
      <c r="Q1" s="2544"/>
      <c r="R1" s="2544"/>
      <c r="S1" s="1819" t="str">
        <f>IF(B10="北京市","北京市",C10)&amp;F10&amp;IF(结果表816!G1="在建","出让国有建设用地使用权及在建建筑物房地产抵押价值",IF(结果表816!G1="土地","出让国有建设用地使用权抵押价值",B9))</f>
        <v>北京市房地产抵押价值</v>
      </c>
      <c r="T1" s="1882"/>
      <c r="U1" s="1882"/>
      <c r="V1" s="1882"/>
      <c r="W1" s="1882"/>
      <c r="X1" s="1882"/>
      <c r="Y1" s="1882"/>
      <c r="Z1" s="1882"/>
      <c r="AA1" s="1882"/>
      <c r="AB1" s="1882"/>
    </row>
    <row r="2" spans="1:28">
      <c r="A2" s="2541" t="s">
        <v>2665</v>
      </c>
      <c r="B2" s="2545"/>
      <c r="C2" s="2546"/>
      <c r="D2" s="2849"/>
      <c r="E2" s="2839"/>
      <c r="F2" s="2839"/>
      <c r="G2" s="2840"/>
      <c r="H2" s="2840"/>
      <c r="I2" s="2840"/>
      <c r="J2" s="2647"/>
      <c r="K2" s="2542"/>
      <c r="L2" s="2543"/>
      <c r="M2" s="2543"/>
      <c r="N2" s="2544"/>
      <c r="O2" s="1712"/>
      <c r="P2" s="2544"/>
      <c r="Q2" s="2544"/>
      <c r="R2" s="2544"/>
      <c r="S2" s="1819" t="str">
        <f>IF(B10="北京市","北京市",C10)&amp;F10&amp;IF(结果表816!G1="在建","出让国有建设用地使用权及在建建筑物房地产",IF(结果表816!G1="土地","出让国有建设用地使用权","房地产"))</f>
        <v>北京市房地产</v>
      </c>
      <c r="T2" s="1882"/>
      <c r="U2" s="1882"/>
      <c r="V2" s="1882"/>
      <c r="W2" s="1882"/>
      <c r="X2" s="1882"/>
      <c r="Y2" s="1882"/>
      <c r="Z2" s="1882"/>
      <c r="AA2" s="1882"/>
      <c r="AB2" s="1882"/>
    </row>
    <row r="3" spans="1:28">
      <c r="A3" s="308" t="s">
        <v>2666</v>
      </c>
      <c r="B3" s="2547">
        <v>44733</v>
      </c>
      <c r="C3" s="2548" t="s">
        <v>2667</v>
      </c>
      <c r="D3" s="2547">
        <f>B3</f>
        <v>44733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2668</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2669</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2670</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2671</v>
      </c>
      <c r="B7" s="2561"/>
      <c r="C7" s="2559"/>
      <c r="D7" s="2560"/>
      <c r="E7" s="2839"/>
      <c r="F7" s="2841"/>
      <c r="G7" s="2841"/>
      <c r="H7" s="2841"/>
      <c r="I7" s="2841"/>
      <c r="J7" s="2615"/>
      <c r="K7" s="2792"/>
      <c r="L7" s="2789"/>
      <c r="M7" s="2789"/>
      <c r="N7" s="2615"/>
      <c r="O7" s="2626"/>
      <c r="P7" s="2615"/>
      <c r="Q7" s="2615"/>
      <c r="R7" s="2615"/>
    </row>
    <row r="8" spans="1:28">
      <c r="A8" s="2562" t="s">
        <v>2672</v>
      </c>
      <c r="B8" s="2563" t="s">
        <v>3170</v>
      </c>
      <c r="C8" s="2564"/>
      <c r="D8" s="3314" t="s">
        <v>2673</v>
      </c>
      <c r="E8" s="2565" t="s">
        <v>3171</v>
      </c>
      <c r="F8" s="2566"/>
      <c r="G8" s="2840"/>
      <c r="H8" s="2840"/>
      <c r="I8" s="2840"/>
      <c r="J8" s="2615"/>
      <c r="K8" s="2790"/>
      <c r="L8" s="2789"/>
      <c r="M8" s="2789"/>
      <c r="N8" s="2615"/>
      <c r="O8" s="2626"/>
      <c r="P8" s="2615"/>
      <c r="Q8" s="2615"/>
      <c r="R8" s="2615"/>
    </row>
    <row r="9" spans="1:28" ht="13.5" thickBot="1">
      <c r="A9" s="2567" t="s">
        <v>2674</v>
      </c>
      <c r="B9" s="2568" t="s">
        <v>3171</v>
      </c>
      <c r="C9" s="2569"/>
      <c r="D9" s="3315"/>
      <c r="E9" s="2568"/>
      <c r="F9" s="2570"/>
      <c r="G9" s="2842"/>
      <c r="H9" s="2842"/>
      <c r="I9" s="2842"/>
      <c r="J9" s="2615"/>
      <c r="K9" s="2792"/>
      <c r="L9" s="2789"/>
      <c r="M9" s="2789"/>
      <c r="N9" s="2615"/>
      <c r="O9" s="2626"/>
      <c r="P9" s="2615"/>
      <c r="Q9" s="2615"/>
      <c r="R9" s="2615"/>
    </row>
    <row r="10" spans="1:28" ht="13.5" thickTop="1">
      <c r="A10" s="2571" t="s">
        <v>2675</v>
      </c>
      <c r="B10" s="2572" t="s">
        <v>3172</v>
      </c>
      <c r="C10" s="2573"/>
      <c r="D10" s="2556"/>
      <c r="E10" s="2574" t="s">
        <v>2676</v>
      </c>
      <c r="F10" s="2843"/>
      <c r="G10" s="2844"/>
      <c r="H10" s="2845"/>
      <c r="I10" s="2846"/>
      <c r="J10" s="2615"/>
      <c r="K10" s="2792"/>
      <c r="L10" s="2789"/>
      <c r="M10" s="2789"/>
      <c r="N10" s="2615"/>
      <c r="O10" s="2626"/>
      <c r="P10" s="2615"/>
      <c r="Q10" s="2615"/>
      <c r="R10" s="2615"/>
    </row>
    <row r="11" spans="1:28">
      <c r="A11" s="2575" t="s">
        <v>2677</v>
      </c>
      <c r="B11" s="2576" t="s">
        <v>3173</v>
      </c>
      <c r="C11" s="2577"/>
      <c r="D11" s="2578"/>
      <c r="E11" s="2544"/>
      <c r="F11" s="2544"/>
      <c r="G11" s="2544"/>
      <c r="H11" s="2544"/>
      <c r="I11" s="2544"/>
      <c r="J11" s="2615"/>
      <c r="K11" s="2792"/>
      <c r="L11" s="2789"/>
      <c r="M11" s="2789"/>
      <c r="N11" s="2615"/>
      <c r="O11" s="2626"/>
      <c r="P11" s="2615"/>
      <c r="Q11" s="2615"/>
      <c r="R11" s="2615"/>
    </row>
    <row r="12" spans="1:28">
      <c r="A12" s="2579" t="s">
        <v>2678</v>
      </c>
      <c r="B12" s="2576" t="s">
        <v>3174</v>
      </c>
      <c r="C12" s="329" t="s">
        <v>2679</v>
      </c>
      <c r="D12" s="2580" t="s">
        <v>2680</v>
      </c>
      <c r="E12" s="2580" t="s">
        <v>2681</v>
      </c>
      <c r="F12" s="2580" t="s">
        <v>2682</v>
      </c>
      <c r="G12" s="2580" t="s">
        <v>2683</v>
      </c>
      <c r="H12" s="2580" t="s">
        <v>2684</v>
      </c>
      <c r="I12" s="2580" t="s">
        <v>2685</v>
      </c>
      <c r="J12" s="2615"/>
      <c r="K12" s="2792"/>
      <c r="L12" s="2789"/>
      <c r="M12" s="2789"/>
      <c r="N12" s="2615"/>
      <c r="O12" s="2626"/>
      <c r="P12" s="2615"/>
      <c r="Q12" s="2615"/>
      <c r="R12" s="2615"/>
    </row>
    <row r="13" spans="1:28">
      <c r="A13" s="1194"/>
      <c r="B13" s="2581"/>
      <c r="C13" s="2582" t="s">
        <v>2686</v>
      </c>
      <c r="D13" s="946"/>
      <c r="E13" s="946"/>
      <c r="F13" s="946">
        <v>57876</v>
      </c>
      <c r="G13" s="946"/>
      <c r="H13" s="946"/>
      <c r="I13" s="946"/>
      <c r="J13" s="2615"/>
      <c r="K13" s="2792"/>
      <c r="L13" s="2789"/>
      <c r="M13" s="2789"/>
      <c r="N13" s="2615"/>
      <c r="O13" s="2626"/>
      <c r="P13" s="2615"/>
      <c r="Q13" s="2615"/>
      <c r="R13" s="2615"/>
    </row>
    <row r="14" spans="1:28">
      <c r="A14" s="1194"/>
      <c r="B14" s="2581"/>
      <c r="C14" s="2582" t="s">
        <v>2687</v>
      </c>
      <c r="D14" s="2583"/>
      <c r="E14" s="2583"/>
      <c r="F14" s="2583">
        <v>50</v>
      </c>
      <c r="G14" s="2583"/>
      <c r="H14" s="2583"/>
      <c r="I14" s="2583"/>
      <c r="J14" s="2615"/>
      <c r="K14" s="2793"/>
      <c r="L14" s="2789"/>
      <c r="M14" s="2789"/>
      <c r="N14" s="2615"/>
      <c r="O14" s="2626"/>
      <c r="P14" s="2615"/>
      <c r="Q14" s="2615"/>
      <c r="R14" s="2615"/>
    </row>
    <row r="15" spans="1:28">
      <c r="A15" s="326"/>
      <c r="B15" s="2584"/>
      <c r="C15" s="2585" t="s">
        <v>2688</v>
      </c>
      <c r="D15" s="2586" t="str">
        <f>IF(B12="出让",IF(D13="","",ROUNDDOWN(MIN((D13-$D$3)/365,D14),2)),D14)</f>
        <v/>
      </c>
      <c r="E15" s="2586" t="str">
        <f>IF(B12="出让",IF(E13="","",ROUNDDOWN(MIN((E13-$D$3)/365,E14),2)),E14)</f>
        <v/>
      </c>
      <c r="F15" s="2586">
        <f>IF(B12="出让",IF(F13="","",ROUNDDOWN(MIN((F13-$D$3)/365,F14),2)),F14)</f>
        <v>36</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2689</v>
      </c>
      <c r="B16" s="3321"/>
      <c r="C16" s="3322"/>
      <c r="D16" s="3323"/>
      <c r="E16" s="2589" t="s">
        <v>2690</v>
      </c>
      <c r="F16" s="3324"/>
      <c r="G16" s="3325"/>
      <c r="H16" s="3325"/>
      <c r="I16" s="3326"/>
      <c r="J16" s="2615"/>
      <c r="K16" s="2794"/>
      <c r="L16" s="2627"/>
      <c r="M16" s="2627"/>
      <c r="N16" s="2685"/>
      <c r="O16" s="2627"/>
      <c r="P16" s="2685"/>
      <c r="Q16" s="2615"/>
      <c r="R16" s="2615"/>
    </row>
    <row r="17" spans="1:28">
      <c r="A17" s="319" t="s">
        <v>2691</v>
      </c>
      <c r="B17" s="308" t="s">
        <v>2692</v>
      </c>
      <c r="C17" s="11">
        <f>'数据-汇总表'!E3</f>
        <v>373.88</v>
      </c>
      <c r="D17" s="2496" t="s">
        <v>2693</v>
      </c>
      <c r="E17" s="3327" t="s">
        <v>2694</v>
      </c>
      <c r="F17" s="3328"/>
      <c r="G17" s="3328"/>
      <c r="H17" s="3328"/>
      <c r="I17" s="3329"/>
      <c r="J17" s="2615"/>
      <c r="K17" s="2795"/>
      <c r="L17" s="2627"/>
      <c r="M17" s="2627"/>
      <c r="N17" s="2685"/>
      <c r="O17" s="2627"/>
      <c r="P17" s="2685"/>
      <c r="Q17" s="2615"/>
      <c r="R17" s="2615"/>
      <c r="S17" s="2615"/>
      <c r="T17" s="2615"/>
      <c r="U17" s="2615"/>
      <c r="V17" s="2615"/>
    </row>
    <row r="18" spans="1:28" ht="24.75" thickBot="1">
      <c r="A18" s="2590" t="s">
        <v>2695</v>
      </c>
      <c r="B18" s="1203" t="s">
        <v>2696</v>
      </c>
      <c r="C18" s="2591">
        <f>'数据-汇总表'!D3</f>
        <v>0</v>
      </c>
      <c r="D18" s="1205" t="s">
        <v>2697</v>
      </c>
      <c r="E18" s="3330" t="s">
        <v>2698</v>
      </c>
      <c r="F18" s="3331"/>
      <c r="G18" s="3331"/>
      <c r="H18" s="3331"/>
      <c r="I18" s="3332"/>
      <c r="J18" s="2615"/>
      <c r="K18" s="2795"/>
      <c r="L18" s="2627"/>
      <c r="M18" s="2627"/>
      <c r="N18" s="2685"/>
      <c r="O18" s="2627"/>
      <c r="P18" s="2685"/>
      <c r="Q18" s="2615"/>
      <c r="R18" s="2615"/>
      <c r="S18" s="2615"/>
      <c r="T18" s="2615"/>
      <c r="U18" s="2615"/>
      <c r="V18" s="2615"/>
    </row>
    <row r="19" spans="1:28" ht="37.5" thickTop="1" thickBot="1">
      <c r="A19" s="333" t="s">
        <v>1495</v>
      </c>
      <c r="B19" s="313" t="s">
        <v>2699</v>
      </c>
      <c r="C19" s="1699"/>
      <c r="D19" s="1700" t="s">
        <v>2700</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2701</v>
      </c>
      <c r="B20" s="3317" t="s">
        <v>2702</v>
      </c>
      <c r="C20" s="3318"/>
      <c r="D20" s="3319" t="s">
        <v>2703</v>
      </c>
      <c r="E20" s="3320"/>
      <c r="F20" s="2824" t="s">
        <v>1496</v>
      </c>
      <c r="G20" s="2841"/>
      <c r="H20" s="2841"/>
      <c r="I20" s="2841"/>
      <c r="J20" s="2615"/>
      <c r="K20" s="3316"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2705</v>
      </c>
      <c r="C21" s="2811" t="s">
        <v>1497</v>
      </c>
      <c r="D21" s="1704" t="s">
        <v>2706</v>
      </c>
      <c r="E21" s="2812" t="s">
        <v>1497</v>
      </c>
      <c r="F21" s="2825"/>
      <c r="G21" s="2841"/>
      <c r="H21" s="2841"/>
      <c r="I21" s="2841"/>
      <c r="J21" s="2615"/>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2707</v>
      </c>
      <c r="C22" s="2811" t="s">
        <v>1498</v>
      </c>
      <c r="D22" s="2840"/>
      <c r="E22" s="2840"/>
      <c r="F22" s="2840"/>
      <c r="G22" s="2841"/>
      <c r="H22" s="2841"/>
      <c r="I22" s="2841"/>
      <c r="J22" s="2615"/>
      <c r="K22" s="3316"/>
      <c r="L22" s="693" t="str">
        <f>IF(E19="否","",IF(结果表816!D36="同一抵押权人同一抵押物续贷","由于本次评估为同一抵押权人的续贷房地产抵押估价，故未将已抵押担保的债权数额（"&amp;C26&amp;"）作为法定优先受偿款予以扣减。",IF(结果表816!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2708</v>
      </c>
      <c r="B23" s="2678" t="s">
        <v>2709</v>
      </c>
      <c r="C23" s="2815"/>
      <c r="D23" s="2816" t="s">
        <v>2709</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1499</v>
      </c>
      <c r="C24" s="2818"/>
      <c r="D24" s="2814" t="s">
        <v>1499</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1500</v>
      </c>
      <c r="C25" s="2818"/>
      <c r="D25" s="2814" t="s">
        <v>1500</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1501</v>
      </c>
      <c r="C26" s="2822"/>
      <c r="D26" s="2820" t="s">
        <v>1501</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34" t="s">
        <v>2710</v>
      </c>
      <c r="B27" s="326" t="s">
        <v>2711</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34"/>
      <c r="B28" s="308" t="s">
        <v>2712</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34"/>
      <c r="B29" s="308" t="s">
        <v>2713</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35"/>
      <c r="B30" s="308" t="s">
        <v>2714</v>
      </c>
      <c r="C30" s="3336"/>
      <c r="D30" s="3337"/>
      <c r="E30" s="2841"/>
      <c r="F30" s="2841"/>
      <c r="G30" s="2841"/>
      <c r="H30" s="2841"/>
      <c r="I30" s="2841"/>
      <c r="J30" s="2615"/>
      <c r="K30" s="2792"/>
      <c r="L30" s="2789"/>
      <c r="M30" s="2789"/>
      <c r="N30" s="2615"/>
      <c r="O30" s="2626"/>
      <c r="P30" s="2615"/>
      <c r="Q30" s="2615"/>
      <c r="R30" s="2615"/>
      <c r="S30" s="2615"/>
      <c r="T30" s="2615"/>
      <c r="U30" s="2615"/>
      <c r="V30" s="2615"/>
    </row>
    <row r="31" spans="1:28">
      <c r="A31" s="3338" t="s">
        <v>2715</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3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3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2716</v>
      </c>
      <c r="B34" s="2165"/>
      <c r="C34" s="2165"/>
      <c r="D34" s="2165"/>
      <c r="E34" s="2165"/>
      <c r="F34" s="2165"/>
      <c r="G34" s="2165"/>
      <c r="H34" s="2165"/>
      <c r="I34" s="2841"/>
      <c r="J34" s="2615"/>
      <c r="K34" s="2603">
        <f>COUNTIF(B34:H34,"——")</f>
        <v>0</v>
      </c>
      <c r="L34" s="329" t="s">
        <v>2717</v>
      </c>
      <c r="M34" s="329" t="s">
        <v>2718</v>
      </c>
      <c r="N34" s="329" t="s">
        <v>2719</v>
      </c>
      <c r="O34" s="329" t="s">
        <v>2720</v>
      </c>
      <c r="P34" s="329" t="s">
        <v>2721</v>
      </c>
      <c r="Q34" s="329" t="s">
        <v>2722</v>
      </c>
      <c r="R34" s="329" t="s">
        <v>2723</v>
      </c>
      <c r="S34" s="3333" t="s">
        <v>2724</v>
      </c>
      <c r="T34" s="2604" t="str">
        <f>NUMBERSTRING(7-K34,1)&amp;"通"</f>
        <v>七通</v>
      </c>
      <c r="U34" s="2615"/>
      <c r="V34" s="2615"/>
    </row>
    <row r="35" spans="1:30">
      <c r="A35" s="2605"/>
      <c r="B35" s="3340" t="s">
        <v>2725</v>
      </c>
      <c r="C35" s="3340"/>
      <c r="D35" s="3340"/>
      <c r="E35" s="3340"/>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3"/>
      <c r="T35" s="335" t="str">
        <f>IF(T34="一通",L35,IF(T34="二通",M35,IF(T34="三通",N35,IF(T34="四通",O35,IF(T34="五通",P35,IF(T34="六通",Q35,R35))))))</f>
        <v>、、、、、、</v>
      </c>
      <c r="U35" s="2615"/>
      <c r="V35" s="2615"/>
    </row>
    <row r="36" spans="1:30">
      <c r="A36" s="2606"/>
      <c r="B36" s="673" t="s">
        <v>2681</v>
      </c>
      <c r="C36" s="673" t="s">
        <v>2682</v>
      </c>
      <c r="D36" s="673" t="s">
        <v>2680</v>
      </c>
      <c r="E36" s="673" t="s">
        <v>2685</v>
      </c>
      <c r="F36" s="2847"/>
      <c r="G36" s="2841"/>
      <c r="H36" s="2841"/>
      <c r="I36" s="2841"/>
      <c r="J36" s="2615"/>
      <c r="K36" s="2792"/>
      <c r="L36" s="2789"/>
      <c r="M36" s="2789"/>
      <c r="N36" s="2615"/>
      <c r="O36" s="2626"/>
      <c r="P36" s="2615"/>
      <c r="Q36" s="2615"/>
      <c r="R36" s="2615"/>
      <c r="S36" s="2615"/>
      <c r="T36" s="2615"/>
      <c r="U36" s="2615"/>
      <c r="V36" s="2615"/>
    </row>
    <row r="37" spans="1:30">
      <c r="A37" s="2807" t="s">
        <v>2726</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2727</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2728</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2729</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2730</v>
      </c>
      <c r="B42" s="11" t="s">
        <v>2731</v>
      </c>
      <c r="C42" s="11" t="s">
        <v>2732</v>
      </c>
      <c r="D42" s="11" t="s">
        <v>2733</v>
      </c>
      <c r="E42" s="11" t="s">
        <v>2734</v>
      </c>
      <c r="F42" s="11" t="s">
        <v>2735</v>
      </c>
      <c r="G42" s="11" t="s">
        <v>2736</v>
      </c>
      <c r="H42" s="11" t="s">
        <v>2737</v>
      </c>
      <c r="I42" s="11" t="s">
        <v>2738</v>
      </c>
      <c r="J42" s="2803" t="s">
        <v>2739</v>
      </c>
      <c r="K42" s="2804" t="s">
        <v>2740</v>
      </c>
      <c r="L42" s="2804" t="s">
        <v>2741</v>
      </c>
      <c r="M42" s="2804" t="s">
        <v>2742</v>
      </c>
      <c r="N42" s="2797" t="s">
        <v>2743</v>
      </c>
      <c r="O42" s="2797" t="s">
        <v>2744</v>
      </c>
      <c r="P42" s="2797" t="s">
        <v>2745</v>
      </c>
      <c r="Q42" s="2798" t="s">
        <v>2746</v>
      </c>
      <c r="R42" s="2798" t="s">
        <v>2747</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1" sqref="N3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1502</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1503</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1504</v>
      </c>
      <c r="B2" s="11" t="s">
        <v>1505</v>
      </c>
      <c r="C2" s="11" t="s">
        <v>1506</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1507</v>
      </c>
      <c r="AZ2" s="1161" t="s">
        <v>1508</v>
      </c>
      <c r="BA2" s="11" t="s">
        <v>1509</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373.88</v>
      </c>
      <c r="C3" s="1716" t="s">
        <v>1510</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1511</v>
      </c>
      <c r="B5" s="1482"/>
      <c r="C5" s="1482"/>
      <c r="D5" s="1484"/>
      <c r="E5" s="16" t="s">
        <v>1</v>
      </c>
      <c r="F5" s="16">
        <f>SUM(F13:F587)</f>
        <v>0</v>
      </c>
      <c r="G5" s="16">
        <f>SUM(G13:G587)</f>
        <v>373.88</v>
      </c>
      <c r="H5" s="16">
        <f t="shared" ref="H5:AT5" si="0">SUM(H13:H656)</f>
        <v>373.88</v>
      </c>
      <c r="I5" s="16">
        <f t="shared" si="0"/>
        <v>373.88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1511</v>
      </c>
      <c r="AW5" s="1482"/>
      <c r="AX5" s="1482"/>
      <c r="AY5" s="17" t="s">
        <v>3</v>
      </c>
      <c r="AZ5" s="18">
        <f t="shared" ref="AZ5:BT5" si="1">SUM(AZ13:AZ656)</f>
        <v>373.88</v>
      </c>
      <c r="BA5" s="18">
        <f t="shared" si="1"/>
        <v>373.88</v>
      </c>
      <c r="BB5" s="18">
        <f t="shared" si="1"/>
        <v>373.88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1512</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1512</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1513</v>
      </c>
      <c r="B7" s="1705" t="s">
        <v>1514</v>
      </c>
      <c r="C7" s="1705" t="s">
        <v>1515</v>
      </c>
      <c r="D7" s="1705" t="s">
        <v>1516</v>
      </c>
      <c r="E7" s="1705" t="s">
        <v>1517</v>
      </c>
      <c r="F7" s="1705" t="s">
        <v>1518</v>
      </c>
      <c r="G7" s="1726" t="s">
        <v>1519</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1520</v>
      </c>
      <c r="AV7" s="23" t="s">
        <v>1521</v>
      </c>
      <c r="AW7" s="1714" t="s">
        <v>1522</v>
      </c>
      <c r="AX7" s="23" t="s">
        <v>1515</v>
      </c>
      <c r="AY7" s="1482" t="s">
        <v>1523</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1524</v>
      </c>
      <c r="H8" s="1732" t="s">
        <v>1525</v>
      </c>
      <c r="I8" s="1733"/>
      <c r="J8" s="1495"/>
      <c r="K8" s="1495"/>
      <c r="L8" s="1495"/>
      <c r="M8" s="1495"/>
      <c r="N8" s="1495"/>
      <c r="O8" s="1495"/>
      <c r="P8" s="1495"/>
      <c r="Q8" s="1495"/>
      <c r="R8" s="1495"/>
      <c r="S8" s="1495"/>
      <c r="T8" s="1495"/>
      <c r="U8" s="1495"/>
      <c r="V8" s="1734"/>
      <c r="W8" s="1495"/>
      <c r="X8" s="1495"/>
      <c r="Y8" s="1495"/>
      <c r="Z8" s="1495"/>
      <c r="AA8" s="1734"/>
      <c r="AB8" s="1735"/>
      <c r="AC8" s="899" t="s">
        <v>1526</v>
      </c>
      <c r="AD8" s="1736"/>
      <c r="AE8" s="1728"/>
      <c r="AF8" s="1495"/>
      <c r="AG8" s="1495"/>
      <c r="AH8" s="1495"/>
      <c r="AI8" s="1495"/>
      <c r="AJ8" s="1495"/>
      <c r="AK8" s="1495"/>
      <c r="AL8" s="1495"/>
      <c r="AM8" s="1495"/>
      <c r="AN8" s="1495"/>
      <c r="AO8" s="1495"/>
      <c r="AP8" s="1495"/>
      <c r="AQ8" s="1495"/>
      <c r="AR8" s="1495"/>
      <c r="AS8" s="1495"/>
      <c r="AT8" s="1183" t="s">
        <v>1527</v>
      </c>
      <c r="AU8" s="1730" t="s">
        <v>1528</v>
      </c>
      <c r="AV8" s="1183"/>
      <c r="AW8" s="1713"/>
      <c r="AX8" s="1183"/>
      <c r="AY8" s="1714" t="s">
        <v>1529</v>
      </c>
      <c r="AZ8" s="1494" t="s">
        <v>1530</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1531</v>
      </c>
      <c r="I9" s="1739" t="s">
        <v>3176</v>
      </c>
      <c r="J9" s="899"/>
      <c r="K9" s="1739"/>
      <c r="L9" s="899"/>
      <c r="M9" s="1739"/>
      <c r="N9" s="899"/>
      <c r="O9" s="1739"/>
      <c r="P9" s="899"/>
      <c r="Q9" s="1739"/>
      <c r="R9" s="899"/>
      <c r="S9" s="1739"/>
      <c r="T9" s="899"/>
      <c r="U9" s="1739"/>
      <c r="V9" s="899"/>
      <c r="W9" s="1739"/>
      <c r="X9" s="1740"/>
      <c r="Y9" s="1739"/>
      <c r="Z9" s="899"/>
      <c r="AA9" s="1739"/>
      <c r="AB9" s="899"/>
      <c r="AC9" s="1731" t="s">
        <v>1531</v>
      </c>
      <c r="AD9" s="15" t="s">
        <v>1532</v>
      </c>
      <c r="AE9" s="1189"/>
      <c r="AF9" s="15" t="s">
        <v>1533</v>
      </c>
      <c r="AG9" s="1189"/>
      <c r="AH9" s="15" t="s">
        <v>1532</v>
      </c>
      <c r="AI9" s="1189"/>
      <c r="AJ9" s="15" t="s">
        <v>1533</v>
      </c>
      <c r="AK9" s="1189"/>
      <c r="AL9" s="15" t="s">
        <v>1532</v>
      </c>
      <c r="AM9" s="1189"/>
      <c r="AN9" s="15" t="s">
        <v>1533</v>
      </c>
      <c r="AO9" s="1189"/>
      <c r="AP9" s="15" t="s">
        <v>1532</v>
      </c>
      <c r="AQ9" s="1189"/>
      <c r="AR9" s="15" t="s">
        <v>1533</v>
      </c>
      <c r="AS9" s="1741"/>
      <c r="AT9" s="1730"/>
      <c r="AU9" s="1730" t="s">
        <v>1534</v>
      </c>
      <c r="AV9" s="1183"/>
      <c r="AW9" s="1713"/>
      <c r="AX9" s="1183"/>
      <c r="AY9" s="28"/>
      <c r="AZ9" s="28" t="s">
        <v>1524</v>
      </c>
      <c r="BA9" s="1742" t="s">
        <v>1535</v>
      </c>
      <c r="BB9" s="1743"/>
      <c r="BC9" s="1201"/>
      <c r="BD9" s="1201"/>
      <c r="BE9" s="1201"/>
      <c r="BF9" s="1201"/>
      <c r="BG9" s="1201"/>
      <c r="BH9" s="1201"/>
      <c r="BI9" s="1201"/>
      <c r="BJ9" s="1201"/>
      <c r="BK9" s="1744"/>
      <c r="BL9" s="15" t="s">
        <v>1536</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1537</v>
      </c>
      <c r="AE10" s="1746"/>
      <c r="AF10" s="15" t="s">
        <v>1537</v>
      </c>
      <c r="AG10" s="1746"/>
      <c r="AH10" s="15" t="s">
        <v>1538</v>
      </c>
      <c r="AI10" s="1746"/>
      <c r="AJ10" s="15" t="s">
        <v>1538</v>
      </c>
      <c r="AK10" s="1746"/>
      <c r="AL10" s="15" t="s">
        <v>1539</v>
      </c>
      <c r="AM10" s="1189"/>
      <c r="AN10" s="15" t="s">
        <v>1539</v>
      </c>
      <c r="AO10" s="1189"/>
      <c r="AP10" s="15" t="s">
        <v>1540</v>
      </c>
      <c r="AQ10" s="1189"/>
      <c r="AR10" s="15" t="s">
        <v>1540</v>
      </c>
      <c r="AS10" s="1189"/>
      <c r="AT10" s="1730"/>
      <c r="AU10" s="1730"/>
      <c r="AV10" s="1183"/>
      <c r="AW10" s="1713"/>
      <c r="AX10" s="1183"/>
      <c r="AY10" s="28"/>
      <c r="AZ10" s="28"/>
      <c r="BA10" s="1747" t="s">
        <v>1531</v>
      </c>
      <c r="BB10" s="1748" t="str">
        <f>I9</f>
        <v>地上</v>
      </c>
      <c r="BC10" s="29">
        <f>K9</f>
        <v>0</v>
      </c>
      <c r="BD10" s="29">
        <f>M9</f>
        <v>0</v>
      </c>
      <c r="BE10" s="29">
        <f>O9</f>
        <v>0</v>
      </c>
      <c r="BF10" s="29">
        <f>Q9</f>
        <v>0</v>
      </c>
      <c r="BG10" s="29">
        <f>S9</f>
        <v>0</v>
      </c>
      <c r="BH10" s="29">
        <f>U9</f>
        <v>0</v>
      </c>
      <c r="BI10" s="29">
        <f>W9</f>
        <v>0</v>
      </c>
      <c r="BJ10" s="29">
        <f>Y9</f>
        <v>0</v>
      </c>
      <c r="BK10" s="29">
        <f>AA9</f>
        <v>0</v>
      </c>
      <c r="BL10" s="25" t="s">
        <v>1531</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1541</v>
      </c>
      <c r="AE11" s="1496"/>
      <c r="AF11" s="1752" t="s">
        <v>1541</v>
      </c>
      <c r="AG11" s="1496"/>
      <c r="AH11" s="1752" t="s">
        <v>1542</v>
      </c>
      <c r="AI11" s="1753"/>
      <c r="AJ11" s="1752" t="s">
        <v>1542</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1543</v>
      </c>
      <c r="J12" s="11" t="s">
        <v>1544</v>
      </c>
      <c r="K12" s="11" t="s">
        <v>1543</v>
      </c>
      <c r="L12" s="11" t="s">
        <v>1544</v>
      </c>
      <c r="M12" s="11" t="s">
        <v>1543</v>
      </c>
      <c r="N12" s="11" t="s">
        <v>1544</v>
      </c>
      <c r="O12" s="11" t="s">
        <v>1543</v>
      </c>
      <c r="P12" s="11" t="s">
        <v>1544</v>
      </c>
      <c r="Q12" s="11" t="s">
        <v>1543</v>
      </c>
      <c r="R12" s="11" t="s">
        <v>1544</v>
      </c>
      <c r="S12" s="11" t="s">
        <v>1543</v>
      </c>
      <c r="T12" s="11" t="s">
        <v>1544</v>
      </c>
      <c r="U12" s="11" t="s">
        <v>1543</v>
      </c>
      <c r="V12" s="1481" t="s">
        <v>1544</v>
      </c>
      <c r="W12" s="11" t="s">
        <v>1543</v>
      </c>
      <c r="X12" s="11" t="s">
        <v>1544</v>
      </c>
      <c r="Y12" s="11" t="s">
        <v>1543</v>
      </c>
      <c r="Z12" s="11" t="s">
        <v>1544</v>
      </c>
      <c r="AA12" s="11" t="s">
        <v>1543</v>
      </c>
      <c r="AB12" s="11" t="s">
        <v>1544</v>
      </c>
      <c r="AC12" s="1757"/>
      <c r="AD12" s="1484" t="s">
        <v>1543</v>
      </c>
      <c r="AE12" s="11" t="s">
        <v>1544</v>
      </c>
      <c r="AF12" s="11" t="s">
        <v>1543</v>
      </c>
      <c r="AG12" s="11" t="s">
        <v>1544</v>
      </c>
      <c r="AH12" s="11" t="s">
        <v>1543</v>
      </c>
      <c r="AI12" s="11" t="s">
        <v>1544</v>
      </c>
      <c r="AJ12" s="11" t="s">
        <v>1543</v>
      </c>
      <c r="AK12" s="11" t="s">
        <v>1544</v>
      </c>
      <c r="AL12" s="11" t="s">
        <v>1543</v>
      </c>
      <c r="AM12" s="11" t="s">
        <v>1544</v>
      </c>
      <c r="AN12" s="11" t="s">
        <v>1543</v>
      </c>
      <c r="AO12" s="11" t="s">
        <v>1544</v>
      </c>
      <c r="AP12" s="11" t="s">
        <v>1543</v>
      </c>
      <c r="AQ12" s="11" t="s">
        <v>1544</v>
      </c>
      <c r="AR12" s="30" t="s">
        <v>1543</v>
      </c>
      <c r="AS12" s="1755" t="s">
        <v>1544</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816</v>
      </c>
      <c r="D13" s="1761" t="s">
        <v>3175</v>
      </c>
      <c r="E13" s="16">
        <f>IF($C$3="是",ROUND($A$3*G13/$B$3,2),ROUND($A$3*(G13-AT13)/$B$3,2))</f>
        <v>0</v>
      </c>
      <c r="F13" s="32"/>
      <c r="G13" s="33">
        <f>H13+AC13+AT13</f>
        <v>226.16</v>
      </c>
      <c r="H13" s="20">
        <f>SUMIF(I$12:AB$12,"总值",I13:AB13)</f>
        <v>226.16</v>
      </c>
      <c r="I13" s="1762">
        <v>226.16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816</v>
      </c>
      <c r="AY13" s="1484">
        <f>ROUND($AY$6*AZ13/$AZ$5,2)</f>
        <v>0</v>
      </c>
      <c r="AZ13" s="16">
        <f>BA13+BL13</f>
        <v>226.16</v>
      </c>
      <c r="BA13" s="16">
        <f>SUM(BB13:BK13)</f>
        <v>226.16</v>
      </c>
      <c r="BB13" s="16">
        <f>IF($D13="是",I13-J13,0)</f>
        <v>226.16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817</v>
      </c>
      <c r="D14" s="1761" t="s">
        <v>3175</v>
      </c>
      <c r="E14" s="16">
        <f>IF($C$3="是",ROUND($A$3*G14/$B$3,2),ROUND($A$3*(G14-AT14)/$B$3,2))</f>
        <v>0</v>
      </c>
      <c r="F14" s="32"/>
      <c r="G14" s="33">
        <f>H14+AC14+AT14</f>
        <v>147.72</v>
      </c>
      <c r="H14" s="20">
        <f>SUMIF(I$12:AB$12,"总值",I14:AB14)</f>
        <v>147.72</v>
      </c>
      <c r="I14" s="1762">
        <v>147.72</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817</v>
      </c>
      <c r="AY14" s="1484">
        <f>ROUND($AY$6*AZ14/$AZ$5,2)</f>
        <v>0</v>
      </c>
      <c r="AZ14" s="16">
        <f>BA14+BL14</f>
        <v>147.72</v>
      </c>
      <c r="BA14" s="16">
        <f>SUM(BB14:BK14)</f>
        <v>147.72</v>
      </c>
      <c r="BB14" s="16">
        <f>IF($D14="是",I14-J14,0)</f>
        <v>147.72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6" sqref="G5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1570</v>
      </c>
      <c r="B1" s="1254"/>
      <c r="C1" s="1254"/>
      <c r="D1" s="1254"/>
      <c r="E1" s="1254"/>
      <c r="F1" s="1254"/>
      <c r="G1" s="1254"/>
      <c r="H1" s="1254"/>
      <c r="I1" s="1254"/>
      <c r="J1" s="1254"/>
      <c r="K1" s="1254"/>
      <c r="L1" s="1254"/>
      <c r="M1" s="1254"/>
      <c r="N1" s="1254"/>
      <c r="O1" s="1254"/>
      <c r="P1" s="1254"/>
    </row>
    <row r="2" spans="1:16" ht="15">
      <c r="A2" s="3352" t="s">
        <v>1571</v>
      </c>
      <c r="B2" s="3352"/>
      <c r="C2" s="3352"/>
      <c r="D2" s="885" t="s">
        <v>1547</v>
      </c>
      <c r="E2" s="1775" t="s">
        <v>1548</v>
      </c>
      <c r="F2" s="2836"/>
      <c r="G2" s="2827"/>
      <c r="H2" s="2828"/>
      <c r="I2" s="2499" t="s">
        <v>1572</v>
      </c>
      <c r="J2" s="2836"/>
      <c r="K2" s="2836"/>
      <c r="L2" s="2836"/>
      <c r="M2" s="2836"/>
      <c r="N2" s="2838"/>
      <c r="O2" s="2836"/>
      <c r="P2" s="2836"/>
    </row>
    <row r="3" spans="1:16" ht="15.75" thickBot="1">
      <c r="A3" s="3353" t="s">
        <v>1545</v>
      </c>
      <c r="B3" s="3353"/>
      <c r="C3" s="3353"/>
      <c r="D3" s="46">
        <f>'数据-基础表'!AY6</f>
        <v>0</v>
      </c>
      <c r="E3" s="46">
        <f>'数据-基础表'!AZ5</f>
        <v>373.88</v>
      </c>
      <c r="F3" s="2836"/>
      <c r="G3" s="1260"/>
      <c r="H3" s="1138" t="s">
        <v>1546</v>
      </c>
      <c r="I3" s="945" t="e">
        <f>ROUND('数据-基础表'!B3/'数据-基础表'!A3,2)</f>
        <v>#DIV/0!</v>
      </c>
      <c r="J3" s="2836"/>
      <c r="K3" s="2836"/>
      <c r="L3" s="2836"/>
      <c r="M3" s="2836"/>
      <c r="N3" s="2838"/>
      <c r="O3" s="2836"/>
      <c r="P3" s="2836"/>
    </row>
    <row r="4" spans="1:16" ht="15">
      <c r="A4" s="3354"/>
      <c r="B4" s="3355"/>
      <c r="C4" s="3356"/>
      <c r="D4" s="1777" t="s">
        <v>1547</v>
      </c>
      <c r="E4" s="1778" t="s">
        <v>1548</v>
      </c>
      <c r="F4" s="2836"/>
      <c r="G4" s="2829" t="s">
        <v>1573</v>
      </c>
      <c r="H4" s="1138" t="s">
        <v>1553</v>
      </c>
      <c r="I4" s="945" t="e">
        <f>ROUND(SUMIF('数据-基础表'!I9:AS9,"地上",'数据-基础表'!I5:AS5)/'数据-基础表'!A3,2)</f>
        <v>#DIV/0!</v>
      </c>
      <c r="J4" s="2836"/>
      <c r="K4" s="2836"/>
      <c r="L4" s="2836"/>
      <c r="M4" s="2836"/>
      <c r="N4" s="2838"/>
      <c r="O4" s="2836"/>
      <c r="P4" s="2836"/>
    </row>
    <row r="5" spans="1:16">
      <c r="A5" s="47" t="s">
        <v>1549</v>
      </c>
      <c r="B5" s="3357" t="s">
        <v>1550</v>
      </c>
      <c r="C5" s="3357"/>
      <c r="D5" s="48">
        <f>ROUND($D$3*E5/$E$3,2)</f>
        <v>0</v>
      </c>
      <c r="E5" s="49">
        <f>SUMIF('数据-基础表'!$11:$11,"住宅",'数据-基础表'!$5:$5)</f>
        <v>0</v>
      </c>
      <c r="F5" s="2836"/>
      <c r="G5" s="1260"/>
      <c r="H5" s="1138" t="s">
        <v>1546</v>
      </c>
      <c r="I5" s="945" t="e">
        <f>ROUND(E31/D31,2)</f>
        <v>#DIV/0!</v>
      </c>
      <c r="J5" s="2836"/>
      <c r="K5" s="2836"/>
      <c r="L5" s="2836"/>
      <c r="M5" s="2836"/>
      <c r="N5" s="2836"/>
      <c r="O5" s="2836"/>
      <c r="P5" s="2836"/>
    </row>
    <row r="6" spans="1:16" ht="15" thickBot="1">
      <c r="A6" s="1780"/>
      <c r="B6" s="3357" t="s">
        <v>1551</v>
      </c>
      <c r="C6" s="3357"/>
      <c r="D6" s="48">
        <f>ROUND($D$3*E6/$E$3,2)</f>
        <v>0</v>
      </c>
      <c r="E6" s="49">
        <f>E3-E5</f>
        <v>373.88</v>
      </c>
      <c r="F6" s="2836"/>
      <c r="G6" s="2830" t="s">
        <v>1552</v>
      </c>
      <c r="H6" s="1261" t="s">
        <v>1553</v>
      </c>
      <c r="I6" s="2831" t="e">
        <f>ROUND(F31/D31,2)</f>
        <v>#DIV/0!</v>
      </c>
      <c r="J6" s="2836"/>
      <c r="K6" s="2836"/>
      <c r="L6" s="2836"/>
      <c r="M6" s="2836"/>
      <c r="N6" s="2836"/>
      <c r="O6" s="2836"/>
      <c r="P6" s="2836"/>
    </row>
    <row r="7" spans="1:16" ht="15.75" thickBot="1">
      <c r="A7" s="3349"/>
      <c r="B7" s="3350"/>
      <c r="C7" s="3351"/>
      <c r="D7" s="1777" t="s">
        <v>1547</v>
      </c>
      <c r="E7" s="1781" t="s">
        <v>1554</v>
      </c>
      <c r="F7" s="2836"/>
      <c r="G7" s="2832" t="s">
        <v>1555</v>
      </c>
      <c r="H7" s="2833"/>
      <c r="I7" s="2834"/>
      <c r="J7" s="2836"/>
      <c r="K7" s="2836"/>
      <c r="L7" s="2836"/>
      <c r="M7" s="2836"/>
      <c r="N7" s="2836"/>
      <c r="O7" s="2836"/>
      <c r="P7" s="2836"/>
    </row>
    <row r="8" spans="1:16">
      <c r="A8" s="47" t="s">
        <v>1556</v>
      </c>
      <c r="B8" s="50" t="s">
        <v>1557</v>
      </c>
      <c r="C8" s="48" t="s">
        <v>1558</v>
      </c>
      <c r="D8" s="48">
        <f t="shared" ref="D8:D15" si="0">ROUND($D$3*E8/$E$3,2)</f>
        <v>0</v>
      </c>
      <c r="E8" s="51">
        <f>SUMIF('数据-基础表'!BB10:BK10,"地上",'数据-基础表'!BB5:BK5)</f>
        <v>373.88</v>
      </c>
      <c r="F8" s="2836"/>
      <c r="G8" s="2837"/>
      <c r="H8" s="2837"/>
      <c r="I8" s="2836"/>
      <c r="J8" s="2836"/>
      <c r="K8" s="2836"/>
      <c r="L8" s="2836"/>
      <c r="M8" s="2836"/>
      <c r="N8" s="2836"/>
      <c r="O8" s="2836"/>
      <c r="P8" s="2836"/>
    </row>
    <row r="9" spans="1:16">
      <c r="A9" s="1782"/>
      <c r="B9" s="1783"/>
      <c r="C9" s="48" t="s">
        <v>1559</v>
      </c>
      <c r="D9" s="48">
        <f t="shared" si="0"/>
        <v>0</v>
      </c>
      <c r="E9" s="52">
        <v>0</v>
      </c>
      <c r="F9" s="2836"/>
      <c r="G9" s="2837"/>
      <c r="H9" s="2837"/>
      <c r="I9" s="2836"/>
      <c r="J9" s="2836"/>
      <c r="K9" s="2836"/>
      <c r="L9" s="2836"/>
      <c r="M9" s="2836"/>
      <c r="N9" s="2836"/>
      <c r="O9" s="2836"/>
      <c r="P9" s="2836"/>
    </row>
    <row r="10" spans="1:16">
      <c r="A10" s="1782"/>
      <c r="B10" s="1783"/>
      <c r="C10" s="48" t="s">
        <v>1568</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1560</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1561</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1562</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1574</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1569</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1563</v>
      </c>
      <c r="D16" s="50">
        <f>SUM(D8:D15)</f>
        <v>0</v>
      </c>
      <c r="E16" s="53">
        <f>SUM(E8:E15)</f>
        <v>373.88</v>
      </c>
      <c r="F16" s="2836"/>
      <c r="G16" s="2837"/>
      <c r="H16" s="1784" t="s">
        <v>1575</v>
      </c>
      <c r="I16" s="1785"/>
      <c r="J16" s="1254"/>
      <c r="K16" s="3346" t="s">
        <v>1575</v>
      </c>
      <c r="L16" s="3347"/>
      <c r="M16" s="3347"/>
      <c r="N16" s="3347"/>
      <c r="O16" s="3347"/>
      <c r="P16" s="3348"/>
    </row>
    <row r="17" spans="1:19" ht="15">
      <c r="A17" s="1786" t="s">
        <v>1576</v>
      </c>
      <c r="B17" s="1787" t="s">
        <v>1577</v>
      </c>
      <c r="C17" s="1788" t="s">
        <v>1578</v>
      </c>
      <c r="D17" s="1789" t="s">
        <v>1566</v>
      </c>
      <c r="E17" s="1790" t="s">
        <v>1567</v>
      </c>
      <c r="F17" s="1791"/>
      <c r="G17" s="1792"/>
      <c r="H17" s="1793" t="s">
        <v>1579</v>
      </c>
      <c r="I17" s="1794" t="s">
        <v>1564</v>
      </c>
      <c r="J17" s="1254"/>
      <c r="K17" s="3343" t="s">
        <v>1580</v>
      </c>
      <c r="L17" s="3344"/>
      <c r="M17" s="3345"/>
      <c r="N17" s="3343" t="s">
        <v>1581</v>
      </c>
      <c r="O17" s="3344"/>
      <c r="P17" s="3345"/>
      <c r="R17" s="1776" t="s">
        <v>1582</v>
      </c>
      <c r="S17" s="60"/>
    </row>
    <row r="18" spans="1:19" ht="15">
      <c r="A18" s="1782"/>
      <c r="B18" s="1795"/>
      <c r="C18" s="1796"/>
      <c r="D18" s="1797"/>
      <c r="E18" s="1798" t="s">
        <v>1583</v>
      </c>
      <c r="F18" s="1799" t="s">
        <v>1584</v>
      </c>
      <c r="G18" s="1800" t="s">
        <v>1585</v>
      </c>
      <c r="H18" s="1153" t="s">
        <v>1586</v>
      </c>
      <c r="I18" s="1801" t="s">
        <v>1587</v>
      </c>
      <c r="J18" s="1254"/>
      <c r="K18" s="1153" t="s">
        <v>1588</v>
      </c>
      <c r="L18" s="1802" t="s">
        <v>1589</v>
      </c>
      <c r="M18" s="945" t="s">
        <v>1590</v>
      </c>
      <c r="N18" s="1153" t="s">
        <v>1588</v>
      </c>
      <c r="O18" s="1802" t="s">
        <v>1589</v>
      </c>
      <c r="P18" s="945" t="s">
        <v>1590</v>
      </c>
      <c r="R18" s="1138" t="s">
        <v>1591</v>
      </c>
      <c r="S18" s="1138" t="s">
        <v>1592</v>
      </c>
    </row>
    <row r="19" spans="1:19">
      <c r="A19" s="1803"/>
      <c r="B19" s="50" t="s">
        <v>1565</v>
      </c>
      <c r="C19" s="1804">
        <v>816</v>
      </c>
      <c r="D19" s="48">
        <f>ROUND($D$3*E19/$E$3,2)</f>
        <v>0</v>
      </c>
      <c r="E19" s="56">
        <f t="shared" ref="E19:E26" si="1">SUM(F19:G19)</f>
        <v>226.16</v>
      </c>
      <c r="F19" s="2976">
        <f>'数据-基础表'!I13</f>
        <v>226.16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226.16</v>
      </c>
    </row>
    <row r="20" spans="1:19">
      <c r="A20" s="1807"/>
      <c r="B20" s="50" t="s">
        <v>1593</v>
      </c>
      <c r="C20" s="1804">
        <v>817</v>
      </c>
      <c r="D20" s="48">
        <f t="shared" ref="D20:D26" si="6">ROUND($D$3*E20/$E$3,2)</f>
        <v>0</v>
      </c>
      <c r="E20" s="56">
        <f t="shared" si="1"/>
        <v>147.72</v>
      </c>
      <c r="F20" s="2976">
        <f>'数据-基础表'!I14</f>
        <v>147.72</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147.72</v>
      </c>
    </row>
    <row r="21" spans="1:19">
      <c r="A21" s="1807"/>
      <c r="B21" s="50" t="s">
        <v>1593</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1593</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1593</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1593</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1593</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1593</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1594</v>
      </c>
      <c r="D27" s="1255">
        <f>SUM(D19:D26)</f>
        <v>0</v>
      </c>
      <c r="E27" s="1256">
        <f>IF(SUM(E19:E26)='数据-基础表'!BA5,SUM(E19:E26),IF(F27="地上面积有误","面积有误","地下面积有误"))</f>
        <v>373.88</v>
      </c>
      <c r="F27" s="1255">
        <f>IF(SUM(F19:F26)=E8,SUM(F19:F26),"地上面积有误")</f>
        <v>373.88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373.88</v>
      </c>
    </row>
    <row r="28" spans="1:19">
      <c r="A28" s="1807"/>
      <c r="B28" s="50" t="s">
        <v>1595</v>
      </c>
      <c r="C28" s="1150" t="s">
        <v>1596</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1595</v>
      </c>
      <c r="C29" s="1811" t="s">
        <v>1597</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1594</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1598</v>
      </c>
      <c r="D31" s="685">
        <f>D27+D30</f>
        <v>0</v>
      </c>
      <c r="E31" s="685">
        <f>E27+E30</f>
        <v>373.88</v>
      </c>
      <c r="F31" s="686">
        <f>F27+F30</f>
        <v>373.88</v>
      </c>
      <c r="G31" s="687">
        <f>G27+G30</f>
        <v>0</v>
      </c>
      <c r="H31" s="2836"/>
      <c r="I31" s="2836"/>
      <c r="J31" s="2836"/>
      <c r="K31" s="2836"/>
      <c r="L31" s="2836"/>
      <c r="M31" s="2836"/>
      <c r="N31" s="2836"/>
      <c r="O31" s="2836"/>
      <c r="P31" s="2836"/>
    </row>
    <row r="32" spans="1:19">
      <c r="A32" s="1779"/>
      <c r="B32" s="1779" t="s">
        <v>1599</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6" activePane="bottomRight" state="frozen"/>
      <selection activeCell="C50" sqref="C50"/>
      <selection pane="topRight" activeCell="C50" sqref="C50"/>
      <selection pane="bottomLeft" activeCell="C50" sqref="C50"/>
      <selection pane="bottomRight" activeCell="AB23" sqref="AB23"/>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1600</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1601</v>
      </c>
      <c r="B2" s="1157">
        <f>项目基本情况!D3</f>
        <v>44733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1602</v>
      </c>
      <c r="B4" s="1825"/>
      <c r="C4" s="1826"/>
      <c r="D4" s="1827"/>
      <c r="E4" s="1826" t="s">
        <v>1603</v>
      </c>
      <c r="F4" s="1826"/>
      <c r="G4" s="1826"/>
      <c r="H4" s="1826"/>
      <c r="I4" s="1826"/>
      <c r="J4" s="1828"/>
      <c r="K4" s="1829"/>
      <c r="L4" s="1830"/>
      <c r="M4" s="1826"/>
      <c r="N4" s="1826" t="s">
        <v>1604</v>
      </c>
      <c r="O4" s="1826"/>
      <c r="P4" s="1826"/>
      <c r="Q4" s="1826"/>
      <c r="R4" s="1826"/>
      <c r="S4" s="1828"/>
      <c r="T4" s="2835" t="str">
        <f>'数据-汇总表'!I17</f>
        <v>按面积比例</v>
      </c>
      <c r="U4" s="1825" t="s">
        <v>1605</v>
      </c>
      <c r="V4" s="1826"/>
      <c r="W4" s="1826"/>
      <c r="X4" s="1826"/>
      <c r="Y4" s="1828"/>
      <c r="Z4" s="1788" t="s">
        <v>1606</v>
      </c>
      <c r="AA4" s="1788"/>
      <c r="AB4" s="1788"/>
      <c r="AC4" s="1788"/>
      <c r="AD4" s="1788"/>
      <c r="AE4" s="1786" t="s">
        <v>1607</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1608</v>
      </c>
      <c r="B5" s="1833" t="s">
        <v>1609</v>
      </c>
      <c r="C5" s="1834" t="s">
        <v>1610</v>
      </c>
      <c r="D5" s="1835" t="s">
        <v>1611</v>
      </c>
      <c r="E5" s="1159" t="s">
        <v>1612</v>
      </c>
      <c r="F5" s="1836" t="s">
        <v>1613</v>
      </c>
      <c r="G5" s="1159" t="s">
        <v>1614</v>
      </c>
      <c r="H5" s="1159" t="s">
        <v>1615</v>
      </c>
      <c r="I5" s="1159" t="s">
        <v>1616</v>
      </c>
      <c r="J5" s="1837" t="s">
        <v>1617</v>
      </c>
      <c r="K5" s="1838" t="s">
        <v>1618</v>
      </c>
      <c r="L5" s="1839" t="s">
        <v>1619</v>
      </c>
      <c r="M5" s="1840" t="s">
        <v>1620</v>
      </c>
      <c r="N5" s="1841" t="s">
        <v>3179</v>
      </c>
      <c r="O5" s="1839" t="s">
        <v>1621</v>
      </c>
      <c r="P5" s="1842" t="s">
        <v>1622</v>
      </c>
      <c r="Q5" s="65" t="s">
        <v>1623</v>
      </c>
      <c r="R5" s="1843" t="s">
        <v>1624</v>
      </c>
      <c r="S5" s="1844" t="s">
        <v>1625</v>
      </c>
      <c r="T5" s="1845" t="s">
        <v>1626</v>
      </c>
      <c r="U5" s="1158" t="s">
        <v>1627</v>
      </c>
      <c r="V5" s="1159" t="s">
        <v>1628</v>
      </c>
      <c r="W5" s="1159" t="s">
        <v>1629</v>
      </c>
      <c r="X5" s="67"/>
      <c r="Y5" s="66" t="s">
        <v>1630</v>
      </c>
      <c r="Z5" s="1846" t="s">
        <v>1627</v>
      </c>
      <c r="AA5" s="1159" t="s">
        <v>1628</v>
      </c>
      <c r="AB5" s="1159" t="s">
        <v>1629</v>
      </c>
      <c r="AC5" s="67"/>
      <c r="AD5" s="67" t="s">
        <v>1630</v>
      </c>
      <c r="AE5" s="1158" t="s">
        <v>1631</v>
      </c>
      <c r="AF5" s="1159" t="s">
        <v>1632</v>
      </c>
      <c r="AG5" s="66" t="s">
        <v>1633</v>
      </c>
      <c r="AH5" s="1158" t="s">
        <v>1634</v>
      </c>
      <c r="AI5" s="1846" t="s">
        <v>1635</v>
      </c>
      <c r="AJ5" s="1846" t="s">
        <v>1636</v>
      </c>
      <c r="AK5" s="1159" t="s">
        <v>1637</v>
      </c>
      <c r="AL5" s="1159" t="s">
        <v>1638</v>
      </c>
      <c r="AM5" s="66" t="s">
        <v>1639</v>
      </c>
      <c r="AN5" s="1847" t="s">
        <v>1640</v>
      </c>
      <c r="AO5" s="1698" t="s">
        <v>1641</v>
      </c>
      <c r="AP5" s="1140" t="s">
        <v>1642</v>
      </c>
      <c r="AQ5" s="1848" t="s">
        <v>1643</v>
      </c>
      <c r="AR5" s="1848" t="s">
        <v>1644</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f>'数据-汇总表'!C19</f>
        <v>816</v>
      </c>
      <c r="B6" s="1850" t="str">
        <f>IF(A6=0,"","经营性")</f>
        <v>经营性</v>
      </c>
      <c r="C6" s="1851" t="s">
        <v>27</v>
      </c>
      <c r="D6" s="948">
        <f>SUMIF(项目基本情况!D$12:I$12,C6,项目基本情况!D$14:I$14)</f>
        <v>50</v>
      </c>
      <c r="E6" s="947">
        <f>IF(B6="","",SUMIF(项目基本情况!D$12:I$12,C6,项目基本情况!D$13:I$13))</f>
        <v>57876</v>
      </c>
      <c r="F6" s="68">
        <f>SUMIF(项目基本情况!D$12:I$12,C6,项目基本情况!D$15:I$15)</f>
        <v>36</v>
      </c>
      <c r="G6" s="69">
        <f>IF(ISERROR(ROUND(POWER(1+H6,D6-F6)*(POWER(1+H6,F6)-1)/(POWER(1+H6,D6)-1),3)),0,ROUND(POWER(1+H6,D6-F6)*(POWER(1+H6,F6)-1)/(POWER(1+H6,D6)-1),3))</f>
        <v>0.90600000000000003</v>
      </c>
      <c r="H6" s="741">
        <v>0.05</v>
      </c>
      <c r="I6" s="741">
        <v>5.5E-2</v>
      </c>
      <c r="J6" s="70">
        <v>0.08</v>
      </c>
      <c r="K6" s="1142">
        <f>SUMIF('数据-汇总表'!C$19:C$33,A6,'数据-汇总表'!E$19:E$33)</f>
        <v>226.16</v>
      </c>
      <c r="L6" s="742">
        <v>4500</v>
      </c>
      <c r="M6" s="71">
        <f t="shared" ref="M6:M14" si="0">ROUND(K6*L6/10000,0)</f>
        <v>102</v>
      </c>
      <c r="N6" s="740">
        <f>ROUND(1-(2022-2010)/60,2)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v>7</v>
      </c>
      <c r="V6" s="75">
        <v>2.5000000000000001E-2</v>
      </c>
      <c r="W6" s="75">
        <v>0.1</v>
      </c>
      <c r="X6" s="1152"/>
      <c r="Y6" s="76">
        <f>N6</f>
        <v>0.8</v>
      </c>
      <c r="Z6" s="77"/>
      <c r="AA6" s="70"/>
      <c r="AB6" s="70"/>
      <c r="AC6" s="1152"/>
      <c r="AD6" s="78"/>
      <c r="AE6" s="1153">
        <f ca="1">IF(AN6="",0,SUMIF(INDIRECT("'"&amp;AN6&amp;"'"&amp;"!E:E"),$AE$5,INDIRECT("'"&amp;AN6&amp;"'"&amp;"!F:F")))</f>
        <v>36</v>
      </c>
      <c r="AF6" s="1483"/>
      <c r="AG6" s="143">
        <f>IF(AF6="",0,AE6-AF6)</f>
        <v>0</v>
      </c>
      <c r="AH6" s="79"/>
      <c r="AI6" s="81">
        <v>365</v>
      </c>
      <c r="AJ6" s="82"/>
      <c r="AK6" s="83">
        <v>1.4E-2</v>
      </c>
      <c r="AL6" s="3263">
        <v>1.5E-3</v>
      </c>
      <c r="AM6" s="85">
        <v>0.01</v>
      </c>
      <c r="AN6" s="1852" t="s">
        <v>3180</v>
      </c>
      <c r="AO6" s="55">
        <f ca="1">SUMIF(INDIRECT("'"&amp;AN6&amp;"'"&amp;"!A:A"),"总价",INDIRECT("'"&amp;AN6&amp;"'"&amp;"!B:B"))</f>
        <v>872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817</v>
      </c>
      <c r="B7" s="1850" t="str">
        <f t="shared" ref="B7:B13" si="1">IF(A7=0,"","经营性")</f>
        <v>经营性</v>
      </c>
      <c r="C7" s="1851" t="s">
        <v>27</v>
      </c>
      <c r="D7" s="948">
        <f>SUMIF(项目基本情况!D$12:I$12,C7,项目基本情况!D$14:I$14)</f>
        <v>50</v>
      </c>
      <c r="E7" s="947">
        <f>IF(B7="","",SUMIF(项目基本情况!D$12:I$12,C7,项目基本情况!D$13:I$13))</f>
        <v>57876</v>
      </c>
      <c r="F7" s="68">
        <f>SUMIF(项目基本情况!D$12:I$12,C7,项目基本情况!D$15:I$15)</f>
        <v>36</v>
      </c>
      <c r="G7" s="69">
        <f t="shared" ref="G7:G11" si="2">IF(ISERROR(ROUND(POWER(1+H7,D7-F7)*(POWER(1+H7,F7)-1)/(POWER(1+H7,D7)-1),3)),0,ROUND(POWER(1+H7,D7-F7)*(POWER(1+H7,F7)-1)/(POWER(1+H7,D7)-1),3))</f>
        <v>0.90600000000000003</v>
      </c>
      <c r="H7" s="741">
        <f>H6</f>
        <v>0.05</v>
      </c>
      <c r="I7" s="741">
        <f>I6</f>
        <v>5.5E-2</v>
      </c>
      <c r="J7" s="70">
        <f>J6</f>
        <v>0.08</v>
      </c>
      <c r="K7" s="1142">
        <f>SUMIF('数据-汇总表'!C$19:C$33,A7,'数据-汇总表'!E$19:E$33)</f>
        <v>147.72</v>
      </c>
      <c r="L7" s="742">
        <f>L6</f>
        <v>4500</v>
      </c>
      <c r="M7" s="71">
        <f t="shared" si="0"/>
        <v>66</v>
      </c>
      <c r="N7" s="740">
        <f>ROUND(1-(2022-2010)/60,2)</f>
        <v>0.8</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v>7</v>
      </c>
      <c r="V7" s="75">
        <f>V6</f>
        <v>2.5000000000000001E-2</v>
      </c>
      <c r="W7" s="75">
        <f>W6</f>
        <v>0.1</v>
      </c>
      <c r="X7" s="1152"/>
      <c r="Y7" s="76">
        <f>N7</f>
        <v>0.8</v>
      </c>
      <c r="Z7" s="77"/>
      <c r="AA7" s="70"/>
      <c r="AB7" s="70"/>
      <c r="AC7" s="1152"/>
      <c r="AD7" s="78"/>
      <c r="AE7" s="1153">
        <f t="shared" ref="AE7:AE13" ca="1" si="6">IF(AN7="",0,SUMIF(INDIRECT("'"&amp;AN7&amp;"'"&amp;"!E:E"),$AE$5,INDIRECT("'"&amp;AN7&amp;"'"&amp;"!F:F")))</f>
        <v>36</v>
      </c>
      <c r="AF7" s="1483"/>
      <c r="AG7" s="143">
        <f t="shared" ref="AG7:AG13" si="7">IF(AF7="",0,AE7-AF7)</f>
        <v>0</v>
      </c>
      <c r="AH7" s="79"/>
      <c r="AI7" s="81">
        <v>365</v>
      </c>
      <c r="AJ7" s="82"/>
      <c r="AK7" s="83">
        <f>AK6</f>
        <v>1.4E-2</v>
      </c>
      <c r="AL7" s="84">
        <f>AL6</f>
        <v>1.5E-3</v>
      </c>
      <c r="AM7" s="85">
        <f>AM6</f>
        <v>0.01</v>
      </c>
      <c r="AN7" s="1852" t="s">
        <v>3182</v>
      </c>
      <c r="AO7" s="55">
        <f t="shared" ref="AO7:AO13" ca="1" si="8">SUMIF(INDIRECT("'"&amp;AN7&amp;"'"&amp;"!A:A"),"总价",INDIRECT("'"&amp;AN7&amp;"'"&amp;"!B:B"))</f>
        <v>570</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1645</v>
      </c>
      <c r="B14" s="1850" t="s">
        <v>1646</v>
      </c>
      <c r="C14" s="1855" t="s">
        <v>1645</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1647</v>
      </c>
      <c r="B15" s="1850" t="s">
        <v>1646</v>
      </c>
      <c r="C15" s="1855" t="s">
        <v>1648</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1649</v>
      </c>
      <c r="B16" s="93"/>
      <c r="C16" s="923"/>
      <c r="D16" s="1857"/>
      <c r="E16" s="93"/>
      <c r="F16" s="93"/>
      <c r="G16" s="94">
        <f>ROUND(SUMPRODUCT(G6:G13,K6:K13)/SUMPRODUCT((G6:G13&gt;0)*(K6:K13)),3)</f>
        <v>0.90600000000000003</v>
      </c>
      <c r="H16" s="95">
        <f>ROUND(SUMPRODUCT(H6:H13,K6:K13)/SUMPRODUCT((H6:H13&gt;0)*(K6:K13)),3)</f>
        <v>0.05</v>
      </c>
      <c r="I16" s="96"/>
      <c r="J16" s="96"/>
      <c r="K16" s="97">
        <f>SUM(K6:K15)</f>
        <v>373.88</v>
      </c>
      <c r="L16" s="98">
        <f>ROUND(M16*10000/SUM(K6:K14),0)</f>
        <v>4493</v>
      </c>
      <c r="M16" s="98">
        <f>SUM(M6:M14)</f>
        <v>168</v>
      </c>
      <c r="N16" s="99">
        <f>ROUND(SUMPRODUCT(M6:M14,N6:N14)/M16,3)</f>
        <v>0.8</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1650</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1651</v>
      </c>
      <c r="B19" s="108">
        <v>0</v>
      </c>
      <c r="C19" s="2980" t="s">
        <v>2801</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1652</v>
      </c>
      <c r="B20" s="109">
        <v>2</v>
      </c>
      <c r="C20" s="2981" t="s">
        <v>2799</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1653</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1654</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1655</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1656</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1657</v>
      </c>
      <c r="B26" s="1863" t="s">
        <v>1658</v>
      </c>
      <c r="C26" s="2856" t="s">
        <v>1659</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1660</v>
      </c>
      <c r="B27" s="112"/>
      <c r="C27" s="2982" t="s">
        <v>2803</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1661</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1662</v>
      </c>
      <c r="B29" s="117"/>
      <c r="C29" s="2983" t="s">
        <v>2790</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1663</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1664</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1665</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1666</v>
      </c>
      <c r="B33" s="682">
        <v>0.03</v>
      </c>
      <c r="C33" s="2984" t="s">
        <v>2791</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1667</v>
      </c>
      <c r="B34" s="118">
        <v>0</v>
      </c>
      <c r="C34" s="2984" t="s">
        <v>2792</v>
      </c>
      <c r="D34" s="2863" t="s">
        <v>2800</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1668</v>
      </c>
      <c r="B35" s="115">
        <v>200</v>
      </c>
      <c r="C35" s="2984" t="s">
        <v>2793</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1669</v>
      </c>
      <c r="B36" s="119">
        <v>1.4999999999999999E-2</v>
      </c>
      <c r="C36" s="2984" t="s">
        <v>2794</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1670</v>
      </c>
      <c r="B37" s="120">
        <v>0.02</v>
      </c>
      <c r="C37" s="2984" t="s">
        <v>2795</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1671</v>
      </c>
      <c r="B38" s="118">
        <v>0.02</v>
      </c>
      <c r="C38" s="2984" t="s">
        <v>2795</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1672</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3178</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1673</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1674</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1675</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1676</v>
      </c>
      <c r="B44" s="124">
        <v>7.0000000000000007E-2</v>
      </c>
      <c r="C44" s="2984" t="s">
        <v>2804</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1677</v>
      </c>
      <c r="B45" s="122">
        <v>0.03</v>
      </c>
      <c r="C45" s="2983" t="s">
        <v>2796</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1678</v>
      </c>
      <c r="B46" s="122">
        <v>0.02</v>
      </c>
      <c r="C46" s="2983" t="s">
        <v>2797</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1679</v>
      </c>
      <c r="B47" s="125">
        <v>0</v>
      </c>
      <c r="C47" s="2986" t="s">
        <v>2805</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1680</v>
      </c>
      <c r="B48" s="126">
        <v>0.03</v>
      </c>
      <c r="C48" s="2983" t="s">
        <v>2796</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1681</v>
      </c>
      <c r="B49" s="122">
        <v>5.0000000000000001E-4</v>
      </c>
      <c r="C49" s="2983" t="s">
        <v>2798</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1682</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1683</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1684</v>
      </c>
      <c r="B52" s="129">
        <f>SUMIF(A54:A63,B53,B54:B63)</f>
        <v>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1685</v>
      </c>
      <c r="B53" s="1875"/>
      <c r="C53" s="2838" t="s">
        <v>1686</v>
      </c>
      <c r="D53" s="2985" t="s">
        <v>2802</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1687</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1688</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1689</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1690</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1691</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1692</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1693</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1694</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1695</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1696</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58" t="s">
        <v>2782</v>
      </c>
      <c r="B1" s="3359"/>
      <c r="C1" s="3359"/>
      <c r="D1" s="3359"/>
      <c r="E1" s="3359"/>
      <c r="F1" s="3359"/>
      <c r="G1" s="335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2777</v>
      </c>
      <c r="D2" s="2637"/>
      <c r="E2" s="2634"/>
      <c r="F2" s="2638"/>
      <c r="G2" s="2636" t="s">
        <v>2778</v>
      </c>
      <c r="H2" s="888"/>
      <c r="I2" s="888"/>
      <c r="J2" s="888"/>
      <c r="K2" s="888"/>
      <c r="L2" s="888"/>
      <c r="M2" s="888"/>
      <c r="N2" s="888"/>
      <c r="O2" s="888"/>
      <c r="P2" s="888"/>
      <c r="Q2" s="888"/>
      <c r="R2" s="888"/>
    </row>
    <row r="3" spans="1:29" ht="48">
      <c r="A3" s="2617" t="s">
        <v>2779</v>
      </c>
      <c r="B3" s="2639" t="s">
        <v>2748</v>
      </c>
      <c r="C3" s="2640" t="s">
        <v>2780</v>
      </c>
      <c r="D3" s="2641"/>
      <c r="E3" s="2618" t="s">
        <v>2779</v>
      </c>
      <c r="F3" s="2642" t="s">
        <v>2749</v>
      </c>
      <c r="G3" s="2643" t="s">
        <v>2781</v>
      </c>
      <c r="H3" s="888"/>
      <c r="I3" s="888"/>
      <c r="J3" s="888"/>
      <c r="K3" s="888"/>
      <c r="L3" s="888"/>
      <c r="M3" s="888"/>
      <c r="N3" s="888"/>
      <c r="O3" s="888"/>
      <c r="P3" s="888"/>
      <c r="Q3" s="888"/>
      <c r="R3" s="888"/>
    </row>
    <row r="4" spans="1:29" ht="36.75">
      <c r="A4" s="2618"/>
      <c r="B4" s="329" t="s">
        <v>2750</v>
      </c>
      <c r="C4" s="2644" t="s">
        <v>2751</v>
      </c>
      <c r="D4" s="2641"/>
      <c r="E4" s="2645"/>
      <c r="F4" s="1508" t="s">
        <v>2752</v>
      </c>
      <c r="G4" s="2646" t="s">
        <v>2753</v>
      </c>
      <c r="H4" s="888"/>
      <c r="I4" s="888"/>
      <c r="J4" s="888"/>
      <c r="K4" s="888"/>
      <c r="L4" s="888"/>
      <c r="M4" s="888"/>
      <c r="N4" s="888"/>
      <c r="O4" s="888"/>
      <c r="P4" s="888"/>
      <c r="Q4" s="888"/>
      <c r="R4" s="888"/>
    </row>
    <row r="5" spans="1:29" ht="36.75">
      <c r="A5" s="2618"/>
      <c r="B5" s="329" t="s">
        <v>2754</v>
      </c>
      <c r="C5" s="2644" t="s">
        <v>2755</v>
      </c>
      <c r="D5" s="2641"/>
      <c r="E5" s="2645"/>
      <c r="F5" s="329" t="s">
        <v>2756</v>
      </c>
      <c r="G5" s="2646" t="s">
        <v>2757</v>
      </c>
      <c r="H5" s="888"/>
      <c r="I5" s="888"/>
      <c r="J5" s="888"/>
      <c r="K5" s="888"/>
      <c r="L5" s="888"/>
      <c r="M5" s="888"/>
      <c r="N5" s="888"/>
      <c r="O5" s="888"/>
      <c r="P5" s="888"/>
      <c r="Q5" s="888"/>
      <c r="R5" s="888"/>
    </row>
    <row r="6" spans="1:29" ht="36">
      <c r="A6" s="2618"/>
      <c r="B6" s="329" t="s">
        <v>2758</v>
      </c>
      <c r="C6" s="2646" t="s">
        <v>2753</v>
      </c>
      <c r="D6" s="2641"/>
      <c r="E6" s="2645"/>
      <c r="F6" s="329" t="s">
        <v>2759</v>
      </c>
      <c r="G6" s="2646" t="s">
        <v>2760</v>
      </c>
      <c r="H6" s="888"/>
      <c r="I6" s="888"/>
      <c r="J6" s="888"/>
      <c r="K6" s="888"/>
      <c r="L6" s="888"/>
      <c r="M6" s="888"/>
      <c r="N6" s="888"/>
      <c r="O6" s="888"/>
      <c r="P6" s="888"/>
      <c r="Q6" s="888"/>
      <c r="R6" s="888"/>
    </row>
    <row r="7" spans="1:29" ht="24.75" thickBot="1">
      <c r="A7" s="2618"/>
      <c r="B7" s="329" t="s">
        <v>2756</v>
      </c>
      <c r="C7" s="2646" t="s">
        <v>2757</v>
      </c>
      <c r="D7" s="2647"/>
      <c r="E7" s="2648"/>
      <c r="F7" s="2649" t="s">
        <v>2761</v>
      </c>
      <c r="G7" s="2650" t="s">
        <v>2762</v>
      </c>
      <c r="H7" s="888"/>
      <c r="I7" s="888"/>
      <c r="J7" s="888"/>
      <c r="K7" s="888"/>
      <c r="L7" s="888"/>
      <c r="M7" s="888"/>
      <c r="N7" s="888"/>
      <c r="O7" s="888"/>
      <c r="P7" s="888"/>
      <c r="Q7" s="888"/>
      <c r="R7" s="888"/>
    </row>
    <row r="8" spans="1:29">
      <c r="A8" s="2618"/>
      <c r="B8" s="329" t="s">
        <v>2759</v>
      </c>
      <c r="C8" s="2646" t="s">
        <v>2760</v>
      </c>
      <c r="D8" s="2647"/>
      <c r="E8" s="2647"/>
      <c r="F8" s="2651"/>
      <c r="G8" s="2651"/>
      <c r="H8" s="888"/>
      <c r="I8" s="888"/>
      <c r="J8" s="888"/>
      <c r="K8" s="888"/>
      <c r="L8" s="888"/>
      <c r="M8" s="888"/>
      <c r="N8" s="888"/>
      <c r="O8" s="888"/>
      <c r="P8" s="888"/>
      <c r="Q8" s="888"/>
      <c r="R8" s="888"/>
    </row>
    <row r="9" spans="1:29" ht="24">
      <c r="A9" s="2618"/>
      <c r="B9" s="329" t="s">
        <v>2763</v>
      </c>
      <c r="C9" s="2644" t="s">
        <v>2764</v>
      </c>
      <c r="D9" s="2641"/>
      <c r="E9" s="2647"/>
      <c r="F9" s="2651"/>
      <c r="G9" s="2651"/>
      <c r="H9" s="888"/>
      <c r="I9" s="888"/>
      <c r="J9" s="888"/>
      <c r="K9" s="888"/>
      <c r="L9" s="888"/>
      <c r="M9" s="888"/>
      <c r="N9" s="888"/>
      <c r="O9" s="888"/>
      <c r="P9" s="888"/>
      <c r="Q9" s="888"/>
      <c r="R9" s="888"/>
    </row>
    <row r="10" spans="1:29" s="2657" customFormat="1" ht="15" thickBot="1">
      <c r="A10" s="2619"/>
      <c r="B10" s="2652" t="s">
        <v>2765</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2783</v>
      </c>
      <c r="B13" s="2660"/>
      <c r="C13" s="2660"/>
      <c r="D13" s="2658"/>
      <c r="E13" s="2660"/>
      <c r="F13" s="2660"/>
      <c r="G13" s="2660"/>
    </row>
    <row r="14" spans="1:29" ht="15" thickBot="1">
      <c r="A14" s="2670"/>
      <c r="B14" s="2670"/>
      <c r="C14" s="2671" t="s">
        <v>2766</v>
      </c>
      <c r="D14" s="2641"/>
      <c r="E14" s="2672"/>
      <c r="F14" s="2672"/>
      <c r="G14" s="2636" t="s">
        <v>2767</v>
      </c>
    </row>
    <row r="15" spans="1:29" ht="51">
      <c r="A15" s="2620" t="s">
        <v>2768</v>
      </c>
      <c r="B15" s="2673" t="s">
        <v>2748</v>
      </c>
      <c r="C15" s="2674" t="str">
        <f>C3</f>
        <v>估价对象周边居住用地比例、居住小区规模和社区发展完善程度，综合评价居住社区成熟度一般</v>
      </c>
      <c r="D15" s="2641"/>
      <c r="E15" s="2621" t="s">
        <v>2769</v>
      </c>
      <c r="F15" s="2673" t="s">
        <v>2770</v>
      </c>
      <c r="G15" s="2675" t="str">
        <f>G3</f>
        <v>估价对象位于XX开发区，园区建设成熟度XX，产业集聚程度XX</v>
      </c>
    </row>
    <row r="16" spans="1:29" ht="38.25">
      <c r="A16" s="2622"/>
      <c r="B16" s="2676" t="s">
        <v>2750</v>
      </c>
      <c r="C16" s="2677" t="str">
        <f>C4</f>
        <v>估价对象位于XX商圈，周边商业氛围成熟，人流量大，商业繁华度好</v>
      </c>
      <c r="D16" s="2641"/>
      <c r="E16" s="2623"/>
      <c r="F16" s="2678" t="s">
        <v>2752</v>
      </c>
      <c r="G16" s="2679" t="str">
        <f>G4</f>
        <v>估价对象周边道路状况、公共交通通达情况、停车便捷程度，综合评价交通便捷度较好</v>
      </c>
    </row>
    <row r="17" spans="1:18" ht="38.25">
      <c r="A17" s="2622"/>
      <c r="B17" s="2676" t="s">
        <v>2754</v>
      </c>
      <c r="C17" s="2677" t="str">
        <f>C5</f>
        <v>估价对象位于XX商圈，周边办公楼项目较多，入驻率高，办公集聚程度较好</v>
      </c>
      <c r="D17" s="2647"/>
      <c r="E17" s="2623"/>
      <c r="F17" s="2678" t="s">
        <v>2771</v>
      </c>
      <c r="G17" s="2680"/>
    </row>
    <row r="18" spans="1:18" ht="38.25">
      <c r="A18" s="2622"/>
      <c r="B18" s="2678" t="s">
        <v>2758</v>
      </c>
      <c r="C18" s="2679" t="str">
        <f>C6</f>
        <v>估价对象周边道路状况、公共交通通达情况、停车便捷程度，综合评价交通便捷度较好</v>
      </c>
      <c r="D18" s="2647"/>
      <c r="E18" s="2623"/>
      <c r="F18" s="2678" t="s">
        <v>2761</v>
      </c>
      <c r="G18" s="2679" t="str">
        <f>G7</f>
        <v>该园区内是否有污染型企业，绿化情况，卫生条件，整体环境状况判断</v>
      </c>
    </row>
    <row r="19" spans="1:18" ht="25.5">
      <c r="A19" s="2622"/>
      <c r="B19" s="2678" t="s">
        <v>2772</v>
      </c>
      <c r="C19" s="2680"/>
      <c r="D19" s="2641"/>
      <c r="E19" s="2623"/>
      <c r="F19" s="329" t="s">
        <v>2756</v>
      </c>
      <c r="G19" s="2679" t="str">
        <f>G5</f>
        <v>估价对象所在区域公共配套设施齐备情况</v>
      </c>
    </row>
    <row r="20" spans="1:18" ht="25.5">
      <c r="A20" s="2622"/>
      <c r="B20" s="2678" t="s">
        <v>2773</v>
      </c>
      <c r="C20" s="2677" t="str">
        <f>C9</f>
        <v>区域自然环境：；人文环境；综合评价环境状况一般</v>
      </c>
      <c r="D20" s="2647"/>
      <c r="E20" s="2623"/>
      <c r="F20" s="329" t="s">
        <v>2759</v>
      </c>
      <c r="G20" s="2679" t="str">
        <f>G6</f>
        <v>估价对象所在区域基础设施水平</v>
      </c>
    </row>
    <row r="21" spans="1:18" ht="25.5">
      <c r="A21" s="2622"/>
      <c r="B21" s="329" t="s">
        <v>2756</v>
      </c>
      <c r="C21" s="2679" t="str">
        <f>C7</f>
        <v>估价对象所在区域公共配套设施齐备情况</v>
      </c>
      <c r="D21" s="2641"/>
      <c r="E21" s="2623"/>
      <c r="F21" s="2678" t="s">
        <v>2774</v>
      </c>
      <c r="G21" s="2681"/>
    </row>
    <row r="22" spans="1:18" ht="13.5" customHeight="1">
      <c r="A22" s="2622"/>
      <c r="B22" s="329" t="s">
        <v>2759</v>
      </c>
      <c r="C22" s="2679" t="str">
        <f>C8</f>
        <v>估价对象所在区域基础设施水平</v>
      </c>
      <c r="D22" s="2641"/>
      <c r="E22" s="2623"/>
      <c r="F22" s="2678" t="s">
        <v>2765</v>
      </c>
      <c r="G22" s="2680"/>
    </row>
    <row r="23" spans="1:18" s="888" customFormat="1" ht="15" thickBot="1">
      <c r="A23" s="2622"/>
      <c r="B23" s="2678" t="s">
        <v>2774</v>
      </c>
      <c r="C23" s="2681"/>
      <c r="D23" s="1878"/>
      <c r="E23" s="2624"/>
      <c r="F23" s="2682" t="s">
        <v>2775</v>
      </c>
      <c r="G23" s="2683"/>
      <c r="H23" s="2667"/>
      <c r="I23" s="2668"/>
      <c r="J23" s="2667"/>
      <c r="K23" s="2667"/>
      <c r="L23" s="2668"/>
      <c r="M23" s="2667"/>
      <c r="N23" s="2667"/>
      <c r="O23" s="2668"/>
      <c r="P23" s="2667"/>
      <c r="Q23" s="2667"/>
      <c r="R23" s="2669"/>
    </row>
    <row r="24" spans="1:18" s="888" customFormat="1" ht="15" thickBot="1">
      <c r="A24" s="2625"/>
      <c r="B24" s="2682" t="s">
        <v>2776</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2689" customWidth="1"/>
    <col min="2" max="9" width="15.75" style="2689" customWidth="1"/>
    <col min="10" max="16384" width="9" style="2689"/>
  </cols>
  <sheetData>
    <row r="1" spans="1:11" ht="16.5">
      <c r="A1" s="2688" t="s">
        <v>1086</v>
      </c>
      <c r="B1" s="2688">
        <f>SUM(B14:B23)</f>
        <v>581.41</v>
      </c>
      <c r="C1" s="2865"/>
      <c r="D1" s="2865"/>
      <c r="E1" s="2865"/>
      <c r="F1" s="2865"/>
      <c r="G1" s="2866"/>
      <c r="H1" s="2867"/>
      <c r="I1" s="2867"/>
      <c r="J1" s="2867"/>
      <c r="K1" s="2867"/>
    </row>
    <row r="2" spans="1:11" ht="16.5">
      <c r="A2" s="2688" t="s">
        <v>1074</v>
      </c>
      <c r="B2" s="2688">
        <f>SUM(C14:C23)</f>
        <v>0</v>
      </c>
      <c r="C2" s="2865"/>
      <c r="D2" s="2865"/>
      <c r="E2" s="2865"/>
      <c r="F2" s="2865"/>
      <c r="G2" s="2866"/>
      <c r="H2" s="2867"/>
      <c r="I2" s="2867"/>
      <c r="J2" s="2867"/>
      <c r="K2" s="2867"/>
    </row>
    <row r="3" spans="1:11" ht="16.5">
      <c r="A3" s="2688" t="s">
        <v>1083</v>
      </c>
      <c r="B3" s="2690">
        <f>项目基本情况!D3</f>
        <v>44733</v>
      </c>
      <c r="C3" s="2865"/>
      <c r="D3" s="2865"/>
      <c r="E3" s="2865"/>
      <c r="F3" s="2865"/>
      <c r="G3" s="2866"/>
      <c r="H3" s="2867"/>
      <c r="I3" s="2867"/>
      <c r="J3" s="2867"/>
      <c r="K3" s="2867"/>
    </row>
    <row r="4" spans="1:11" ht="33">
      <c r="A4" s="2688" t="s">
        <v>1082</v>
      </c>
      <c r="B4" s="2688" t="s">
        <v>1081</v>
      </c>
      <c r="C4" s="2688" t="s">
        <v>1080</v>
      </c>
      <c r="D4" s="2688" t="s">
        <v>1079</v>
      </c>
      <c r="E4" s="2865"/>
      <c r="F4" s="2866"/>
      <c r="G4" s="2866"/>
      <c r="H4" s="2867"/>
      <c r="I4" s="2867"/>
      <c r="J4" s="2867"/>
      <c r="K4" s="2867"/>
    </row>
    <row r="5" spans="1:11" ht="16.5">
      <c r="A5" s="2688" t="s">
        <v>1078</v>
      </c>
      <c r="B5" s="2688">
        <f ca="1">SUM(D14:D23)</f>
        <v>2055</v>
      </c>
      <c r="C5" s="2688">
        <f ca="1">ROUND(B5*10000/$B$1,0)</f>
        <v>35345</v>
      </c>
      <c r="D5" s="2688" t="e">
        <f ca="1">ROUND(B5*10000/$B$2,0)</f>
        <v>#DIV/0!</v>
      </c>
      <c r="E5" s="2865"/>
      <c r="F5" s="2866"/>
      <c r="G5" s="2866"/>
      <c r="H5" s="2867"/>
      <c r="I5" s="2867"/>
      <c r="J5" s="2867"/>
      <c r="K5" s="2867"/>
    </row>
    <row r="6" spans="1:11" ht="16.5">
      <c r="A6" s="2688" t="s">
        <v>1077</v>
      </c>
      <c r="B6" s="2688">
        <f ca="1">SUM(G14:G23)</f>
        <v>2055</v>
      </c>
      <c r="C6" s="2688">
        <f ca="1">ROUND(B6*10000/$B$1,0)</f>
        <v>35345</v>
      </c>
      <c r="D6" s="2688" t="e">
        <f ca="1">ROUND(B6*10000/$B$2,0)</f>
        <v>#DIV/0!</v>
      </c>
      <c r="E6" s="2865"/>
      <c r="F6" s="2866"/>
      <c r="G6" s="2866"/>
      <c r="H6" s="2867"/>
      <c r="I6" s="2867"/>
      <c r="J6" s="2867"/>
      <c r="K6" s="2867"/>
    </row>
    <row r="7" spans="1:11" ht="16.5">
      <c r="A7" s="2688" t="s">
        <v>1085</v>
      </c>
      <c r="B7" s="2688">
        <f>SUM(H14:H23)</f>
        <v>0</v>
      </c>
      <c r="C7" s="2688">
        <f>ROUND(B7*10000/$B$1,0)</f>
        <v>0</v>
      </c>
      <c r="D7" s="2688" t="e">
        <f>ROUND(B7*10000/$B$2,0)</f>
        <v>#DIV/0!</v>
      </c>
      <c r="E7" s="2865"/>
      <c r="F7" s="2866"/>
      <c r="G7" s="2866"/>
      <c r="H7" s="2867"/>
      <c r="I7" s="2867"/>
      <c r="J7" s="2867"/>
      <c r="K7" s="2867"/>
    </row>
    <row r="8" spans="1:11" ht="16.5">
      <c r="A8" s="2688" t="s">
        <v>1011</v>
      </c>
      <c r="B8" s="2688">
        <f>SUM(I14:I23)</f>
        <v>0</v>
      </c>
      <c r="C8" s="2688">
        <f>ROUND(B8*10000/$B$1,0)</f>
        <v>0</v>
      </c>
      <c r="D8" s="2688" t="e">
        <f>ROUND(B8*10000/$B$2,0)</f>
        <v>#DIV/0!</v>
      </c>
      <c r="E8" s="2865"/>
      <c r="F8" s="2866"/>
      <c r="G8" s="2866"/>
      <c r="H8" s="2867"/>
      <c r="I8" s="2867"/>
      <c r="J8" s="2867"/>
      <c r="K8" s="2867"/>
    </row>
    <row r="9" spans="1:11" ht="16.5">
      <c r="A9" s="2688" t="s">
        <v>1076</v>
      </c>
      <c r="B9" s="2696"/>
      <c r="C9" s="2865"/>
      <c r="D9" s="2865"/>
      <c r="E9" s="2865"/>
      <c r="F9" s="2866"/>
      <c r="G9" s="2866"/>
      <c r="H9" s="2867"/>
      <c r="I9" s="2867"/>
      <c r="J9" s="2867"/>
      <c r="K9" s="2867"/>
    </row>
    <row r="10" spans="1:11" ht="16.5">
      <c r="A10" s="2688" t="s">
        <v>1075</v>
      </c>
      <c r="B10" s="2696"/>
      <c r="C10" s="2865"/>
      <c r="D10" s="2865"/>
      <c r="E10" s="2865"/>
      <c r="F10" s="2866"/>
      <c r="G10" s="2866"/>
      <c r="H10" s="2867"/>
      <c r="I10" s="2867"/>
      <c r="J10" s="2867"/>
      <c r="K10" s="2867"/>
    </row>
    <row r="11" spans="1:11" ht="16.5">
      <c r="A11" s="2688" t="s">
        <v>1091</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1090</v>
      </c>
      <c r="B13" s="2692" t="s">
        <v>1087</v>
      </c>
      <c r="C13" s="2692" t="s">
        <v>1089</v>
      </c>
      <c r="D13" s="2692" t="s">
        <v>1088</v>
      </c>
      <c r="E13" s="2688" t="s">
        <v>1080</v>
      </c>
      <c r="F13" s="2688" t="s">
        <v>1079</v>
      </c>
      <c r="G13" s="2692" t="s">
        <v>1073</v>
      </c>
      <c r="H13" s="2692" t="s">
        <v>1084</v>
      </c>
      <c r="I13" s="2692" t="s">
        <v>1072</v>
      </c>
      <c r="J13" s="2866"/>
      <c r="K13" s="2867"/>
    </row>
    <row r="14" spans="1:11" ht="16.5">
      <c r="A14" s="2693" t="s">
        <v>3224</v>
      </c>
      <c r="B14" s="2694">
        <f>结果表816!B118</f>
        <v>226.16</v>
      </c>
      <c r="C14" s="2694">
        <f>结果表816!C118</f>
        <v>0</v>
      </c>
      <c r="D14" s="2694">
        <f ca="1">结果表816!H118</f>
        <v>860</v>
      </c>
      <c r="E14" s="2694">
        <f ca="1">结果表816!I118</f>
        <v>38048</v>
      </c>
      <c r="F14" s="2694" t="e">
        <f ca="1">ROUND(D14*10000/C14,0)</f>
        <v>#DIV/0!</v>
      </c>
      <c r="G14" s="2694">
        <f ca="1">结果表816!D122</f>
        <v>860</v>
      </c>
      <c r="H14" s="2694" t="str">
        <f>结果表816!D124</f>
        <v>——</v>
      </c>
      <c r="I14" s="2694" t="str">
        <f>结果表816!D126</f>
        <v>——</v>
      </c>
      <c r="J14" s="2866"/>
      <c r="K14" s="2867"/>
    </row>
    <row r="15" spans="1:11" ht="16.5">
      <c r="A15" s="2693" t="s">
        <v>3225</v>
      </c>
      <c r="B15" s="2695">
        <f>结果表817!B118</f>
        <v>147.72</v>
      </c>
      <c r="C15" s="2695">
        <f>结果表817!C118</f>
        <v>0</v>
      </c>
      <c r="D15" s="2695">
        <f ca="1">结果表817!H118</f>
        <v>562</v>
      </c>
      <c r="E15" s="2694">
        <f ca="1">结果表817!I118</f>
        <v>38048</v>
      </c>
      <c r="F15" s="2694" t="e">
        <f t="shared" ref="F15:F23" ca="1" si="0">ROUND(D15*10000/C15,0)</f>
        <v>#DIV/0!</v>
      </c>
      <c r="G15" s="1452">
        <f ca="1">结果表817!D122</f>
        <v>562</v>
      </c>
      <c r="H15" s="1452"/>
      <c r="I15" s="2695"/>
      <c r="J15" s="2866"/>
      <c r="K15" s="2867"/>
    </row>
    <row r="16" spans="1:11" ht="16.5">
      <c r="A16" s="2693" t="s">
        <v>3226</v>
      </c>
      <c r="B16" s="2695">
        <f>[2]结果表1807!$B$118</f>
        <v>207.53</v>
      </c>
      <c r="C16" s="2695"/>
      <c r="D16" s="2695">
        <f ca="1">[3]结果表1807!$H$118</f>
        <v>633</v>
      </c>
      <c r="E16" s="2694">
        <f>[2]结果表1807!$I$118</f>
        <v>30592</v>
      </c>
      <c r="F16" s="2694" t="e">
        <f t="shared" ca="1" si="0"/>
        <v>#DIV/0!</v>
      </c>
      <c r="G16" s="1452">
        <f ca="1">D16</f>
        <v>633</v>
      </c>
      <c r="H16" s="1452"/>
      <c r="I16" s="2695"/>
      <c r="J16" s="2867"/>
      <c r="K16" s="2867"/>
    </row>
    <row r="17" spans="1:11" ht="16.5">
      <c r="A17" s="2693" t="s">
        <v>1071</v>
      </c>
      <c r="B17" s="2695"/>
      <c r="C17" s="2695"/>
      <c r="D17" s="2695"/>
      <c r="E17" s="2694" t="e">
        <f t="shared" ref="E17:E23" si="1">ROUND(D17*10000/B17,0)</f>
        <v>#DIV/0!</v>
      </c>
      <c r="F17" s="2694" t="e">
        <f t="shared" si="0"/>
        <v>#DIV/0!</v>
      </c>
      <c r="G17" s="1452"/>
      <c r="H17" s="1452"/>
      <c r="I17" s="2695"/>
      <c r="J17" s="2867"/>
      <c r="K17" s="2867"/>
    </row>
    <row r="18" spans="1:11" ht="16.5">
      <c r="A18" s="2693" t="s">
        <v>1070</v>
      </c>
      <c r="B18" s="2695"/>
      <c r="C18" s="2695"/>
      <c r="D18" s="2695"/>
      <c r="E18" s="2694" t="e">
        <f t="shared" si="1"/>
        <v>#DIV/0!</v>
      </c>
      <c r="F18" s="2694" t="e">
        <f t="shared" si="0"/>
        <v>#DIV/0!</v>
      </c>
      <c r="G18" s="2695"/>
      <c r="H18" s="2695"/>
      <c r="I18" s="2695"/>
      <c r="J18" s="2867"/>
      <c r="K18" s="2867"/>
    </row>
    <row r="19" spans="1:11" ht="16.5">
      <c r="A19" s="2693" t="s">
        <v>1069</v>
      </c>
      <c r="B19" s="2695"/>
      <c r="C19" s="2695"/>
      <c r="D19" s="2695"/>
      <c r="E19" s="2694" t="e">
        <f t="shared" si="1"/>
        <v>#DIV/0!</v>
      </c>
      <c r="F19" s="2694" t="e">
        <f t="shared" si="0"/>
        <v>#DIV/0!</v>
      </c>
      <c r="G19" s="2695"/>
      <c r="H19" s="2695"/>
      <c r="I19" s="2695"/>
      <c r="J19" s="2867"/>
      <c r="K19" s="2867"/>
    </row>
    <row r="20" spans="1:11" ht="16.5">
      <c r="A20" s="2693" t="s">
        <v>1068</v>
      </c>
      <c r="B20" s="2695"/>
      <c r="C20" s="2695"/>
      <c r="D20" s="2695"/>
      <c r="E20" s="2694" t="e">
        <f t="shared" si="1"/>
        <v>#DIV/0!</v>
      </c>
      <c r="F20" s="2694" t="e">
        <f t="shared" si="0"/>
        <v>#DIV/0!</v>
      </c>
      <c r="G20" s="2695"/>
      <c r="H20" s="2695"/>
      <c r="I20" s="2695"/>
      <c r="J20" s="2867"/>
      <c r="K20" s="2867"/>
    </row>
    <row r="21" spans="1:11" ht="16.5">
      <c r="A21" s="2693" t="s">
        <v>1067</v>
      </c>
      <c r="B21" s="2695"/>
      <c r="C21" s="2695"/>
      <c r="D21" s="2695"/>
      <c r="E21" s="2694" t="e">
        <f t="shared" si="1"/>
        <v>#DIV/0!</v>
      </c>
      <c r="F21" s="2694" t="e">
        <f t="shared" si="0"/>
        <v>#DIV/0!</v>
      </c>
      <c r="G21" s="2695"/>
      <c r="H21" s="2695"/>
      <c r="I21" s="2695"/>
      <c r="J21" s="2867"/>
      <c r="K21" s="2867"/>
    </row>
    <row r="22" spans="1:11" ht="16.5">
      <c r="A22" s="2693" t="s">
        <v>1066</v>
      </c>
      <c r="B22" s="2695"/>
      <c r="C22" s="2695"/>
      <c r="D22" s="2695"/>
      <c r="E22" s="2694" t="e">
        <f t="shared" si="1"/>
        <v>#DIV/0!</v>
      </c>
      <c r="F22" s="2694" t="e">
        <f t="shared" si="0"/>
        <v>#DIV/0!</v>
      </c>
      <c r="G22" s="2695"/>
      <c r="H22" s="2695"/>
      <c r="I22" s="2695"/>
      <c r="J22" s="2867"/>
      <c r="K22" s="2867"/>
    </row>
    <row r="23" spans="1:11" ht="16.5">
      <c r="A23" s="2693" t="s">
        <v>1065</v>
      </c>
      <c r="B23" s="2695"/>
      <c r="C23" s="2695"/>
      <c r="D23" s="2695"/>
      <c r="E23" s="2696" t="e">
        <f t="shared" si="1"/>
        <v>#DIV/0!</v>
      </c>
      <c r="F23" s="2696" t="e">
        <f t="shared" si="0"/>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46" sqref="M46:O4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816</v>
      </c>
      <c r="D1" s="1884"/>
      <c r="E1" s="1884"/>
      <c r="F1" s="1886" t="s">
        <v>1703</v>
      </c>
      <c r="G1" s="1697"/>
      <c r="H1" s="1887" t="str">
        <f>IF(G1="现房","——","估价对象范围")</f>
        <v>估价对象范围</v>
      </c>
      <c r="I1" s="1888"/>
    </row>
    <row r="2" spans="1:12" ht="21.75" customHeight="1" thickBot="1">
      <c r="A2" s="3430" t="str">
        <f>项目基本情况!S2</f>
        <v>北京市房地产</v>
      </c>
      <c r="B2" s="3431"/>
      <c r="C2" s="3431"/>
      <c r="D2" s="3431"/>
      <c r="E2" s="3431"/>
      <c r="F2" s="3431"/>
      <c r="G2" s="3431"/>
      <c r="H2" s="3431"/>
      <c r="I2" s="3432"/>
    </row>
    <row r="3" spans="1:12" ht="12.75">
      <c r="A3" s="3434" t="s">
        <v>1704</v>
      </c>
      <c r="B3" s="3435"/>
      <c r="C3" s="3435"/>
      <c r="D3" s="3435"/>
      <c r="E3" s="3435"/>
      <c r="F3" s="3435"/>
      <c r="G3" s="3435"/>
      <c r="H3" s="3435"/>
      <c r="I3" s="3435"/>
    </row>
    <row r="4" spans="1:12" ht="14.25">
      <c r="A4" s="1891" t="s">
        <v>1705</v>
      </c>
      <c r="B4" s="1892" t="s">
        <v>1706</v>
      </c>
      <c r="C4" s="1893" t="s">
        <v>3184</v>
      </c>
      <c r="D4" s="1893" t="s">
        <v>3180</v>
      </c>
      <c r="E4" s="3439" t="s">
        <v>1707</v>
      </c>
      <c r="F4" s="3440"/>
      <c r="G4" s="3440"/>
      <c r="H4" s="3440"/>
      <c r="I4" s="3441"/>
      <c r="K4" s="151" t="str">
        <f>IF(ISNUMBER(FIND("比较法",结果表816!C4)),"比较法",IF(ISNUMBER(FIND("成本法",结果表816!C4)),"成本法",IF(ISNUMBER(FIND("假设开发法",结果表816!C4)),"假设开发法",IF(ISNUMBER(FIND("收益法",结果表816!C4)),"收益法","基准地价系数修正法"))))</f>
        <v>比较法</v>
      </c>
      <c r="L4" s="151" t="str">
        <f>IF(ISNUMBER(FIND("比较法",结果表816!D4)),"比较法",IF(ISNUMBER(FIND("成本法",结果表816!D4)),"成本法",IF(ISNUMBER(FIND("假设开发法",结果表816!D4)),"假设开发法",IF(ISNUMBER(FIND("收益法",结果表816!D4)),"收益法","基准地价系数修正法"))))</f>
        <v>收益法</v>
      </c>
    </row>
    <row r="5" spans="1:12" ht="12.75">
      <c r="A5" s="3375" t="s">
        <v>1708</v>
      </c>
      <c r="B5" s="3433">
        <v>25</v>
      </c>
      <c r="C5" s="3436"/>
      <c r="D5" s="3424"/>
      <c r="E5" s="136" t="s">
        <v>1709</v>
      </c>
      <c r="F5" s="1894"/>
      <c r="G5" s="1894"/>
      <c r="H5" s="1894"/>
      <c r="I5" s="1508"/>
    </row>
    <row r="6" spans="1:12" ht="12.75">
      <c r="A6" s="3375"/>
      <c r="B6" s="3433"/>
      <c r="C6" s="3438"/>
      <c r="D6" s="3424"/>
      <c r="E6" s="136" t="s">
        <v>1710</v>
      </c>
      <c r="F6" s="1894"/>
      <c r="G6" s="1894"/>
      <c r="H6" s="1894"/>
      <c r="I6" s="1508"/>
    </row>
    <row r="7" spans="1:12" ht="12.75">
      <c r="A7" s="3375"/>
      <c r="B7" s="3433"/>
      <c r="C7" s="3437"/>
      <c r="D7" s="3424"/>
      <c r="E7" s="136" t="s">
        <v>1711</v>
      </c>
      <c r="F7" s="1894"/>
      <c r="G7" s="1894"/>
      <c r="H7" s="1894"/>
      <c r="I7" s="1508"/>
    </row>
    <row r="8" spans="1:12" ht="12.75">
      <c r="A8" s="3375" t="s">
        <v>1712</v>
      </c>
      <c r="B8" s="3433">
        <v>15</v>
      </c>
      <c r="C8" s="3436"/>
      <c r="D8" s="3424"/>
      <c r="E8" s="136" t="s">
        <v>1713</v>
      </c>
      <c r="F8" s="1894"/>
      <c r="G8" s="1894"/>
      <c r="H8" s="1894"/>
      <c r="I8" s="1508"/>
    </row>
    <row r="9" spans="1:12" ht="12.75">
      <c r="A9" s="3375"/>
      <c r="B9" s="3433"/>
      <c r="C9" s="3437"/>
      <c r="D9" s="3424"/>
      <c r="E9" s="136" t="s">
        <v>1714</v>
      </c>
      <c r="F9" s="1894"/>
      <c r="G9" s="1894"/>
      <c r="H9" s="1894"/>
      <c r="I9" s="1508"/>
    </row>
    <row r="10" spans="1:12" ht="12.75">
      <c r="A10" s="3375" t="s">
        <v>1715</v>
      </c>
      <c r="B10" s="3433">
        <v>15</v>
      </c>
      <c r="C10" s="3436"/>
      <c r="D10" s="3424"/>
      <c r="E10" s="136" t="s">
        <v>1716</v>
      </c>
      <c r="F10" s="1894"/>
      <c r="G10" s="1894"/>
      <c r="H10" s="1894"/>
      <c r="I10" s="1508"/>
    </row>
    <row r="11" spans="1:12" ht="12.75">
      <c r="A11" s="3375"/>
      <c r="B11" s="3433"/>
      <c r="C11" s="3437"/>
      <c r="D11" s="3424"/>
      <c r="E11" s="136" t="s">
        <v>1717</v>
      </c>
      <c r="F11" s="1894"/>
      <c r="G11" s="1894"/>
      <c r="H11" s="1894"/>
      <c r="I11" s="1508"/>
    </row>
    <row r="12" spans="1:12" ht="12.75">
      <c r="A12" s="3375" t="s">
        <v>1718</v>
      </c>
      <c r="B12" s="3433">
        <v>15</v>
      </c>
      <c r="C12" s="3436"/>
      <c r="D12" s="3424"/>
      <c r="E12" s="136" t="s">
        <v>1719</v>
      </c>
      <c r="F12" s="1894"/>
      <c r="G12" s="1894"/>
      <c r="H12" s="1894"/>
      <c r="I12" s="1508"/>
    </row>
    <row r="13" spans="1:12" ht="12.75">
      <c r="A13" s="3375"/>
      <c r="B13" s="3433"/>
      <c r="C13" s="3437"/>
      <c r="D13" s="3424"/>
      <c r="E13" s="136" t="s">
        <v>1720</v>
      </c>
      <c r="F13" s="1894"/>
      <c r="G13" s="1894"/>
      <c r="H13" s="1894"/>
      <c r="I13" s="1508"/>
    </row>
    <row r="14" spans="1:12" ht="12.75">
      <c r="A14" s="3375" t="s">
        <v>1721</v>
      </c>
      <c r="B14" s="3433">
        <v>30</v>
      </c>
      <c r="C14" s="3436">
        <v>5</v>
      </c>
      <c r="D14" s="3424">
        <v>5</v>
      </c>
      <c r="E14" s="136" t="s">
        <v>1722</v>
      </c>
      <c r="F14" s="1894"/>
      <c r="G14" s="1894"/>
      <c r="H14" s="1894"/>
      <c r="I14" s="1508"/>
    </row>
    <row r="15" spans="1:12" ht="12.75">
      <c r="A15" s="3375"/>
      <c r="B15" s="3433"/>
      <c r="C15" s="3438"/>
      <c r="D15" s="3424"/>
      <c r="E15" s="136" t="s">
        <v>1723</v>
      </c>
      <c r="F15" s="1894"/>
      <c r="G15" s="1894"/>
      <c r="H15" s="1894"/>
      <c r="I15" s="1508"/>
    </row>
    <row r="16" spans="1:12" ht="12.75">
      <c r="A16" s="3375"/>
      <c r="B16" s="3433"/>
      <c r="C16" s="3437"/>
      <c r="D16" s="3424"/>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455" t="s">
        <v>2627</v>
      </c>
      <c r="F18" s="3456"/>
      <c r="G18" s="3456"/>
      <c r="H18" s="3456"/>
      <c r="I18" s="3456"/>
      <c r="K18" s="308" t="s">
        <v>1729</v>
      </c>
      <c r="L18" s="308">
        <f>IF(C1="",'数据-汇总表'!E3,SUMIF(项目类型,C1,'数据-汇总表'!E17:E26)+SUMIF(项目类型,C1,'数据-汇总表'!I17:I26))</f>
        <v>226.16</v>
      </c>
      <c r="M18" s="308">
        <f>IF(C1="",'数据-汇总表'!E3,SUMIF(项目类型,C1,'数据-汇总表'!E17:E26))</f>
        <v>226.16</v>
      </c>
    </row>
    <row r="19" spans="1:36" ht="15">
      <c r="A19" s="1898" t="s">
        <v>1730</v>
      </c>
      <c r="B19" s="1899" t="s">
        <v>1731</v>
      </c>
      <c r="C19" s="139">
        <f ca="1">SUMIF(INDIRECT("'"&amp;C4&amp;"'"&amp;"!A:A"),结果表816!B19,INDIRECT("'"&amp;C4&amp;"'"&amp;"!B:B"))</f>
        <v>848</v>
      </c>
      <c r="D19" s="140">
        <f ca="1">SUMIF(INDIRECT("'"&amp;D4&amp;"'"&amp;"!A:A"),结果表816!B19,INDIRECT("'"&amp;D4&amp;"'"&amp;"!B:B"))</f>
        <v>872</v>
      </c>
      <c r="E19" s="1898" t="s">
        <v>1732</v>
      </c>
      <c r="F19" s="1899" t="s">
        <v>1731</v>
      </c>
      <c r="G19" s="141">
        <f ca="1">ROUND(C19*$C$18+D19*$D$18,0)</f>
        <v>860</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SUMIF(INDIRECT("'"&amp;C4&amp;"'"&amp;"!A:A"),结果表816!B20,INDIRECT("'"&amp;C4&amp;"'"&amp;"!B:B"))</f>
        <v>37517</v>
      </c>
      <c r="D20" s="143">
        <f ca="1">SUMIF(INDIRECT("'"&amp;D4&amp;"'"&amp;"!A:A"),结果表816!B20,INDIRECT("'"&amp;D4&amp;"'"&amp;"!B:B"))</f>
        <v>38579</v>
      </c>
      <c r="E20" s="1901"/>
      <c r="F20" s="1138" t="s">
        <v>1735</v>
      </c>
      <c r="G20" s="144">
        <f ca="1">ROUND(C20*$C$18+D20*$D$18,0)</f>
        <v>38048</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2.8301886792452935E-2</v>
      </c>
      <c r="E22" s="134"/>
      <c r="F22" s="134"/>
      <c r="G22" s="134"/>
      <c r="H22" s="134"/>
      <c r="I22" s="134"/>
    </row>
    <row r="23" spans="1:36" ht="13.5" thickBot="1">
      <c r="A23" s="1884"/>
      <c r="B23" s="1884"/>
      <c r="C23" s="1884"/>
      <c r="D23" s="1884"/>
      <c r="E23" s="134"/>
      <c r="F23" s="134"/>
      <c r="G23" s="134"/>
      <c r="H23" s="134"/>
      <c r="I23" s="134"/>
    </row>
    <row r="24" spans="1:36" ht="14.25">
      <c r="A24" s="3448" t="s">
        <v>1739</v>
      </c>
      <c r="B24" s="1899" t="s">
        <v>1731</v>
      </c>
      <c r="C24" s="141">
        <f>IF(B30=0,0,D30)</f>
        <v>0</v>
      </c>
      <c r="D24" s="1906"/>
      <c r="E24" s="134"/>
      <c r="F24" s="134"/>
      <c r="G24" s="134"/>
      <c r="H24" s="134"/>
      <c r="I24" s="134"/>
    </row>
    <row r="25" spans="1:36" ht="14.25">
      <c r="A25" s="344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38048</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425" t="s">
        <v>1752</v>
      </c>
      <c r="B36" s="1924" t="s">
        <v>1753</v>
      </c>
      <c r="C36" s="150"/>
      <c r="D36" s="1925"/>
      <c r="E36" s="1926"/>
      <c r="F36" s="1927"/>
      <c r="G36" s="134"/>
      <c r="H36" s="134"/>
      <c r="I36" s="134"/>
    </row>
    <row r="37" spans="1:15" ht="15.75" thickBot="1">
      <c r="A37" s="3426"/>
      <c r="B37" s="1811" t="s">
        <v>1754</v>
      </c>
      <c r="C37" s="152"/>
      <c r="D37" s="1254"/>
      <c r="E37" s="1254"/>
      <c r="F37" s="1927"/>
      <c r="G37" s="134"/>
      <c r="H37" s="134"/>
      <c r="I37" s="134"/>
    </row>
    <row r="38" spans="1:15" ht="15.75" thickBot="1">
      <c r="A38" s="3427"/>
      <c r="B38" s="1928" t="s">
        <v>1755</v>
      </c>
      <c r="C38" s="683"/>
      <c r="D38" s="1929" t="s">
        <v>1756</v>
      </c>
      <c r="E38" s="1254"/>
      <c r="F38" s="1927"/>
      <c r="G38" s="134"/>
      <c r="H38" s="134"/>
      <c r="I38" s="134"/>
    </row>
    <row r="39" spans="1:15" ht="15">
      <c r="A39" s="1901" t="s">
        <v>1757</v>
      </c>
      <c r="B39" s="1930" t="s">
        <v>1758</v>
      </c>
      <c r="C39" s="1931" t="s">
        <v>1759</v>
      </c>
      <c r="D39" s="1931" t="s">
        <v>1760</v>
      </c>
      <c r="E39" s="1932" t="s">
        <v>1761</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445" t="s">
        <v>1766</v>
      </c>
      <c r="B45" s="3446"/>
      <c r="C45" s="3447"/>
      <c r="D45" s="160">
        <f ca="1">ROUND(H101*F45,0)</f>
        <v>860</v>
      </c>
      <c r="E45" s="161" t="s">
        <v>1767</v>
      </c>
      <c r="F45" s="162">
        <v>1</v>
      </c>
      <c r="G45" s="163" t="s">
        <v>1768</v>
      </c>
      <c r="H45" s="134"/>
      <c r="I45" s="134"/>
      <c r="J45" s="3362" t="s">
        <v>1769</v>
      </c>
      <c r="K45" s="3362"/>
      <c r="L45" s="3362"/>
      <c r="M45" s="3362"/>
      <c r="N45" s="3362"/>
      <c r="O45" s="3362"/>
    </row>
    <row r="46" spans="1:15" ht="14.25" customHeight="1">
      <c r="A46" s="3442" t="s">
        <v>1770</v>
      </c>
      <c r="B46" s="3443"/>
      <c r="C46" s="3443"/>
      <c r="D46" s="3443"/>
      <c r="E46" s="3443"/>
      <c r="F46" s="3443"/>
      <c r="G46" s="3444"/>
      <c r="H46" s="1943"/>
      <c r="I46" s="164"/>
      <c r="J46" s="2699">
        <v>1</v>
      </c>
      <c r="K46" s="3363" t="s">
        <v>1771</v>
      </c>
      <c r="L46" s="3363"/>
      <c r="M46" s="3364"/>
      <c r="N46" s="3364"/>
      <c r="O46" s="3364"/>
    </row>
    <row r="47" spans="1:15" ht="12" customHeight="1">
      <c r="A47" s="165" t="s">
        <v>1772</v>
      </c>
      <c r="B47" s="166"/>
      <c r="C47" s="167"/>
      <c r="D47" s="1200" t="s">
        <v>1773</v>
      </c>
      <c r="E47" s="308" t="s">
        <v>1774</v>
      </c>
      <c r="F47" s="168" t="s">
        <v>1775</v>
      </c>
      <c r="G47" s="2722" t="s">
        <v>1776</v>
      </c>
      <c r="H47" s="2723"/>
      <c r="I47" s="164"/>
      <c r="J47" s="2699">
        <v>2</v>
      </c>
      <c r="K47" s="3363" t="s">
        <v>1777</v>
      </c>
      <c r="L47" s="3363"/>
      <c r="M47" s="3365">
        <f>'数据-取费表'!B2</f>
        <v>44733</v>
      </c>
      <c r="N47" s="3365"/>
      <c r="O47" s="3365"/>
    </row>
    <row r="48" spans="1:15" ht="25.5">
      <c r="A48" s="3428" t="s">
        <v>1778</v>
      </c>
      <c r="B48" s="3429"/>
      <c r="C48" s="342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1779</v>
      </c>
      <c r="H48" s="2726"/>
      <c r="I48" s="1943"/>
      <c r="J48" s="2699">
        <v>3</v>
      </c>
      <c r="K48" s="3363" t="s">
        <v>1780</v>
      </c>
      <c r="L48" s="3363"/>
      <c r="M48" s="3366">
        <f ca="1">H101</f>
        <v>860</v>
      </c>
      <c r="N48" s="3366"/>
      <c r="O48" s="3366"/>
    </row>
    <row r="49" spans="1:35" ht="25.5" customHeight="1">
      <c r="A49" s="2507" t="s">
        <v>1781</v>
      </c>
      <c r="B49" s="3411" t="s">
        <v>1782</v>
      </c>
      <c r="C49" s="3411"/>
      <c r="D49" s="1726">
        <v>0</v>
      </c>
      <c r="E49" s="330" t="s">
        <v>1783</v>
      </c>
      <c r="F49" s="2600" t="s">
        <v>34</v>
      </c>
      <c r="G49" s="3394"/>
      <c r="H49" s="2479" t="s">
        <v>2630</v>
      </c>
      <c r="I49" s="2480"/>
      <c r="J49" s="2699">
        <v>4</v>
      </c>
      <c r="K49" s="3363" t="str">
        <f>IF(项目基本情况!E8="房地产抵押价值","房地产抵押价值","抵押担保权已注销时的房地产抵押价值")</f>
        <v>房地产抵押价值</v>
      </c>
      <c r="L49" s="3363"/>
      <c r="M49" s="3366">
        <f ca="1">IF(项目基本情况!E8="房地产抵押价值",H107,H109)</f>
        <v>860</v>
      </c>
      <c r="N49" s="3366"/>
      <c r="O49" s="3366"/>
    </row>
    <row r="50" spans="1:35" ht="25.5" customHeight="1">
      <c r="A50" s="2727"/>
      <c r="B50" s="3411" t="s">
        <v>1784</v>
      </c>
      <c r="C50" s="3411"/>
      <c r="D50" s="2728"/>
      <c r="E50" s="338"/>
      <c r="F50" s="2600"/>
      <c r="G50" s="3395"/>
      <c r="H50" s="2481" t="s">
        <v>2631</v>
      </c>
      <c r="I50" s="2480"/>
      <c r="J50" s="3362" t="s">
        <v>1785</v>
      </c>
      <c r="K50" s="3362"/>
      <c r="L50" s="3362"/>
      <c r="M50" s="3362"/>
      <c r="N50" s="3362"/>
      <c r="O50" s="3362"/>
    </row>
    <row r="51" spans="1:35" ht="20.45" customHeight="1">
      <c r="A51" s="2729"/>
      <c r="B51" s="3411" t="s">
        <v>1786</v>
      </c>
      <c r="C51" s="3411"/>
      <c r="D51" s="1200"/>
      <c r="E51" s="333"/>
      <c r="F51" s="2600"/>
      <c r="G51" s="3396"/>
      <c r="H51" s="2481" t="s">
        <v>2632</v>
      </c>
      <c r="I51" s="2480"/>
      <c r="J51" s="2700" t="s">
        <v>1787</v>
      </c>
      <c r="K51" s="3363" t="s">
        <v>1788</v>
      </c>
      <c r="L51" s="3363"/>
      <c r="M51" s="2700" t="s">
        <v>1789</v>
      </c>
      <c r="N51" s="2700" t="s">
        <v>1790</v>
      </c>
      <c r="O51" s="2700" t="s">
        <v>1791</v>
      </c>
    </row>
    <row r="52" spans="1:35" ht="24" customHeight="1">
      <c r="A52" s="2509" t="s">
        <v>1792</v>
      </c>
      <c r="B52" s="3411" t="s">
        <v>1793</v>
      </c>
      <c r="C52" s="3411"/>
      <c r="D52" s="1200">
        <f ca="1">ROUND(D45*'数据-取费表'!B41/(1+'数据-取费表'!C42),0)</f>
        <v>46</v>
      </c>
      <c r="E52" s="2508" t="s">
        <v>1794</v>
      </c>
      <c r="F52" s="2730">
        <f>'数据-取费表'!B41</f>
        <v>5.6000000000000001E-2</v>
      </c>
      <c r="G52" s="2731"/>
      <c r="H52" s="2720"/>
      <c r="I52" s="1944"/>
      <c r="J52" s="2699">
        <v>1</v>
      </c>
      <c r="K52" s="3388" t="s">
        <v>1795</v>
      </c>
      <c r="L52" s="3388"/>
      <c r="M52" s="2701" t="b">
        <f>D48</f>
        <v>0</v>
      </c>
      <c r="N52" s="2699" t="str">
        <f>E48</f>
        <v>销售额×税（费）率</v>
      </c>
      <c r="O52" s="2702">
        <f>F48</f>
        <v>5.6000000000000001E-2</v>
      </c>
    </row>
    <row r="53" spans="1:35" ht="12" customHeight="1">
      <c r="A53" s="2509" t="s">
        <v>1796</v>
      </c>
      <c r="B53" s="3412" t="s">
        <v>2787</v>
      </c>
      <c r="C53" s="3413"/>
      <c r="D53" s="1200">
        <f ca="1">ROUND(D45*'数据-取费表'!B41/(1+'数据-取费表'!C42),0)</f>
        <v>46</v>
      </c>
      <c r="E53" s="2508" t="s">
        <v>1794</v>
      </c>
      <c r="F53" s="2730">
        <f>'数据-取费表'!B41</f>
        <v>5.6000000000000001E-2</v>
      </c>
      <c r="G53" s="2731"/>
      <c r="H53" s="2720"/>
      <c r="I53" s="1944"/>
      <c r="J53" s="2699">
        <v>2</v>
      </c>
      <c r="K53" s="3388" t="s">
        <v>1797</v>
      </c>
      <c r="L53" s="3388"/>
      <c r="M53" s="2701">
        <f t="shared" ref="M53:O54" ca="1" si="0">D55</f>
        <v>0</v>
      </c>
      <c r="N53" s="2699" t="str">
        <f t="shared" si="0"/>
        <v>销售额×税（费）率</v>
      </c>
      <c r="O53" s="2702" t="str">
        <f t="shared" si="0"/>
        <v>免征</v>
      </c>
    </row>
    <row r="54" spans="1:35" ht="12" customHeight="1">
      <c r="A54" s="2509" t="s">
        <v>1798</v>
      </c>
      <c r="B54" s="3412" t="s">
        <v>2788</v>
      </c>
      <c r="C54" s="3413"/>
      <c r="D54" s="1200">
        <f ca="1">C68</f>
        <v>46</v>
      </c>
      <c r="E54" s="333" t="s">
        <v>1799</v>
      </c>
      <c r="F54" s="2730">
        <f>'数据-取费表'!B41</f>
        <v>5.6000000000000001E-2</v>
      </c>
      <c r="G54" s="2731"/>
      <c r="H54" s="2732"/>
      <c r="I54" s="1944"/>
      <c r="J54" s="2699">
        <v>3</v>
      </c>
      <c r="K54" s="3388" t="s">
        <v>1800</v>
      </c>
      <c r="L54" s="3388"/>
      <c r="M54" s="2701">
        <f t="shared" ca="1" si="0"/>
        <v>487</v>
      </c>
      <c r="N54" s="2699" t="str">
        <f t="shared" si="0"/>
        <v>增值额×税（费）率</v>
      </c>
      <c r="O54" s="2703" t="str">
        <f t="shared" si="0"/>
        <v>免征</v>
      </c>
    </row>
    <row r="55" spans="1:35" ht="24" customHeight="1">
      <c r="A55" s="3451" t="s">
        <v>1801</v>
      </c>
      <c r="B55" s="3429"/>
      <c r="C55" s="3429"/>
      <c r="D55" s="2498">
        <f ca="1">IF(H55="个人住宅",0,ROUND(D45*I55,0))</f>
        <v>0</v>
      </c>
      <c r="E55" s="2508" t="s">
        <v>1802</v>
      </c>
      <c r="F55" s="2730" t="str">
        <f>IF(H55="正常",I55,"免征")</f>
        <v>免征</v>
      </c>
      <c r="G55" s="2731"/>
      <c r="H55" s="2726"/>
      <c r="I55" s="170">
        <f>'数据-取费表'!B49</f>
        <v>5.0000000000000001E-4</v>
      </c>
      <c r="J55" s="2699">
        <f>IF(H59="非个人房产","",4)</f>
        <v>4</v>
      </c>
      <c r="K55" s="3388" t="str">
        <f>IF(H59="非个人房产","——","个人所得税")</f>
        <v>个人所得税</v>
      </c>
      <c r="L55" s="3388"/>
      <c r="M55" s="2704">
        <f ca="1">D59</f>
        <v>8</v>
      </c>
      <c r="N55" s="2179" t="str">
        <f>E59</f>
        <v>差额计税</v>
      </c>
      <c r="O55" s="2705">
        <f>F59</f>
        <v>0.01</v>
      </c>
    </row>
    <row r="56" spans="1:35" ht="24.75">
      <c r="A56" s="3451" t="s">
        <v>1803</v>
      </c>
      <c r="B56" s="3429"/>
      <c r="C56" s="3429"/>
      <c r="D56" s="2498">
        <f ca="1">IF(H56="个人住宅",D57,D58)</f>
        <v>487</v>
      </c>
      <c r="E56" s="2508" t="s">
        <v>1804</v>
      </c>
      <c r="F56" s="2730" t="str">
        <f>IF(H56="正常",F58,"免征")</f>
        <v>免征</v>
      </c>
      <c r="G56" s="2733" t="s">
        <v>1805</v>
      </c>
      <c r="H56" s="2734"/>
      <c r="I56" s="1945"/>
      <c r="J56" s="2699" t="str">
        <f>IF(项目基本情况!K6="上海银行",IF(J55="",4,J55+1),"")</f>
        <v/>
      </c>
      <c r="K56" s="3369" t="str">
        <f>IF(项目基本情况!K6="上海银行","其他处置费用","")</f>
        <v/>
      </c>
      <c r="L56" s="3370"/>
      <c r="M56" s="2701" t="str">
        <f>IF(项目基本情况!K6="上海银行",M69,"")</f>
        <v/>
      </c>
      <c r="N56" s="3369" t="str">
        <f>IF(项目基本情况!K6="上海银行","包含处置中涉及的律师、诉讼、拍卖、评估等费用","")</f>
        <v/>
      </c>
      <c r="O56" s="3372"/>
    </row>
    <row r="57" spans="1:35" ht="12.75">
      <c r="A57" s="2509" t="s">
        <v>1781</v>
      </c>
      <c r="B57" s="3412" t="s">
        <v>1806</v>
      </c>
      <c r="C57" s="3413"/>
      <c r="D57" s="1726">
        <v>0</v>
      </c>
      <c r="E57" s="330" t="s">
        <v>1783</v>
      </c>
      <c r="F57" s="308"/>
      <c r="G57" s="2731"/>
      <c r="H57" s="2735"/>
      <c r="I57" s="1945"/>
      <c r="J57" s="3388">
        <f>IF(AND(J55="",J56=""),4,IF(项目基本情况!K6="上海银行",结果表816!J56+1,结果表816!J55+1))</f>
        <v>5</v>
      </c>
      <c r="K57" s="3388" t="s">
        <v>1807</v>
      </c>
      <c r="L57" s="2706" t="s">
        <v>1808</v>
      </c>
      <c r="M57" s="2707"/>
      <c r="N57" s="2708">
        <f ca="1">SUMIF(M52:M56,"&lt;9e307")</f>
        <v>495</v>
      </c>
      <c r="O57" s="2709"/>
      <c r="P57" s="2869">
        <f ca="1">N57/M49</f>
        <v>0.57558139534883723</v>
      </c>
    </row>
    <row r="58" spans="1:35" ht="24.75">
      <c r="A58" s="2509" t="s">
        <v>1792</v>
      </c>
      <c r="B58" s="3412" t="s">
        <v>1809</v>
      </c>
      <c r="C58" s="3411"/>
      <c r="D58" s="2498">
        <f ca="1">IF(H58="转让取得",C81,C97)</f>
        <v>487</v>
      </c>
      <c r="E58" s="2508" t="s">
        <v>1804</v>
      </c>
      <c r="F58" s="308" t="s">
        <v>34</v>
      </c>
      <c r="G58" s="2731"/>
      <c r="H58" s="2734"/>
      <c r="I58" s="1945"/>
      <c r="J58" s="3388"/>
      <c r="K58" s="3388"/>
      <c r="L58" s="2706" t="s">
        <v>1810</v>
      </c>
      <c r="M58" s="2710"/>
      <c r="N58" s="2711" t="str">
        <f ca="1">NUMBERSTRING(INT(N57*10000),2)&amp;"元整"</f>
        <v>肆佰玖拾伍万元整</v>
      </c>
      <c r="O58" s="2712"/>
    </row>
    <row r="59" spans="1:35" ht="24.75" thickBot="1">
      <c r="A59" s="3392" t="s">
        <v>1811</v>
      </c>
      <c r="B59" s="3393"/>
      <c r="C59" s="3393"/>
      <c r="D59" s="2736">
        <f ca="1">IF(H59="非个人房产","——",IF(H59="个人住宅（满五唯一有凭证）",0,IF(H59="个人其他（无凭证）",ROUND(D45*F59,0),ROUND(C67*F59,0))))</f>
        <v>8</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390">
        <f>J57+1</f>
        <v>6</v>
      </c>
      <c r="K59" s="3388" t="s">
        <v>1812</v>
      </c>
      <c r="L59" s="2699" t="s">
        <v>1808</v>
      </c>
      <c r="M59" s="2713"/>
      <c r="N59" s="2714">
        <f ca="1">M49-N57</f>
        <v>365</v>
      </c>
      <c r="O59" s="2715"/>
    </row>
    <row r="60" spans="1:35" ht="12" customHeight="1">
      <c r="A60" s="1946"/>
      <c r="B60" s="1884"/>
      <c r="C60" s="1884"/>
      <c r="D60" s="1884"/>
      <c r="E60" s="1714"/>
      <c r="F60" s="1945"/>
      <c r="G60" s="1945"/>
      <c r="H60" s="1947"/>
      <c r="I60" s="134"/>
      <c r="J60" s="3391"/>
      <c r="K60" s="3388"/>
      <c r="L60" s="2706" t="s">
        <v>1810</v>
      </c>
      <c r="M60" s="2710"/>
      <c r="N60" s="2711" t="str">
        <f ca="1">NUMBERSTRING(INT(N59*10000),2)&amp;"元整"</f>
        <v>叁佰陆拾伍万元整</v>
      </c>
      <c r="O60" s="2712"/>
    </row>
    <row r="61" spans="1:35" ht="13.5" thickBot="1">
      <c r="A61" s="3450" t="s">
        <v>1813</v>
      </c>
      <c r="B61" s="3450"/>
      <c r="C61" s="3450"/>
      <c r="D61" s="3450"/>
      <c r="E61" s="3450"/>
      <c r="F61" s="1945"/>
      <c r="G61" s="1945"/>
      <c r="H61" s="1947"/>
      <c r="I61" s="134"/>
      <c r="J61" s="2699">
        <f>J59+1</f>
        <v>7</v>
      </c>
      <c r="K61" s="3388" t="s">
        <v>1814</v>
      </c>
      <c r="L61" s="3388"/>
      <c r="M61" s="2716"/>
      <c r="N61" s="2717">
        <f ca="1">ROUND(N59*10000/'数据-汇总表'!E3,0)</f>
        <v>9762</v>
      </c>
      <c r="O61" s="2718"/>
    </row>
    <row r="62" spans="1:35" ht="12.75">
      <c r="A62" s="3407" t="s">
        <v>1815</v>
      </c>
      <c r="B62" s="3408"/>
      <c r="C62" s="2160"/>
      <c r="D62" s="2160" t="s">
        <v>1816</v>
      </c>
      <c r="E62" s="171" t="s">
        <v>1817</v>
      </c>
      <c r="F62" s="1945"/>
      <c r="G62" s="1945"/>
      <c r="H62" s="1947"/>
      <c r="I62" s="134"/>
    </row>
    <row r="63" spans="1:35" ht="12.75">
      <c r="A63" s="178" t="s">
        <v>594</v>
      </c>
      <c r="B63" s="172" t="s">
        <v>1818</v>
      </c>
      <c r="C63" s="2740">
        <f ca="1">ROUND((C64+C65)/(1+'数据-取费表'!C42),0)</f>
        <v>819</v>
      </c>
      <c r="D63" s="172"/>
      <c r="E63" s="173"/>
      <c r="F63" s="1945"/>
      <c r="G63" s="1945"/>
      <c r="H63" s="1947"/>
      <c r="I63" s="134"/>
      <c r="J63" s="3371" t="s">
        <v>1819</v>
      </c>
      <c r="K63" s="1453" t="s">
        <v>1820</v>
      </c>
      <c r="L63" s="1453">
        <f ca="1">IF(M49&gt;10000,M49*0.5%,IF(AND(M49&gt;1000,M49&lt;=10000),M49*1%,IF(AND(M49&gt;100,M49&lt;=1000),M49*3%,IF(AND(M49&gt;10,M49&lt;=100),M49*5%,M49*8%))))</f>
        <v>25.8</v>
      </c>
      <c r="M63" s="308">
        <f ca="1">ROUND(L63,1)</f>
        <v>25.8</v>
      </c>
      <c r="N63" s="2719"/>
      <c r="Z63" s="1889"/>
      <c r="AI63" s="1890"/>
    </row>
    <row r="64" spans="1:35" ht="14.25" customHeight="1">
      <c r="A64" s="174" t="s">
        <v>589</v>
      </c>
      <c r="B64" s="175" t="s">
        <v>1821</v>
      </c>
      <c r="C64" s="2741">
        <f ca="1">D45</f>
        <v>860</v>
      </c>
      <c r="D64" s="175" t="s">
        <v>32</v>
      </c>
      <c r="E64" s="177"/>
      <c r="F64" s="1945"/>
      <c r="G64" s="1945"/>
      <c r="H64" s="1947"/>
      <c r="I64" s="134"/>
      <c r="J64" s="3371"/>
      <c r="K64" s="1453" t="s">
        <v>1822</v>
      </c>
      <c r="L64" s="1453">
        <f ca="1">IF(M49&gt;2000,M49*0.5%,IF(AND(M49&gt;1000,M49&lt;=2000),M49*0.6%,IF(AND(M49&gt;500,M49&lt;=1000),M49*0.7%,IF(AND(M49&gt;200,M49&lt;=500),M49*0.8%,IF(AND(M49&gt;100,M49&lt;=200),M49*0.9%,IF(AND(M49&gt;50,M49&lt;=100),M49*1%,IF(AND(M49&gt;20,M49&lt;=50),M49*1.5%,IF(AND(M49&gt;10,M49&lt;=20),M49*2%,IF(AND(M49&gt;1,M49&lt;=10),M49*2.5%)))))))))</f>
        <v>6.02</v>
      </c>
      <c r="M64" s="308">
        <f t="shared" ref="M64:M65" ca="1" si="1">ROUND(L64,1)</f>
        <v>6</v>
      </c>
      <c r="N64" s="2720" t="s">
        <v>1823</v>
      </c>
      <c r="Z64" s="1889"/>
      <c r="AI64" s="1890"/>
    </row>
    <row r="65" spans="1:35" ht="14.25" customHeight="1">
      <c r="A65" s="174" t="s">
        <v>590</v>
      </c>
      <c r="B65" s="175" t="s">
        <v>1824</v>
      </c>
      <c r="C65" s="2742"/>
      <c r="D65" s="175"/>
      <c r="E65" s="177"/>
      <c r="F65" s="1945"/>
      <c r="G65" s="1945"/>
      <c r="H65" s="1947"/>
      <c r="I65" s="134"/>
      <c r="J65" s="3371"/>
      <c r="K65" s="1453" t="s">
        <v>1825</v>
      </c>
      <c r="L65" s="1453">
        <f ca="1">IF(M49&gt;1000,M49*0.1%,IF(AND(M49&gt;500,M49&lt;=1000),M49*0.5%,IF(AND(M49&gt;50,M49&lt;=500),M49*1%,IF(AND(M49&gt;1,M49&lt;=50),M49*1.5%))))</f>
        <v>4.3</v>
      </c>
      <c r="M65" s="308">
        <f t="shared" ca="1" si="1"/>
        <v>4.3</v>
      </c>
      <c r="N65" s="2720" t="s">
        <v>1823</v>
      </c>
      <c r="Z65" s="1889"/>
      <c r="AI65" s="1890"/>
    </row>
    <row r="66" spans="1:35" ht="14.25" customHeight="1">
      <c r="A66" s="178" t="s">
        <v>591</v>
      </c>
      <c r="B66" s="179" t="s">
        <v>1826</v>
      </c>
      <c r="C66" s="2743"/>
      <c r="D66" s="179" t="s">
        <v>32</v>
      </c>
      <c r="E66" s="1460" t="s">
        <v>1092</v>
      </c>
      <c r="F66" s="1945"/>
      <c r="G66" s="1945"/>
      <c r="H66" s="1947"/>
      <c r="I66" s="134"/>
      <c r="J66" s="3371"/>
      <c r="K66" s="1453" t="s">
        <v>1827</v>
      </c>
      <c r="L66" s="1453">
        <f ca="1">M49*0.5%</f>
        <v>4.3</v>
      </c>
      <c r="M66" s="308">
        <f ca="1">IF(L66&gt;0.5,0.5,ROUND(L66,0))</f>
        <v>0.5</v>
      </c>
      <c r="N66" s="2720" t="s">
        <v>1828</v>
      </c>
      <c r="Z66" s="1889"/>
      <c r="AI66" s="1890"/>
    </row>
    <row r="67" spans="1:35" ht="14.25" customHeight="1">
      <c r="A67" s="178" t="s">
        <v>592</v>
      </c>
      <c r="B67" s="179" t="s">
        <v>1829</v>
      </c>
      <c r="C67" s="2744">
        <f ca="1">C63-C66</f>
        <v>819</v>
      </c>
      <c r="D67" s="175" t="s">
        <v>32</v>
      </c>
      <c r="E67" s="177"/>
      <c r="F67" s="1945"/>
      <c r="G67" s="1945"/>
      <c r="H67" s="1947"/>
      <c r="I67" s="134"/>
      <c r="J67" s="3371"/>
      <c r="K67" s="1453" t="s">
        <v>1830</v>
      </c>
      <c r="L67" s="1453">
        <f ca="1">IF(M49&gt;=10000,(8.25+(M49-10000)*0.01%),IF(AND(M49&gt;=8000,M49&lt;10000),(7.85+(M49-8000)*0.02%),IF(AND(M49&gt;=5000,M49&lt;8000),(6.65+(M49-5000)*0.04%),IF(AND(M49&gt;=2000,M49&lt;5000),(4.25+(PM49-2000)*0.08%),IF(AND(M49&gt;=1000,M49&lt;2000),(2.75+(M49-1000)*0.15%),IF(AND(M49&gt;=100,M49&lt;1000),(0.5+(M49-100)*0.25%),IF(AND(M49&gt;0,M49&lt;100),M49*0.5%)))))))</f>
        <v>2.4000000000000004</v>
      </c>
      <c r="M67" s="308">
        <f ca="1">ROUND(L67*0.9,1)</f>
        <v>2.2000000000000002</v>
      </c>
      <c r="N67" s="2719"/>
      <c r="Z67" s="1889"/>
      <c r="AI67" s="1890"/>
    </row>
    <row r="68" spans="1:35" ht="14.25" customHeight="1" thickBot="1">
      <c r="A68" s="181" t="s">
        <v>593</v>
      </c>
      <c r="B68" s="182" t="s">
        <v>1831</v>
      </c>
      <c r="C68" s="2745">
        <f ca="1">IF(C67&lt;=0,0,ROUND(C67*D68,0))</f>
        <v>46</v>
      </c>
      <c r="D68" s="2746">
        <f>'数据-取费表'!B41</f>
        <v>5.6000000000000001E-2</v>
      </c>
      <c r="E68" s="184"/>
      <c r="F68" s="1945"/>
      <c r="G68" s="1945"/>
      <c r="H68" s="1947"/>
      <c r="I68" s="134"/>
      <c r="J68" s="3371"/>
      <c r="K68" s="1453" t="s">
        <v>1832</v>
      </c>
      <c r="L68" s="1453">
        <f ca="1">IF(M49&gt;10000,M49*0.5%,IF(AND(M49&gt;5000,M49&lt;=10000),M49*1%,IF(AND(M49&gt;1000,M49&lt;=5000),M49*2%,IF(AND(M49&gt;200,M49&lt;=1000),M49*3%,M49*5%))))</f>
        <v>25.8</v>
      </c>
      <c r="M68" s="308">
        <f ca="1">ROUND(L68,1)</f>
        <v>25.8</v>
      </c>
      <c r="N68" s="2719"/>
      <c r="Z68" s="1889"/>
      <c r="AI68" s="1890"/>
    </row>
    <row r="69" spans="1:35" s="1909" customFormat="1" ht="16.5" customHeight="1">
      <c r="A69" s="1948"/>
      <c r="B69" s="1949"/>
      <c r="C69" s="1950"/>
      <c r="D69" s="1951"/>
      <c r="E69" s="1952"/>
      <c r="F69" s="1714"/>
      <c r="G69" s="1714"/>
      <c r="H69" s="1713"/>
      <c r="I69" s="1884"/>
      <c r="J69" s="3371"/>
      <c r="K69" s="1453" t="s">
        <v>1833</v>
      </c>
      <c r="L69" s="1453"/>
      <c r="M69" s="308">
        <f ca="1">ROUND(SUM(M63:M68),0)</f>
        <v>65</v>
      </c>
      <c r="N69" s="2721">
        <f ca="1">M69/M49</f>
        <v>7.5581395348837205E-2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5" t="s">
        <v>1834</v>
      </c>
      <c r="B70" s="3416"/>
      <c r="C70" s="3416"/>
      <c r="D70" s="3416"/>
      <c r="E70" s="3416"/>
      <c r="F70" s="3416"/>
      <c r="G70" s="3416"/>
      <c r="H70" s="341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7" t="s">
        <v>1815</v>
      </c>
      <c r="B71" s="3408"/>
      <c r="C71" s="2160"/>
      <c r="D71" s="2160"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819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412" t="s">
        <v>1842</v>
      </c>
      <c r="F76" s="3411"/>
      <c r="G76" s="3411"/>
      <c r="H76" s="341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2498" t="s">
        <v>1844</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5</v>
      </c>
      <c r="D78" s="2753">
        <f>'数据-取费表'!B43</f>
        <v>6.000000000000001E-3</v>
      </c>
      <c r="E78" s="3404" t="s">
        <v>1846</v>
      </c>
      <c r="F78" s="3405"/>
      <c r="G78" s="3405"/>
      <c r="H78" s="340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814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162.80000000000001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487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5" t="s">
        <v>1850</v>
      </c>
      <c r="B83" s="3416"/>
      <c r="C83" s="3416"/>
      <c r="D83" s="3416"/>
      <c r="E83" s="3416"/>
      <c r="F83" s="3416"/>
      <c r="G83" s="3416"/>
      <c r="H83" s="341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7" t="s">
        <v>1815</v>
      </c>
      <c r="B84" s="3408"/>
      <c r="C84" s="2160"/>
      <c r="D84" s="2160"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819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2501"/>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2501"/>
      <c r="G90" s="3373" t="s">
        <v>2625</v>
      </c>
      <c r="H90" s="3374"/>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404" t="s">
        <v>1859</v>
      </c>
      <c r="F91" s="3405"/>
      <c r="G91" s="340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404" t="s">
        <v>1862</v>
      </c>
      <c r="F92" s="3405"/>
      <c r="G92" s="3405"/>
      <c r="H92" s="3406"/>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5</v>
      </c>
      <c r="D93" s="2753">
        <f>'数据-取费表'!B43</f>
        <v>6.000000000000001E-3</v>
      </c>
      <c r="E93" s="3404" t="s">
        <v>1846</v>
      </c>
      <c r="F93" s="3405"/>
      <c r="G93" s="3405"/>
      <c r="H93" s="340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452" t="s">
        <v>1866</v>
      </c>
      <c r="F94" s="3453"/>
      <c r="G94" s="3453"/>
      <c r="H94" s="34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814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162.80000000000001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487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89"/>
      <c r="E100" s="3355" t="s">
        <v>1869</v>
      </c>
      <c r="F100" s="3355"/>
      <c r="G100" s="3355"/>
      <c r="H100" s="3389"/>
      <c r="I100" s="134"/>
    </row>
    <row r="101" spans="1:35" ht="18.75" customHeight="1">
      <c r="A101" s="3397" t="s">
        <v>1870</v>
      </c>
      <c r="B101" s="3398"/>
      <c r="C101" s="2761" t="str">
        <f>C4</f>
        <v>比较法-办公816</v>
      </c>
      <c r="D101" s="2762" t="str">
        <f>D4</f>
        <v>收益法 (元)816</v>
      </c>
      <c r="E101" s="3367" t="s">
        <v>1871</v>
      </c>
      <c r="F101" s="3368"/>
      <c r="G101" s="1964" t="s">
        <v>1872</v>
      </c>
      <c r="H101" s="2771">
        <f ca="1">H118</f>
        <v>860</v>
      </c>
      <c r="I101" s="134"/>
    </row>
    <row r="102" spans="1:35" ht="18.75" customHeight="1">
      <c r="A102" s="3399" t="s">
        <v>1873</v>
      </c>
      <c r="B102" s="2760" t="s">
        <v>1872</v>
      </c>
      <c r="C102" s="2761">
        <f ca="1">C19</f>
        <v>848</v>
      </c>
      <c r="D102" s="2762">
        <f ca="1">D19</f>
        <v>872</v>
      </c>
      <c r="E102" s="3367"/>
      <c r="F102" s="3368"/>
      <c r="G102" s="1964" t="s">
        <v>1874</v>
      </c>
      <c r="H102" s="2731">
        <f ca="1">I118</f>
        <v>38048</v>
      </c>
      <c r="I102" s="134"/>
    </row>
    <row r="103" spans="1:35" ht="42.75" customHeight="1">
      <c r="A103" s="3399"/>
      <c r="B103" s="2760" t="s">
        <v>1874</v>
      </c>
      <c r="C103" s="2763">
        <f ca="1">C20</f>
        <v>37517</v>
      </c>
      <c r="D103" s="2764">
        <f ca="1">D20</f>
        <v>38579</v>
      </c>
      <c r="E103" s="3360" t="s">
        <v>1875</v>
      </c>
      <c r="F103" s="3361"/>
      <c r="G103" s="1965" t="s">
        <v>1876</v>
      </c>
      <c r="H103" s="2771">
        <f>IF(D36="正常操作",H104+H105+H106,H105+H106)</f>
        <v>0</v>
      </c>
      <c r="I103" s="134"/>
    </row>
    <row r="104" spans="1:35" ht="18.75" customHeight="1">
      <c r="A104" s="3399" t="s">
        <v>1877</v>
      </c>
      <c r="B104" s="2765" t="s">
        <v>1872</v>
      </c>
      <c r="C104" s="2766">
        <f ca="1">H118</f>
        <v>860</v>
      </c>
      <c r="D104" s="2767"/>
      <c r="E104" s="1811" t="s">
        <v>1878</v>
      </c>
      <c r="F104" s="1802"/>
      <c r="G104" s="1965" t="s">
        <v>1876</v>
      </c>
      <c r="H104" s="2772">
        <f>IF(D36="同一抵押权人同一抵押物续贷",C36&amp;"（续贷，未扣减，详见特别提示）",C36)</f>
        <v>0</v>
      </c>
      <c r="I104" s="134"/>
    </row>
    <row r="105" spans="1:35" ht="18.75" customHeight="1" thickBot="1">
      <c r="A105" s="3409"/>
      <c r="B105" s="2768" t="s">
        <v>1874</v>
      </c>
      <c r="C105" s="2769">
        <f ca="1">I118</f>
        <v>38048</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0" t="str">
        <f>IF(项目基本情况!E8="已注销","——","3.房地产抵押价值")</f>
        <v>3.房地产抵押价值</v>
      </c>
      <c r="F107" s="3368"/>
      <c r="G107" s="1964" t="s">
        <v>1872</v>
      </c>
      <c r="H107" s="2771">
        <f ca="1">IF(E107="——","——",H101-H103)</f>
        <v>860</v>
      </c>
      <c r="I107" s="134"/>
    </row>
    <row r="108" spans="1:35" ht="18.75" customHeight="1">
      <c r="A108" s="134"/>
      <c r="B108" s="134"/>
      <c r="C108" s="134"/>
      <c r="D108" s="134"/>
      <c r="E108" s="3400"/>
      <c r="F108" s="3368"/>
      <c r="G108" s="1964" t="s">
        <v>1874</v>
      </c>
      <c r="H108" s="2731">
        <f ca="1">ROUND(H107*10000/'数据-汇总表'!E3,0)</f>
        <v>23002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4" t="s">
        <v>1872</v>
      </c>
      <c r="H109" s="2774" t="str">
        <f>IF(E109="——","——",H101-H105-H106)</f>
        <v>——</v>
      </c>
      <c r="I109" s="134"/>
    </row>
    <row r="110" spans="1:35" ht="18.75" customHeight="1">
      <c r="A110" s="134"/>
      <c r="B110" s="134"/>
      <c r="C110" s="134"/>
      <c r="D110" s="134"/>
      <c r="E110" s="3400"/>
      <c r="F110" s="3368"/>
      <c r="G110" s="1964" t="s">
        <v>1874</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4" t="s">
        <v>1872</v>
      </c>
      <c r="H111" s="2771" t="str">
        <f>IF(E111="——","——",N59)</f>
        <v>——</v>
      </c>
      <c r="I111" s="134"/>
    </row>
    <row r="112" spans="1:35" ht="18.75" customHeight="1" thickBot="1">
      <c r="A112" s="134"/>
      <c r="B112" s="134"/>
      <c r="C112" s="134"/>
      <c r="D112" s="134"/>
      <c r="E112" s="3402"/>
      <c r="F112" s="3403"/>
      <c r="G112" s="1967" t="s">
        <v>1874</v>
      </c>
      <c r="H112" s="2775" t="str">
        <f>IF(E111="——","——",N61)</f>
        <v>——</v>
      </c>
      <c r="I112" s="134"/>
    </row>
    <row r="113" spans="1:27" ht="18.75" customHeight="1">
      <c r="A113" s="134"/>
      <c r="B113" s="134"/>
      <c r="C113" s="134"/>
      <c r="D113" s="134"/>
      <c r="E113" s="3410" t="s">
        <v>1880</v>
      </c>
      <c r="F113" s="3410"/>
      <c r="G113" s="3410"/>
      <c r="H113" s="3410"/>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5" t="s">
        <v>1883</v>
      </c>
      <c r="B116" s="3379" t="s">
        <v>1884</v>
      </c>
      <c r="C116" s="3379" t="s">
        <v>1885</v>
      </c>
      <c r="D116" s="3385" t="s">
        <v>1886</v>
      </c>
      <c r="E116" s="3386"/>
      <c r="F116" s="3417" t="s">
        <v>1887</v>
      </c>
      <c r="G116" s="3417"/>
      <c r="H116" s="3375" t="s">
        <v>1888</v>
      </c>
      <c r="I116" s="3375"/>
    </row>
    <row r="117" spans="1:27" ht="18.75" customHeight="1">
      <c r="A117" s="3375"/>
      <c r="B117" s="3380"/>
      <c r="C117" s="3380"/>
      <c r="D117" s="2503" t="s">
        <v>1889</v>
      </c>
      <c r="E117" s="2503" t="s">
        <v>1890</v>
      </c>
      <c r="F117" s="2503" t="s">
        <v>1889</v>
      </c>
      <c r="G117" s="2503" t="s">
        <v>1891</v>
      </c>
      <c r="H117" s="2503" t="s">
        <v>1889</v>
      </c>
      <c r="I117" s="2503" t="s">
        <v>1891</v>
      </c>
    </row>
    <row r="118" spans="1:27" ht="24.75" customHeight="1">
      <c r="A118" s="2776" t="str">
        <f>项目基本情况!S2</f>
        <v>北京市房地产</v>
      </c>
      <c r="B118" s="2503">
        <f>M18</f>
        <v>226.16</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860</v>
      </c>
      <c r="I118" s="2503">
        <f ca="1">ROUND(IF(D32="楼面单价",C32,H118*10000/B118),0)</f>
        <v>38048</v>
      </c>
    </row>
    <row r="119" spans="1:27" ht="18.75" customHeight="1">
      <c r="A119" s="3375" t="s">
        <v>1892</v>
      </c>
      <c r="B119" s="3375"/>
      <c r="C119" s="3375"/>
      <c r="D119" s="3381" t="e">
        <f ca="1">NUMBERSTRING(INT(D118*10000),2)&amp;"元整"</f>
        <v>#REF!</v>
      </c>
      <c r="E119" s="3382"/>
      <c r="F119" s="3381" t="e">
        <f ca="1">NUMBERSTRING(INT(F118*10000),2)&amp;"元整"</f>
        <v>#REF!</v>
      </c>
      <c r="G119" s="3382"/>
      <c r="H119" s="3381" t="str">
        <f ca="1">NUMBERSTRING(INT(H118*10000),2)&amp;"元整"</f>
        <v>捌佰陆拾万元整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860</v>
      </c>
      <c r="E122" s="3377"/>
      <c r="F122" s="3377"/>
      <c r="G122" s="3377"/>
      <c r="H122" s="3377"/>
      <c r="I122" s="3378"/>
      <c r="AA122" s="734"/>
    </row>
    <row r="123" spans="1:27" ht="18.75" customHeight="1">
      <c r="A123" s="3375" t="s">
        <v>1892</v>
      </c>
      <c r="B123" s="3375"/>
      <c r="C123" s="3375"/>
      <c r="D123" s="3381" t="str">
        <f ca="1">NUMBERSTRING(INT(D122*10000),2)&amp;"元整"</f>
        <v>捌佰陆拾万元整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1892</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1892</v>
      </c>
      <c r="B127" s="3375"/>
      <c r="C127" s="3375"/>
      <c r="D127" s="3381" t="e">
        <f>NUMBERSTRING(INT(D126*10000),2)&amp;"元整"</f>
        <v>#VALUE!</v>
      </c>
      <c r="E127" s="3383"/>
      <c r="F127" s="3383"/>
      <c r="G127" s="3383"/>
      <c r="H127" s="3383"/>
      <c r="I127" s="3382"/>
      <c r="AA127" s="734"/>
    </row>
    <row r="128" spans="1:27" ht="21.75" customHeight="1">
      <c r="A128" s="3384" t="s">
        <v>1893</v>
      </c>
      <c r="B128" s="3384"/>
      <c r="C128" s="3384"/>
      <c r="D128" s="3384"/>
      <c r="E128" s="3384"/>
      <c r="F128" s="3384"/>
      <c r="G128" s="3384"/>
      <c r="H128" s="3384"/>
      <c r="I128" s="338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1901</v>
      </c>
      <c r="B1" s="1605"/>
      <c r="C1" s="204"/>
      <c r="D1" s="204"/>
      <c r="E1" s="204"/>
      <c r="F1" s="204"/>
      <c r="G1" s="1241">
        <f>MATCH(B1,'数据-取费表'!A6:A16,0)+5</f>
        <v>8</v>
      </c>
    </row>
    <row r="2" spans="1:9" s="206" customFormat="1" ht="18" customHeight="1">
      <c r="A2" s="207" t="s">
        <v>1902</v>
      </c>
      <c r="B2" s="208">
        <f ca="1">IF(D2="——",C52,C52-E2)</f>
        <v>212</v>
      </c>
      <c r="C2" s="205" t="s">
        <v>1903</v>
      </c>
      <c r="D2" s="1990" t="s">
        <v>70</v>
      </c>
      <c r="E2" s="1284" t="e">
        <f ca="1">SUMIF(INDIRECT("'"&amp;G2&amp;"'"&amp;"!A:A"),"承租人权益价值",INDIRECT("'"&amp;G2&amp;"'"&amp;"!c:c"))</f>
        <v>#REF!</v>
      </c>
      <c r="F2" s="1991" t="s">
        <v>1903</v>
      </c>
      <c r="G2" s="1992"/>
    </row>
    <row r="3" spans="1:9" s="206" customFormat="1" ht="18" customHeight="1" thickBot="1">
      <c r="A3" s="209" t="s">
        <v>1904</v>
      </c>
      <c r="B3" s="210">
        <f ca="1">ROUND(B2*10000/(IF(B1="",'数据-汇总表'!E3,INDIRECT("'数据-取费表'!k"&amp;$G$1))),0)</f>
        <v>5670</v>
      </c>
      <c r="C3" s="205" t="s">
        <v>1905</v>
      </c>
      <c r="D3" s="205"/>
      <c r="E3" s="205"/>
      <c r="F3" s="205"/>
      <c r="G3" s="205"/>
    </row>
    <row r="4" spans="1:9" s="214" customFormat="1" ht="15.75">
      <c r="A4" s="211" t="s">
        <v>1906</v>
      </c>
      <c r="B4" s="212"/>
      <c r="C4" s="212"/>
      <c r="D4" s="212"/>
      <c r="E4" s="212"/>
      <c r="F4" s="212"/>
      <c r="G4" s="213"/>
    </row>
    <row r="5" spans="1:9" s="220" customFormat="1" ht="13.5" customHeight="1">
      <c r="A5" s="261" t="s">
        <v>1907</v>
      </c>
      <c r="B5" s="216" t="s">
        <v>1908</v>
      </c>
      <c r="C5" s="217">
        <f>C6+C7+C8</f>
        <v>0</v>
      </c>
      <c r="D5" s="217" t="s">
        <v>1909</v>
      </c>
      <c r="E5" s="218" t="s">
        <v>1910</v>
      </c>
      <c r="F5" s="218" t="s">
        <v>1911</v>
      </c>
      <c r="G5" s="219"/>
    </row>
    <row r="6" spans="1:9" s="220" customFormat="1" ht="13.5" customHeight="1">
      <c r="A6" s="867" t="s">
        <v>1912</v>
      </c>
      <c r="B6" s="221" t="s">
        <v>1913</v>
      </c>
      <c r="C6" s="222"/>
      <c r="D6" s="223"/>
      <c r="E6" s="224"/>
      <c r="F6" s="224"/>
      <c r="G6" s="225"/>
    </row>
    <row r="7" spans="1:9" s="220" customFormat="1" ht="13.5" customHeight="1">
      <c r="A7" s="867" t="s">
        <v>1914</v>
      </c>
      <c r="B7" s="221" t="s">
        <v>1915</v>
      </c>
      <c r="C7" s="226">
        <f>ROUND(C6*F7,0)</f>
        <v>0</v>
      </c>
      <c r="D7" s="226"/>
      <c r="E7" s="224"/>
      <c r="F7" s="227">
        <f>IF(项目基本情况!B8="出让",0,'数据-取费表'!B48+'数据-取费表'!B49)</f>
        <v>3.0499999999999999E-2</v>
      </c>
      <c r="G7" s="225"/>
    </row>
    <row r="8" spans="1:9" s="229" customFormat="1">
      <c r="A8" s="867" t="s">
        <v>1916</v>
      </c>
      <c r="B8" s="221" t="s">
        <v>1917</v>
      </c>
      <c r="C8" s="226">
        <f>IF(G8="已包含在土地购买价格中","0",IF(B1="",'数据-取费表'!B29,IF(G9="全部缴纳",C9+C10,H9)))</f>
        <v>0</v>
      </c>
      <c r="D8" s="228"/>
      <c r="E8" s="226"/>
      <c r="F8" s="227"/>
      <c r="G8" s="1993"/>
    </row>
    <row r="9" spans="1:9" s="220" customFormat="1" ht="13.5" customHeight="1">
      <c r="A9" s="868" t="s">
        <v>619</v>
      </c>
      <c r="B9" s="230" t="s">
        <v>1918</v>
      </c>
      <c r="C9" s="231">
        <f ca="1">ROUND(D9*E9/10000,0)</f>
        <v>0</v>
      </c>
      <c r="D9" s="935">
        <f ca="1">IF(B1="",'数据-汇总表'!E5,IF(INDIRECT("'数据-取费表'!c"&amp;$G$1)="住宅",INDIRECT("'数据-取费表'!k"&amp;$G$1),0))</f>
        <v>0</v>
      </c>
      <c r="E9" s="231">
        <f>'数据-取费表'!B27</f>
        <v>0</v>
      </c>
      <c r="F9" s="227"/>
      <c r="G9" s="1994"/>
      <c r="H9" s="1252"/>
      <c r="I9" s="1995" t="s">
        <v>1919</v>
      </c>
    </row>
    <row r="10" spans="1:9" s="220" customFormat="1" ht="13.5" customHeight="1">
      <c r="A10" s="868" t="s">
        <v>620</v>
      </c>
      <c r="B10" s="230" t="s">
        <v>1920</v>
      </c>
      <c r="C10" s="231">
        <f ca="1">ROUND(D10*E10/10000,0)</f>
        <v>7</v>
      </c>
      <c r="D10" s="935">
        <f ca="1">IF(B1="",'数据-汇总表'!E6,IF(INDIRECT("'数据-取费表'!c"&amp;$G$1)="住宅",INDIRECT("'数据-取费表'!s"&amp;$G$1),INDIRECT("'数据-取费表'!k"&amp;$G$1)+INDIRECT("'数据-取费表'!s"&amp;$G$1)))</f>
        <v>373.88</v>
      </c>
      <c r="E10" s="231">
        <f>'数据-取费表'!B28</f>
        <v>200</v>
      </c>
      <c r="F10" s="227"/>
      <c r="G10" s="232"/>
    </row>
    <row r="11" spans="1:9" s="220" customFormat="1" ht="13.5" hidden="1" customHeight="1">
      <c r="A11" s="233" t="s">
        <v>7</v>
      </c>
      <c r="B11" s="221" t="s">
        <v>1921</v>
      </c>
      <c r="C11" s="217"/>
      <c r="D11" s="937"/>
      <c r="E11" s="224"/>
      <c r="F11" s="224"/>
      <c r="G11" s="225"/>
    </row>
    <row r="12" spans="1:9" s="220" customFormat="1" ht="13.5" hidden="1" customHeight="1">
      <c r="A12" s="233" t="s">
        <v>8</v>
      </c>
      <c r="B12" s="221" t="s">
        <v>1922</v>
      </c>
      <c r="C12" s="217">
        <v>0</v>
      </c>
      <c r="D12" s="937"/>
      <c r="E12" s="234"/>
      <c r="F12" s="227">
        <v>3.0499999999999999E-2</v>
      </c>
      <c r="G12" s="225"/>
    </row>
    <row r="13" spans="1:9" s="220" customFormat="1" ht="13.5" hidden="1" customHeight="1">
      <c r="A13" s="233" t="s">
        <v>9</v>
      </c>
      <c r="B13" s="221" t="s">
        <v>1923</v>
      </c>
      <c r="C13" s="217"/>
      <c r="D13" s="937"/>
      <c r="E13" s="224"/>
      <c r="F13" s="224"/>
      <c r="G13" s="225"/>
    </row>
    <row r="14" spans="1:9" s="220" customFormat="1" ht="13.5" hidden="1" customHeight="1">
      <c r="A14" s="233" t="s">
        <v>10</v>
      </c>
      <c r="B14" s="221" t="s">
        <v>1924</v>
      </c>
      <c r="C14" s="217"/>
      <c r="D14" s="937"/>
      <c r="E14" s="224"/>
      <c r="F14" s="224"/>
      <c r="G14" s="225" t="s">
        <v>1925</v>
      </c>
    </row>
    <row r="15" spans="1:9" s="220" customFormat="1" ht="13.5" hidden="1" customHeight="1">
      <c r="A15" s="233" t="s">
        <v>11</v>
      </c>
      <c r="B15" s="221" t="s">
        <v>1926</v>
      </c>
      <c r="C15" s="226"/>
      <c r="D15" s="937"/>
      <c r="E15" s="224"/>
      <c r="F15" s="224"/>
      <c r="G15" s="225" t="s">
        <v>1927</v>
      </c>
    </row>
    <row r="16" spans="1:9" s="220" customFormat="1" ht="13.5" hidden="1" customHeight="1">
      <c r="A16" s="233" t="s">
        <v>12</v>
      </c>
      <c r="B16" s="221" t="s">
        <v>1924</v>
      </c>
      <c r="C16" s="226"/>
      <c r="D16" s="937"/>
      <c r="E16" s="224"/>
      <c r="F16" s="224"/>
      <c r="G16" s="225"/>
    </row>
    <row r="17" spans="1:7" s="220" customFormat="1" ht="13.5" hidden="1" customHeight="1">
      <c r="A17" s="233" t="s">
        <v>13</v>
      </c>
      <c r="B17" s="221" t="s">
        <v>1928</v>
      </c>
      <c r="C17" s="235"/>
      <c r="D17" s="938"/>
      <c r="E17" s="235"/>
      <c r="F17" s="235"/>
      <c r="G17" s="225" t="s">
        <v>1927</v>
      </c>
    </row>
    <row r="18" spans="1:7" s="220" customFormat="1" ht="13.5" hidden="1" customHeight="1">
      <c r="A18" s="233" t="s">
        <v>14</v>
      </c>
      <c r="B18" s="221" t="s">
        <v>1929</v>
      </c>
      <c r="C18" s="226">
        <v>0</v>
      </c>
      <c r="D18" s="937"/>
      <c r="E18" s="224"/>
      <c r="F18" s="227">
        <v>3.0499999999999999E-2</v>
      </c>
      <c r="G18" s="225" t="s">
        <v>1930</v>
      </c>
    </row>
    <row r="19" spans="1:7" s="229" customFormat="1" ht="13.5" customHeight="1">
      <c r="A19" s="261" t="s">
        <v>1931</v>
      </c>
      <c r="B19" s="216" t="s">
        <v>1932</v>
      </c>
      <c r="C19" s="217">
        <f ca="1">IF(G19="已包含在土地取得成本中","0",ROUND(D19*E19/10000,0))</f>
        <v>7</v>
      </c>
      <c r="D19" s="939">
        <f ca="1">D9+D10</f>
        <v>373.88</v>
      </c>
      <c r="E19" s="217">
        <f>'数据-取费表'!B31</f>
        <v>200</v>
      </c>
      <c r="F19" s="237"/>
      <c r="G19" s="1993"/>
    </row>
    <row r="20" spans="1:7" s="220" customFormat="1" ht="13.5" customHeight="1">
      <c r="A20" s="261" t="s">
        <v>1933</v>
      </c>
      <c r="B20" s="216" t="s">
        <v>1934</v>
      </c>
      <c r="C20" s="238">
        <f ca="1">ROUND((C5+C19)*F20,0)</f>
        <v>0</v>
      </c>
      <c r="D20" s="238"/>
      <c r="E20" s="238"/>
      <c r="F20" s="239">
        <f>'数据-取费表'!B37</f>
        <v>0.02</v>
      </c>
      <c r="G20" s="240" t="s">
        <v>1935</v>
      </c>
    </row>
    <row r="21" spans="1:7" s="220" customFormat="1" ht="13.5" customHeight="1">
      <c r="A21" s="261" t="s">
        <v>1936</v>
      </c>
      <c r="B21" s="216" t="s">
        <v>1937</v>
      </c>
      <c r="C21" s="241">
        <f>F21</f>
        <v>0.02</v>
      </c>
      <c r="D21" s="242" t="s">
        <v>1938</v>
      </c>
      <c r="E21" s="238"/>
      <c r="F21" s="239">
        <f>'数据-取费表'!B38</f>
        <v>0.02</v>
      </c>
      <c r="G21" s="240" t="s">
        <v>1939</v>
      </c>
    </row>
    <row r="22" spans="1:7" s="220" customFormat="1" ht="13.5" customHeight="1">
      <c r="A22" s="261" t="s">
        <v>1940</v>
      </c>
      <c r="B22" s="216" t="s">
        <v>1941</v>
      </c>
      <c r="C22" s="1217">
        <f ca="1">ROUND(SUM(C23:C25),0)</f>
        <v>1</v>
      </c>
      <c r="D22" s="241">
        <f ca="1">C26</f>
        <v>8.0000000000000004E-4</v>
      </c>
      <c r="E22" s="242" t="s">
        <v>1938</v>
      </c>
      <c r="F22" s="243">
        <f ca="1">'数据-取费表'!B40</f>
        <v>4.2000000000000003E-2</v>
      </c>
      <c r="G22" s="240" t="str">
        <f>IF('数据-取费表'!B22&lt;=1,"单利计息","复利计息")</f>
        <v>复利计息</v>
      </c>
    </row>
    <row r="23" spans="1:7" s="220" customFormat="1" ht="13.5" customHeight="1">
      <c r="A23" s="869" t="s">
        <v>1942</v>
      </c>
      <c r="B23" s="221" t="s">
        <v>1943</v>
      </c>
      <c r="C23" s="1218">
        <f ca="1">ROUND(IF('数据-取费表'!B22&lt;=1,C5*F22*'数据-取费表'!B23,C5*(POWER((1+F22),'数据-取费表'!B23)-1)),0)</f>
        <v>0</v>
      </c>
      <c r="D23" s="244"/>
      <c r="E23" s="244"/>
      <c r="F23" s="245"/>
      <c r="G23" s="246" t="s">
        <v>1944</v>
      </c>
    </row>
    <row r="24" spans="1:7" s="220" customFormat="1" ht="13.5" customHeight="1">
      <c r="A24" s="869" t="s">
        <v>1945</v>
      </c>
      <c r="B24" s="221" t="s">
        <v>1946</v>
      </c>
      <c r="C24" s="1218">
        <f ca="1">ROUND(IF('数据-取费表'!B22&lt;=1,C19*F22*('数据-取费表'!B19/2+'数据-取费表'!B21),C19*(POWER((1+F22),('数据-取费表'!B19/2+'数据-取费表'!B21))-1)),0)</f>
        <v>1</v>
      </c>
      <c r="D24" s="244"/>
      <c r="E24" s="244"/>
      <c r="F24" s="245"/>
      <c r="G24" s="246" t="s">
        <v>1947</v>
      </c>
    </row>
    <row r="25" spans="1:7" s="220" customFormat="1" ht="24">
      <c r="A25" s="869" t="s">
        <v>1948</v>
      </c>
      <c r="B25" s="221" t="s">
        <v>1949</v>
      </c>
      <c r="C25" s="1218">
        <f ca="1">ROUND(IF('数据-取费表'!B22&lt;=1,C20*F22*'数据-取费表'!B23/2,C20*(POWER((1+F22),'数据-取费表'!B23/2)-1)),0)</f>
        <v>0</v>
      </c>
      <c r="D25" s="244"/>
      <c r="E25" s="247"/>
      <c r="F25" s="245"/>
      <c r="G25" s="248" t="s">
        <v>1950</v>
      </c>
    </row>
    <row r="26" spans="1:7" s="220" customFormat="1">
      <c r="A26" s="869" t="s">
        <v>614</v>
      </c>
      <c r="B26" s="221" t="s">
        <v>1951</v>
      </c>
      <c r="C26" s="244">
        <f ca="1">ROUND(IF('数据-取费表'!B22&lt;=1,F21*F22*'数据-取费表'!B23/2,F21*(POWER((1+F22),'数据-取费表'!B23/2)-1)),4)</f>
        <v>8.0000000000000004E-4</v>
      </c>
      <c r="D26" s="244"/>
      <c r="E26" s="247"/>
      <c r="F26" s="245"/>
      <c r="G26" s="249"/>
    </row>
    <row r="27" spans="1:7" s="220" customFormat="1" ht="24.75">
      <c r="A27" s="261" t="s">
        <v>1952</v>
      </c>
      <c r="B27" s="250" t="s">
        <v>1953</v>
      </c>
      <c r="C27" s="251">
        <f ca="1">C28</f>
        <v>1</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ROUND((C5+C19+C20)*F27*'数据-取费表'!B21/'数据-取费表'!B20,0)</f>
        <v>1</v>
      </c>
      <c r="D28" s="241"/>
      <c r="E28" s="242"/>
      <c r="F28" s="252"/>
      <c r="G28" s="253"/>
    </row>
    <row r="29" spans="1:7" s="220" customFormat="1" ht="13.5" customHeight="1">
      <c r="A29" s="869" t="s">
        <v>611</v>
      </c>
      <c r="B29" s="254" t="s">
        <v>1957</v>
      </c>
      <c r="C29" s="244">
        <f ca="1">ROUND(C21*F27*'数据-取费表'!B21/'数据-取费表'!B20,4)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10</v>
      </c>
      <c r="D31" s="236"/>
      <c r="E31" s="217"/>
      <c r="F31" s="256"/>
      <c r="G31" s="240" t="s">
        <v>1962</v>
      </c>
    </row>
    <row r="32" spans="1:7" s="214" customFormat="1" ht="15.75">
      <c r="A32" s="258" t="s">
        <v>1963</v>
      </c>
      <c r="B32" s="259"/>
      <c r="C32" s="259"/>
      <c r="D32" s="259"/>
      <c r="E32" s="259"/>
      <c r="F32" s="259"/>
      <c r="G32" s="260"/>
    </row>
    <row r="33" spans="1:7" s="220" customFormat="1" ht="13.5" customHeight="1">
      <c r="A33" s="261" t="s">
        <v>601</v>
      </c>
      <c r="B33" s="216" t="s">
        <v>1964</v>
      </c>
      <c r="C33" s="262">
        <f ca="1">SUM(C34:C38)</f>
        <v>183</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168</v>
      </c>
      <c r="D34" s="223"/>
      <c r="E34" s="226"/>
      <c r="F34" s="263">
        <f ca="1">IF('数据-取费表'!B24=0,1,IF(B1="",'数据-取费表'!N16,INDIRECT("'数据-取费表'!n"&amp;$G$1)))</f>
        <v>1</v>
      </c>
      <c r="G34" s="225" t="s">
        <v>1966</v>
      </c>
    </row>
    <row r="35" spans="1:7" ht="13.5" customHeight="1">
      <c r="A35" s="869" t="s">
        <v>615</v>
      </c>
      <c r="B35" s="221" t="s">
        <v>1967</v>
      </c>
      <c r="C35" s="226">
        <f ca="1">ROUND(C34*F35,0)</f>
        <v>5</v>
      </c>
      <c r="D35" s="226"/>
      <c r="E35" s="226"/>
      <c r="F35" s="265">
        <f>'数据-取费表'!B33</f>
        <v>0.03</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1970</v>
      </c>
    </row>
    <row r="37" spans="1:7" s="264" customFormat="1" ht="13.5" customHeight="1">
      <c r="A37" s="869" t="s">
        <v>617</v>
      </c>
      <c r="B37" s="221" t="s">
        <v>1971</v>
      </c>
      <c r="C37" s="255">
        <f ca="1">ROUND(E37*D37*F34/10000,0)</f>
        <v>7</v>
      </c>
      <c r="D37" s="223">
        <f ca="1">D19</f>
        <v>373.88</v>
      </c>
      <c r="E37" s="255">
        <f>'数据-取费表'!B35</f>
        <v>200</v>
      </c>
      <c r="F37" s="265"/>
      <c r="G37" s="267" t="s">
        <v>1972</v>
      </c>
    </row>
    <row r="38" spans="1:7" ht="13.5" customHeight="1">
      <c r="A38" s="869" t="s">
        <v>618</v>
      </c>
      <c r="B38" s="221" t="s">
        <v>1973</v>
      </c>
      <c r="C38" s="226">
        <f ca="1">ROUND(C34*F38,0)</f>
        <v>3</v>
      </c>
      <c r="D38" s="226"/>
      <c r="E38" s="226"/>
      <c r="F38" s="265">
        <f>'数据-取费表'!B36</f>
        <v>1.4999999999999999E-2</v>
      </c>
      <c r="G38" s="225" t="s">
        <v>1968</v>
      </c>
    </row>
    <row r="39" spans="1:7" s="220" customFormat="1" ht="13.5" customHeight="1">
      <c r="A39" s="261" t="s">
        <v>1974</v>
      </c>
      <c r="B39" s="216" t="s">
        <v>1975</v>
      </c>
      <c r="C39" s="238">
        <f ca="1">ROUND(C33*F20,0)</f>
        <v>4</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8</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8</v>
      </c>
      <c r="D42" s="244"/>
      <c r="E42" s="244"/>
      <c r="F42" s="245"/>
      <c r="G42" s="3457" t="s">
        <v>1984</v>
      </c>
    </row>
    <row r="43" spans="1:7" ht="13.5" customHeight="1">
      <c r="A43" s="869" t="s">
        <v>611</v>
      </c>
      <c r="B43" s="221" t="s">
        <v>1985</v>
      </c>
      <c r="C43" s="244">
        <f ca="1">ROUND(IF('数据-取费表'!B22&lt;=1,C39*F22*'数据-取费表'!B21/2,C39*(POWER((1+F22),'数据-取费表'!B21/2)-1)),0)</f>
        <v>0</v>
      </c>
      <c r="D43" s="244"/>
      <c r="E43" s="244"/>
      <c r="F43" s="245"/>
      <c r="G43" s="3458"/>
    </row>
    <row r="44" spans="1:7" ht="13.5" customHeight="1">
      <c r="A44" s="869" t="s">
        <v>612</v>
      </c>
      <c r="B44" s="221" t="s">
        <v>1986</v>
      </c>
      <c r="C44" s="244">
        <f ca="1">ROUND(IF('数据-取费表'!B22&lt;=1,C40*F22*'数据-取费表'!B21/2,C40*(POWER((1+F22),'数据-取费表'!B21/2)-1)),4)</f>
        <v>8.0000000000000004E-4</v>
      </c>
      <c r="D44" s="244"/>
      <c r="E44" s="244"/>
      <c r="F44" s="245"/>
      <c r="G44" s="3459"/>
    </row>
    <row r="45" spans="1:7" s="220" customFormat="1" ht="13.5" customHeight="1">
      <c r="A45" s="261" t="s">
        <v>1987</v>
      </c>
      <c r="B45" s="250" t="s">
        <v>1953</v>
      </c>
      <c r="C45" s="251">
        <f ca="1">C46</f>
        <v>37</v>
      </c>
      <c r="D45" s="241">
        <f ca="1">C47</f>
        <v>4.0000000000000001E-3</v>
      </c>
      <c r="E45" s="242" t="s">
        <v>1979</v>
      </c>
      <c r="F45" s="2488">
        <f ca="1">F27</f>
        <v>0.2</v>
      </c>
      <c r="G45" s="253" t="s">
        <v>1988</v>
      </c>
    </row>
    <row r="46" spans="1:7" s="220" customFormat="1" ht="13.5" customHeight="1">
      <c r="A46" s="869" t="s">
        <v>610</v>
      </c>
      <c r="B46" s="254" t="s">
        <v>1989</v>
      </c>
      <c r="C46" s="255">
        <f ca="1">ROUND((C33+C39)*F27,0)</f>
        <v>37</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1448">
        <f>ROUND(F30/(1+'数据-取费表'!C42),4)</f>
        <v>5.33E-2</v>
      </c>
      <c r="D48" s="242" t="s">
        <v>1979</v>
      </c>
      <c r="E48" s="238"/>
      <c r="F48" s="2487">
        <f>F30</f>
        <v>5.6000000000000001E-2</v>
      </c>
      <c r="G48" s="240" t="s">
        <v>1992</v>
      </c>
    </row>
    <row r="49" spans="1:7" ht="16.5" customHeight="1">
      <c r="A49" s="261" t="s">
        <v>1958</v>
      </c>
      <c r="B49" s="216" t="s">
        <v>1993</v>
      </c>
      <c r="C49" s="238">
        <f ca="1">ROUND((C33+C39+C41+C45)/(1-C40-D41-D45-C48),0)</f>
        <v>252</v>
      </c>
      <c r="D49" s="238"/>
      <c r="E49" s="238"/>
      <c r="F49" s="270"/>
      <c r="G49" s="240" t="s">
        <v>1994</v>
      </c>
    </row>
    <row r="50" spans="1:7" s="264" customFormat="1" ht="24">
      <c r="A50" s="261" t="s">
        <v>1995</v>
      </c>
      <c r="B50" s="216" t="s">
        <v>1996</v>
      </c>
      <c r="C50" s="238"/>
      <c r="D50" s="238"/>
      <c r="E50" s="238"/>
      <c r="F50" s="270">
        <f>IF('数据-取费表'!B24=0,'数据-取费表'!N16,1)</f>
        <v>0.8</v>
      </c>
      <c r="G50" s="253" t="s">
        <v>1997</v>
      </c>
    </row>
    <row r="51" spans="1:7" ht="16.5" customHeight="1">
      <c r="A51" s="261" t="s">
        <v>1998</v>
      </c>
      <c r="B51" s="216" t="s">
        <v>1999</v>
      </c>
      <c r="C51" s="238">
        <f ca="1">ROUND(C49*F50,0)</f>
        <v>202</v>
      </c>
      <c r="D51" s="238"/>
      <c r="E51" s="238"/>
      <c r="F51" s="270"/>
      <c r="G51" s="240" t="s">
        <v>2000</v>
      </c>
    </row>
    <row r="52" spans="1:7" s="214" customFormat="1" ht="16.5" thickBot="1">
      <c r="A52" s="271" t="s">
        <v>2001</v>
      </c>
      <c r="B52" s="272"/>
      <c r="C52" s="273">
        <f ca="1">C31+C51</f>
        <v>212</v>
      </c>
      <c r="D52" s="272"/>
      <c r="E52" s="272"/>
      <c r="F52" s="272"/>
      <c r="G52" s="274"/>
    </row>
    <row r="55" spans="1:7" ht="15">
      <c r="B55" s="276" t="s">
        <v>2002</v>
      </c>
      <c r="C55" s="277"/>
    </row>
    <row r="56" spans="1:7">
      <c r="B56" s="279" t="s">
        <v>1233</v>
      </c>
      <c r="C56" s="281">
        <f ca="1">1-C57</f>
        <v>4.7000000000000042E-2</v>
      </c>
    </row>
    <row r="57" spans="1:7">
      <c r="B57" s="279" t="s">
        <v>1234</v>
      </c>
      <c r="C57" s="280">
        <f ca="1">ROUND(C51/C52,3)</f>
        <v>0.95299999999999996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北京市房地产抵押价值预评估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1901</v>
      </c>
      <c r="B1" s="1605"/>
      <c r="C1" s="1996" t="s">
        <v>2003</v>
      </c>
      <c r="D1" s="204"/>
      <c r="E1" s="204"/>
      <c r="F1" s="204"/>
      <c r="G1" s="1241">
        <f>MATCH(B1,'数据-取费表'!A6:A16,0)+5</f>
        <v>8</v>
      </c>
      <c r="H1" s="1173" t="str">
        <f>IF(ISERROR(FIND("住宅",B1)),"非住宅","住宅")</f>
        <v>非住宅</v>
      </c>
    </row>
    <row r="2" spans="1:8" s="206" customFormat="1" ht="18" customHeight="1">
      <c r="A2" s="207" t="s">
        <v>1902</v>
      </c>
      <c r="B2" s="208">
        <f ca="1">ROUND(IF(D2="——",C52/10000,C52/10000-E2),0)</f>
        <v>223</v>
      </c>
      <c r="C2" s="205" t="s">
        <v>1903</v>
      </c>
      <c r="D2" s="1990" t="s">
        <v>70</v>
      </c>
      <c r="E2" s="1284" t="e">
        <f ca="1">SUMIF(INDIRECT("'"&amp;G2&amp;"'"&amp;"!A:A"),"承租人权益价值",INDIRECT("'"&amp;G2&amp;"'"&amp;"!c:c"))</f>
        <v>#REF!</v>
      </c>
      <c r="F2" s="1991" t="s">
        <v>1903</v>
      </c>
      <c r="G2" s="1992"/>
    </row>
    <row r="3" spans="1:8" s="206" customFormat="1" ht="18" customHeight="1" thickBot="1">
      <c r="A3" s="209" t="s">
        <v>1904</v>
      </c>
      <c r="B3" s="210">
        <f ca="1">ROUND(B2*10000/(IF(B1="",'数据-汇总表'!E3,INDIRECT("'数据-取费表'!k"&amp;$G$1))),0)</f>
        <v>5964</v>
      </c>
      <c r="C3" s="205" t="s">
        <v>1905</v>
      </c>
      <c r="D3" s="205"/>
      <c r="E3" s="205"/>
      <c r="F3" s="205"/>
      <c r="G3" s="205"/>
    </row>
    <row r="4" spans="1:8" s="214" customFormat="1" ht="15.75">
      <c r="A4" s="211" t="s">
        <v>1906</v>
      </c>
      <c r="B4" s="212"/>
      <c r="C4" s="212"/>
      <c r="D4" s="212"/>
      <c r="E4" s="212"/>
      <c r="F4" s="212"/>
      <c r="G4" s="213"/>
    </row>
    <row r="5" spans="1:8" s="220" customFormat="1" ht="13.5" customHeight="1">
      <c r="A5" s="261" t="s">
        <v>1907</v>
      </c>
      <c r="B5" s="216" t="s">
        <v>1908</v>
      </c>
      <c r="C5" s="217">
        <f ca="1">C6+C7+C8</f>
        <v>74776</v>
      </c>
      <c r="D5" s="217" t="s">
        <v>1909</v>
      </c>
      <c r="E5" s="218" t="s">
        <v>1910</v>
      </c>
      <c r="F5" s="218" t="s">
        <v>1911</v>
      </c>
      <c r="G5" s="219"/>
    </row>
    <row r="6" spans="1:8" s="220" customFormat="1" ht="13.5" customHeight="1">
      <c r="A6" s="867" t="s">
        <v>1912</v>
      </c>
      <c r="B6" s="221" t="s">
        <v>1913</v>
      </c>
      <c r="C6" s="222"/>
      <c r="D6" s="223"/>
      <c r="E6" s="224"/>
      <c r="F6" s="224"/>
      <c r="G6" s="225"/>
    </row>
    <row r="7" spans="1:8" s="220" customFormat="1" ht="13.5" customHeight="1">
      <c r="A7" s="867" t="s">
        <v>1914</v>
      </c>
      <c r="B7" s="221" t="s">
        <v>1915</v>
      </c>
      <c r="C7" s="226">
        <f>ROUND(C6*F7,0)</f>
        <v>0</v>
      </c>
      <c r="D7" s="226"/>
      <c r="E7" s="224"/>
      <c r="F7" s="227">
        <f>IF(项目基本情况!B8="出让",0,'数据-取费表'!B48+'数据-取费表'!B49)</f>
        <v>3.0499999999999999E-2</v>
      </c>
      <c r="G7" s="225"/>
    </row>
    <row r="8" spans="1:8" s="229" customFormat="1">
      <c r="A8" s="867" t="s">
        <v>1916</v>
      </c>
      <c r="B8" s="221" t="s">
        <v>1917</v>
      </c>
      <c r="C8" s="226">
        <f ca="1">IF(G8="已包含在土地购买价格中",0,C9+C10)</f>
        <v>74776</v>
      </c>
      <c r="D8" s="228"/>
      <c r="E8" s="226"/>
      <c r="F8" s="227"/>
      <c r="G8" s="1993"/>
    </row>
    <row r="9" spans="1:8" s="220" customFormat="1" ht="13.5" customHeight="1">
      <c r="A9" s="868" t="s">
        <v>619</v>
      </c>
      <c r="B9" s="230" t="s">
        <v>1918</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1920</v>
      </c>
      <c r="C10" s="231">
        <f ca="1">ROUND(D10*E10,0)</f>
        <v>74776</v>
      </c>
      <c r="D10" s="935">
        <f ca="1">IF(B1="",'数据-汇总表'!E6,IF(INDIRECT("'数据-取费表'!c"&amp;$G$1)="住宅",INDIRECT("'数据-取费表'!s"&amp;$G$1),INDIRECT("'数据-取费表'!k"&amp;$G$1)+INDIRECT("'数据-取费表'!s"&amp;$G$1)))</f>
        <v>373.88</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1917</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1917</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74776</v>
      </c>
      <c r="D19" s="939">
        <f ca="1">D9+D10</f>
        <v>373.88</v>
      </c>
      <c r="E19" s="217">
        <f>'数据-取费表'!B31</f>
        <v>200</v>
      </c>
      <c r="F19" s="237"/>
      <c r="G19" s="1993"/>
    </row>
    <row r="20" spans="1:7" s="220" customFormat="1" ht="13.5" customHeight="1">
      <c r="A20" s="261" t="s">
        <v>2014</v>
      </c>
      <c r="B20" s="216" t="s">
        <v>2015</v>
      </c>
      <c r="C20" s="238">
        <f ca="1">ROUND((C5+C19)*F20,0)</f>
        <v>2991</v>
      </c>
      <c r="D20" s="238"/>
      <c r="E20" s="238"/>
      <c r="F20" s="239">
        <f>'数据-取费表'!B37</f>
        <v>0.02</v>
      </c>
      <c r="G20" s="240" t="s">
        <v>2016</v>
      </c>
    </row>
    <row r="21" spans="1:7" s="220" customFormat="1" ht="13.5" customHeight="1">
      <c r="A21" s="261" t="s">
        <v>2017</v>
      </c>
      <c r="B21" s="216" t="s">
        <v>2018</v>
      </c>
      <c r="C21" s="241">
        <f>F21</f>
        <v>0.02</v>
      </c>
      <c r="D21" s="242" t="s">
        <v>2019</v>
      </c>
      <c r="E21" s="238"/>
      <c r="F21" s="239">
        <f>'数据-取费表'!B38</f>
        <v>0.02</v>
      </c>
      <c r="G21" s="240" t="s">
        <v>2020</v>
      </c>
    </row>
    <row r="22" spans="1:7" s="220" customFormat="1" ht="13.5" customHeight="1">
      <c r="A22" s="261" t="s">
        <v>2021</v>
      </c>
      <c r="B22" s="216" t="s">
        <v>2022</v>
      </c>
      <c r="C22" s="1242">
        <f ca="1">ROUND(SUM(C23:C25),0)</f>
        <v>12952</v>
      </c>
      <c r="D22" s="241">
        <f ca="1">C26</f>
        <v>8.0000000000000004E-4</v>
      </c>
      <c r="E22" s="242" t="s">
        <v>2019</v>
      </c>
      <c r="F22" s="243">
        <f ca="1">'数据-取费表'!B40</f>
        <v>4.2000000000000003E-2</v>
      </c>
      <c r="G22" s="240" t="str">
        <f>IF('数据-取费表'!B22&lt;=1,"单利计息","复利计息")</f>
        <v>复利计息</v>
      </c>
    </row>
    <row r="23" spans="1:7" s="220" customFormat="1" ht="13.5" customHeight="1">
      <c r="A23" s="869" t="s">
        <v>1912</v>
      </c>
      <c r="B23" s="221" t="s">
        <v>2023</v>
      </c>
      <c r="C23" s="1243">
        <f ca="1">ROUND(IF('数据-取费表'!B22&lt;=1,C5*F22*'数据-取费表'!B22,C5*(POWER((1+F22),'数据-取费表'!B22)-1)),0)</f>
        <v>6413</v>
      </c>
      <c r="D23" s="244"/>
      <c r="E23" s="244"/>
      <c r="F23" s="245"/>
      <c r="G23" s="246" t="s">
        <v>2024</v>
      </c>
    </row>
    <row r="24" spans="1:7" s="220" customFormat="1" ht="13.5" customHeight="1">
      <c r="A24" s="869" t="s">
        <v>1914</v>
      </c>
      <c r="B24" s="221" t="s">
        <v>2025</v>
      </c>
      <c r="C24" s="1243">
        <f ca="1">ROUND(IF('数据-取费表'!B22&lt;=1,C19*F22*('数据-取费表'!B19/2+'数据-取费表'!B20),C19*(POWER((1+F22),('数据-取费表'!B19/2+'数据-取费表'!B20))-1)),0)</f>
        <v>6413</v>
      </c>
      <c r="D24" s="244"/>
      <c r="E24" s="244"/>
      <c r="F24" s="245"/>
      <c r="G24" s="246" t="s">
        <v>2026</v>
      </c>
    </row>
    <row r="25" spans="1:7" s="220" customFormat="1" ht="24">
      <c r="A25" s="869" t="s">
        <v>1916</v>
      </c>
      <c r="B25" s="221" t="s">
        <v>2027</v>
      </c>
      <c r="C25" s="1243">
        <f ca="1">ROUND(IF('数据-取费表'!B22&lt;=1,C20*F22*'数据-取费表'!B22/2,C20*(POWER((1+F22),'数据-取费表'!B22/2)-1)),0)</f>
        <v>126</v>
      </c>
      <c r="D25" s="244"/>
      <c r="E25" s="247"/>
      <c r="F25" s="245"/>
      <c r="G25" s="248" t="s">
        <v>2028</v>
      </c>
    </row>
    <row r="26" spans="1:7" s="220" customFormat="1">
      <c r="A26" s="869" t="s">
        <v>614</v>
      </c>
      <c r="B26" s="221" t="s">
        <v>1951</v>
      </c>
      <c r="C26" s="244">
        <f ca="1">ROUND(IF('数据-取费表'!B22&lt;=1,F21*F22*'数据-取费表'!B22/2,F21*(POWER((1+F22),'数据-取费表'!B22/2)-1)),4)</f>
        <v>8.0000000000000004E-4</v>
      </c>
      <c r="D26" s="244"/>
      <c r="E26" s="247"/>
      <c r="F26" s="245"/>
      <c r="G26" s="249"/>
    </row>
    <row r="27" spans="1:7" s="220" customFormat="1" ht="24.75">
      <c r="A27" s="261" t="s">
        <v>1952</v>
      </c>
      <c r="B27" s="250" t="s">
        <v>1953</v>
      </c>
      <c r="C27" s="251">
        <f ca="1">C28</f>
        <v>30509</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ROUND((C5+C19+C20)*F27,0)</f>
        <v>30509</v>
      </c>
      <c r="D28" s="241"/>
      <c r="E28" s="242"/>
      <c r="F28" s="252"/>
      <c r="G28" s="253"/>
    </row>
    <row r="29" spans="1:7" s="220" customFormat="1" ht="13.5" customHeight="1">
      <c r="A29" s="869" t="s">
        <v>611</v>
      </c>
      <c r="B29" s="254" t="s">
        <v>1957</v>
      </c>
      <c r="C29" s="244">
        <f ca="1">ROUND(C21*F27,4)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212609</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1832947</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1682460</v>
      </c>
      <c r="D34" s="223"/>
      <c r="E34" s="226"/>
      <c r="F34" s="263"/>
      <c r="G34" s="225"/>
    </row>
    <row r="35" spans="1:7" ht="13.5" customHeight="1">
      <c r="A35" s="869" t="s">
        <v>615</v>
      </c>
      <c r="B35" s="221" t="s">
        <v>1967</v>
      </c>
      <c r="C35" s="226">
        <f ca="1">ROUND(C34*F35,0)</f>
        <v>50474</v>
      </c>
      <c r="D35" s="226"/>
      <c r="E35" s="226"/>
      <c r="F35" s="265">
        <f>'数据-取费表'!B33</f>
        <v>0.03</v>
      </c>
      <c r="G35" s="225" t="s">
        <v>1968</v>
      </c>
    </row>
    <row r="36" spans="1:7" ht="24">
      <c r="A36" s="869" t="s">
        <v>616</v>
      </c>
      <c r="B36" s="221" t="s">
        <v>1969</v>
      </c>
      <c r="C36" s="226">
        <f ca="1">ROUND(IF(B1="",SUM('数据-取费表'!AP6:AP13)*F36,IF(INDIRECT("'数据-取费表'!c"&amp;$G$1)="住宅",INDIRECT("'数据-取费表'!k"&amp;$G$1)*INDIRECT("'数据-取费表'!l"&amp;$G$1)*F36,0)),0)</f>
        <v>0</v>
      </c>
      <c r="D36" s="226"/>
      <c r="E36" s="226"/>
      <c r="F36" s="265">
        <f>'数据-取费表'!B34</f>
        <v>0</v>
      </c>
      <c r="G36" s="266" t="s">
        <v>1970</v>
      </c>
    </row>
    <row r="37" spans="1:7" s="264" customFormat="1" ht="13.5" customHeight="1">
      <c r="A37" s="869" t="s">
        <v>617</v>
      </c>
      <c r="B37" s="221" t="s">
        <v>1971</v>
      </c>
      <c r="C37" s="255">
        <f ca="1">ROUND(E37*D37,0)</f>
        <v>74776</v>
      </c>
      <c r="D37" s="223">
        <f ca="1">D19</f>
        <v>373.88</v>
      </c>
      <c r="E37" s="255">
        <f>'数据-取费表'!B35</f>
        <v>200</v>
      </c>
      <c r="F37" s="265"/>
      <c r="G37" s="267"/>
    </row>
    <row r="38" spans="1:7" ht="13.5" customHeight="1">
      <c r="A38" s="869" t="s">
        <v>618</v>
      </c>
      <c r="B38" s="221" t="s">
        <v>1973</v>
      </c>
      <c r="C38" s="226">
        <f ca="1">ROUND(C34*F38,0)</f>
        <v>25237</v>
      </c>
      <c r="D38" s="226"/>
      <c r="E38" s="226"/>
      <c r="F38" s="265">
        <f>'数据-取费表'!B36</f>
        <v>1.4999999999999999E-2</v>
      </c>
      <c r="G38" s="225" t="s">
        <v>1968</v>
      </c>
    </row>
    <row r="39" spans="1:7" s="220" customFormat="1" ht="13.5" customHeight="1">
      <c r="A39" s="261" t="s">
        <v>1974</v>
      </c>
      <c r="B39" s="216" t="s">
        <v>1975</v>
      </c>
      <c r="C39" s="238">
        <f ca="1">ROUND(C33*F20,0)</f>
        <v>36659</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78524</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76984</v>
      </c>
      <c r="D42" s="244"/>
      <c r="E42" s="244"/>
      <c r="F42" s="245"/>
      <c r="G42" s="3457" t="s">
        <v>2031</v>
      </c>
    </row>
    <row r="43" spans="1:7" ht="13.5" customHeight="1">
      <c r="A43" s="869" t="s">
        <v>611</v>
      </c>
      <c r="B43" s="221" t="s">
        <v>1985</v>
      </c>
      <c r="C43" s="244">
        <f ca="1">ROUND(IF('数据-取费表'!B22&lt;=1,C39*F22*'数据-取费表'!B20/2,C39*(POWER((1+F22),'数据-取费表'!B20/2)-1)),0)</f>
        <v>1540</v>
      </c>
      <c r="D43" s="244"/>
      <c r="E43" s="244"/>
      <c r="F43" s="245"/>
      <c r="G43" s="3458"/>
    </row>
    <row r="44" spans="1:7" ht="13.5" customHeight="1">
      <c r="A44" s="869" t="s">
        <v>612</v>
      </c>
      <c r="B44" s="221" t="s">
        <v>1986</v>
      </c>
      <c r="C44" s="244">
        <f ca="1">ROUND(IF('数据-取费表'!B22&lt;=1,C40*F22*'数据-取费表'!B20/2,C40*(POWER((1+F22),'数据-取费表'!B20/2)-1)),4)</f>
        <v>8.0000000000000004E-4</v>
      </c>
      <c r="D44" s="244"/>
      <c r="E44" s="244"/>
      <c r="F44" s="245"/>
      <c r="G44" s="3459"/>
    </row>
    <row r="45" spans="1:7" s="220" customFormat="1" ht="13.5" customHeight="1">
      <c r="A45" s="261" t="s">
        <v>1987</v>
      </c>
      <c r="B45" s="250" t="s">
        <v>1953</v>
      </c>
      <c r="C45" s="251">
        <f ca="1">C46</f>
        <v>373921</v>
      </c>
      <c r="D45" s="241">
        <f ca="1">C47</f>
        <v>4.0000000000000001E-3</v>
      </c>
      <c r="E45" s="242" t="s">
        <v>1979</v>
      </c>
      <c r="F45" s="2488">
        <f ca="1">F27</f>
        <v>0.2</v>
      </c>
      <c r="G45" s="253" t="s">
        <v>1988</v>
      </c>
    </row>
    <row r="46" spans="1:7" s="220" customFormat="1" ht="13.5" customHeight="1">
      <c r="A46" s="869" t="s">
        <v>610</v>
      </c>
      <c r="B46" s="254" t="s">
        <v>1989</v>
      </c>
      <c r="C46" s="255">
        <f ca="1">ROUND((C33+C39)*F27,0)</f>
        <v>373921</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268">
        <f>ROUND(F30/(1+'数据-取费表'!C42),4)</f>
        <v>5.33E-2</v>
      </c>
      <c r="D48" s="242" t="s">
        <v>1979</v>
      </c>
      <c r="E48" s="238"/>
      <c r="F48" s="2487">
        <f>F30</f>
        <v>5.6000000000000001E-2</v>
      </c>
      <c r="G48" s="240" t="s">
        <v>1992</v>
      </c>
    </row>
    <row r="49" spans="1:7" ht="16.5" customHeight="1">
      <c r="A49" s="261" t="s">
        <v>1958</v>
      </c>
      <c r="B49" s="216" t="s">
        <v>2032</v>
      </c>
      <c r="C49" s="238">
        <f ca="1">ROUND((C33+C39+C41+C45)/(1-C40-D41-D45-C48),0)</f>
        <v>2518767</v>
      </c>
      <c r="D49" s="238"/>
      <c r="E49" s="238"/>
      <c r="F49" s="270"/>
      <c r="G49" s="240" t="s">
        <v>1994</v>
      </c>
    </row>
    <row r="50" spans="1:7" s="264" customFormat="1">
      <c r="A50" s="261" t="s">
        <v>1995</v>
      </c>
      <c r="B50" s="216" t="s">
        <v>1996</v>
      </c>
      <c r="C50" s="238"/>
      <c r="D50" s="238"/>
      <c r="E50" s="238"/>
      <c r="F50" s="270">
        <f>IF('数据-取费表'!B24=0,'数据-取费表'!N16,1)</f>
        <v>0.8</v>
      </c>
      <c r="G50" s="253"/>
    </row>
    <row r="51" spans="1:7" ht="16.5" customHeight="1">
      <c r="A51" s="261" t="s">
        <v>1998</v>
      </c>
      <c r="B51" s="216" t="s">
        <v>2033</v>
      </c>
      <c r="C51" s="238">
        <f ca="1">ROUND(C49*F50,0)</f>
        <v>2015014</v>
      </c>
      <c r="D51" s="238"/>
      <c r="E51" s="238"/>
      <c r="F51" s="270"/>
      <c r="G51" s="240" t="s">
        <v>2000</v>
      </c>
    </row>
    <row r="52" spans="1:7" s="214" customFormat="1" ht="16.5" thickBot="1">
      <c r="A52" s="271" t="s">
        <v>2001</v>
      </c>
      <c r="B52" s="272"/>
      <c r="C52" s="273">
        <f ca="1">C31+C51</f>
        <v>2227623</v>
      </c>
      <c r="D52" s="272"/>
      <c r="E52" s="272"/>
      <c r="F52" s="272"/>
      <c r="G52" s="274"/>
    </row>
    <row r="55" spans="1:7" ht="15">
      <c r="B55" s="276" t="s">
        <v>2002</v>
      </c>
      <c r="C55" s="277"/>
    </row>
    <row r="56" spans="1:7">
      <c r="B56" s="279" t="s">
        <v>1233</v>
      </c>
      <c r="C56" s="281">
        <f ca="1">1-C57</f>
        <v>9.4999999999999973E-2</v>
      </c>
    </row>
    <row r="57" spans="1:7">
      <c r="B57" s="279" t="s">
        <v>1234</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87"/>
      <c r="F1" s="2987"/>
      <c r="G1" s="2850"/>
      <c r="H1" s="2987"/>
      <c r="I1" s="2987"/>
      <c r="J1" s="2987"/>
      <c r="K1" s="2988">
        <f>MATCH(C1,'数据-取费表'!A6:A16,0)+5</f>
        <v>8</v>
      </c>
    </row>
    <row r="2" spans="1:33" ht="18" customHeight="1">
      <c r="A2" s="207" t="s">
        <v>1902</v>
      </c>
      <c r="B2" s="210">
        <f ca="1">C32</f>
        <v>-8</v>
      </c>
      <c r="C2" s="282" t="s">
        <v>2035</v>
      </c>
      <c r="D2" s="282"/>
      <c r="E2" s="2987"/>
      <c r="F2" s="2987"/>
      <c r="G2" s="2987"/>
      <c r="H2" s="2987"/>
      <c r="I2" s="2987"/>
      <c r="J2" s="2987"/>
      <c r="K2" s="2987"/>
    </row>
    <row r="3" spans="1:33" ht="18" customHeight="1" thickBot="1">
      <c r="A3" s="209" t="s">
        <v>1904</v>
      </c>
      <c r="B3" s="210">
        <f ca="1">ROUND(B2*10000/IF(C1="",'数据-汇总表'!E3,INDIRECT("'数据-取费表'!K"&amp;$K$1)),0)</f>
        <v>-214</v>
      </c>
      <c r="C3" s="282" t="s">
        <v>2036</v>
      </c>
      <c r="D3" s="282"/>
      <c r="E3" s="2987"/>
      <c r="F3" s="2987"/>
      <c r="G3" s="2987"/>
      <c r="H3" s="2987"/>
      <c r="I3" s="2987"/>
      <c r="J3" s="2987"/>
      <c r="K3" s="2987"/>
    </row>
    <row r="4" spans="1:33" s="874" customFormat="1" ht="16.5" customHeight="1">
      <c r="A4" s="871" t="s">
        <v>2037</v>
      </c>
      <c r="B4" s="872"/>
      <c r="C4" s="914">
        <f>SUM(C8:K8)</f>
        <v>0</v>
      </c>
      <c r="D4" s="872"/>
      <c r="E4" s="872"/>
      <c r="F4" s="872"/>
      <c r="G4" s="872"/>
      <c r="H4" s="872"/>
      <c r="I4" s="872"/>
      <c r="J4" s="872"/>
      <c r="K4" s="873"/>
    </row>
    <row r="5" spans="1:33" s="878" customFormat="1" ht="24.75">
      <c r="A5" s="875" t="s">
        <v>2038</v>
      </c>
      <c r="B5" s="876" t="s">
        <v>2039</v>
      </c>
      <c r="C5" s="1997" t="s">
        <v>2040</v>
      </c>
      <c r="D5" s="1997" t="s">
        <v>2041</v>
      </c>
      <c r="E5" s="1997" t="s">
        <v>2042</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2046</v>
      </c>
      <c r="B8" s="169" t="s">
        <v>2047</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1059</v>
      </c>
      <c r="B11" s="890" t="s">
        <v>2055</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1060</v>
      </c>
      <c r="B12" s="890" t="s">
        <v>2056</v>
      </c>
      <c r="C12" s="24">
        <f ca="1">ROUND(C11*F12,0)</f>
        <v>0</v>
      </c>
      <c r="D12" s="891"/>
      <c r="E12" s="335"/>
      <c r="F12" s="894">
        <f>'数据-取费表'!B33</f>
        <v>0.03</v>
      </c>
      <c r="G12" s="8" t="s">
        <v>2057</v>
      </c>
      <c r="H12" s="886"/>
      <c r="I12" s="886"/>
      <c r="J12" s="886"/>
      <c r="K12" s="887"/>
    </row>
    <row r="13" spans="1:33" s="893" customFormat="1" ht="13.5" customHeight="1">
      <c r="A13" s="889" t="s">
        <v>1061</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1062</v>
      </c>
      <c r="B14" s="890" t="s">
        <v>2060</v>
      </c>
      <c r="C14" s="24">
        <f ca="1">ROUND(D14*E14*F11/10000,0)</f>
        <v>0</v>
      </c>
      <c r="D14" s="936">
        <f ca="1">IF(C1="",'数据-汇总表'!E3,INDIRECT("'数据-取费表'!K"&amp;$K$1)+INDIRECT("'数据-取费表'!S"&amp;$K$1))</f>
        <v>373.88</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1063</v>
      </c>
      <c r="B15" s="890" t="s">
        <v>2062</v>
      </c>
      <c r="C15" s="901">
        <f ca="1">ROUND(C11*F15,0)</f>
        <v>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373.88</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1064</v>
      </c>
      <c r="B18" s="890" t="s">
        <v>2067</v>
      </c>
      <c r="C18" s="24">
        <f ca="1">C19+C20-IF(C1="",'数据-取费表'!B29,IF(G18="已全部缴纳",C19+C20,H18))</f>
        <v>7</v>
      </c>
      <c r="D18" s="936"/>
      <c r="E18" s="24"/>
      <c r="F18" s="894"/>
      <c r="G18" s="1999"/>
      <c r="H18" s="1302"/>
      <c r="I18" s="2000"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2070</v>
      </c>
      <c r="C20" s="24">
        <f ca="1">ROUND(D20*E20/10000,0)</f>
        <v>7</v>
      </c>
      <c r="D20" s="936">
        <f ca="1">IF(C1="",'数据-汇总表'!E6,IF(INDIRECT("'数据-取费表'!c"&amp;$K$1)="住宅",INDIRECT("'数据-取费表'!s"&amp;$K$1),INDIRECT("'数据-取费表'!k"&amp;$K$1)+INDIRECT("'数据-取费表'!s"&amp;$K$1)))</f>
        <v>373.88</v>
      </c>
      <c r="E20" s="24">
        <f>'数据-取费表'!B28</f>
        <v>200</v>
      </c>
      <c r="F20" s="894"/>
      <c r="G20" s="15"/>
      <c r="H20" s="899"/>
      <c r="I20" s="899"/>
      <c r="J20" s="899"/>
      <c r="K20" s="900"/>
    </row>
    <row r="21" spans="1:33" s="893" customFormat="1" ht="13.5" customHeight="1">
      <c r="A21" s="879" t="s">
        <v>621</v>
      </c>
      <c r="B21" s="903" t="s">
        <v>2071</v>
      </c>
      <c r="C21" s="904">
        <f ca="1">C16+C17+C18</f>
        <v>7</v>
      </c>
      <c r="D21" s="905"/>
      <c r="E21" s="287"/>
      <c r="F21" s="287"/>
      <c r="G21" s="136" t="s">
        <v>2072</v>
      </c>
      <c r="H21" s="897"/>
      <c r="I21" s="897"/>
      <c r="J21" s="897"/>
      <c r="K21" s="898"/>
    </row>
    <row r="22" spans="1:33" s="893" customFormat="1" ht="13.5" customHeight="1">
      <c r="A22" s="879" t="s">
        <v>2044</v>
      </c>
      <c r="B22" s="903" t="s">
        <v>2073</v>
      </c>
      <c r="C22" s="904">
        <f ca="1">ROUND(C21*F22,0)</f>
        <v>0</v>
      </c>
      <c r="D22" s="287"/>
      <c r="E22" s="287"/>
      <c r="F22" s="906">
        <f>'数据-取费表'!B37</f>
        <v>0.02</v>
      </c>
      <c r="G22" s="8" t="s">
        <v>2074</v>
      </c>
      <c r="H22" s="886"/>
      <c r="I22" s="886"/>
      <c r="J22" s="886"/>
      <c r="K22" s="887"/>
    </row>
    <row r="23" spans="1:33" s="893" customFormat="1" ht="13.5" customHeight="1">
      <c r="A23" s="879" t="s">
        <v>2046</v>
      </c>
      <c r="B23" s="903" t="s">
        <v>2075</v>
      </c>
      <c r="C23" s="904">
        <f ca="1">ROUND(C4*F23*F11,0)</f>
        <v>0</v>
      </c>
      <c r="D23" s="287"/>
      <c r="E23" s="287"/>
      <c r="F23" s="906">
        <f>'数据-取费表'!B38</f>
        <v>0.02</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2084</v>
      </c>
      <c r="B28" s="2002" t="s">
        <v>2085</v>
      </c>
      <c r="C28" s="293">
        <f ca="1">C30</f>
        <v>1</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2086</v>
      </c>
      <c r="C29" s="290">
        <f ca="1">ROUND((1+C24)*F28*'数据-取费表'!B24/'数据-取费表'!B20,4)</f>
        <v>0</v>
      </c>
      <c r="D29" s="290"/>
      <c r="E29" s="291"/>
      <c r="F29" s="296"/>
      <c r="G29" s="136" t="s">
        <v>2087</v>
      </c>
      <c r="H29" s="897"/>
      <c r="I29" s="897"/>
      <c r="J29" s="897"/>
      <c r="K29" s="898"/>
    </row>
    <row r="30" spans="1:33" s="297" customFormat="1" ht="13.5" customHeight="1">
      <c r="A30" s="889" t="s">
        <v>623</v>
      </c>
      <c r="B30" s="912" t="s">
        <v>2088</v>
      </c>
      <c r="C30" s="298">
        <f ca="1">ROUND((C21+C22+C23)*F28,0)</f>
        <v>1</v>
      </c>
      <c r="D30" s="290"/>
      <c r="E30" s="291"/>
      <c r="F30" s="296"/>
      <c r="G30" s="136"/>
      <c r="H30" s="897"/>
      <c r="I30" s="897"/>
      <c r="J30" s="897"/>
      <c r="K30" s="898"/>
    </row>
    <row r="31" spans="1:33" s="893" customFormat="1" ht="13.5" customHeight="1" thickBot="1">
      <c r="A31" s="2003" t="s">
        <v>2089</v>
      </c>
      <c r="B31" s="923" t="s">
        <v>2090</v>
      </c>
      <c r="C31" s="924">
        <f>ROUND(C4*F31/(1+'数据-取费表'!C42),0)</f>
        <v>0</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-8</v>
      </c>
      <c r="D32" s="919"/>
      <c r="E32" s="919"/>
      <c r="F32" s="919"/>
      <c r="G32" s="921" t="s">
        <v>2093</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58" sqref="A58:XFD20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c r="D1" s="1497"/>
      <c r="E1" s="1498" t="s">
        <v>1107</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t="e">
        <f ca="1">C40+J29+L46</f>
        <v>#DIV/0!</v>
      </c>
      <c r="C2" s="1522" t="s">
        <v>1236</v>
      </c>
      <c r="D2" s="1522"/>
      <c r="E2" s="1523"/>
      <c r="F2" s="1524"/>
      <c r="G2" s="2885"/>
      <c r="H2" s="2874"/>
      <c r="I2" s="2874"/>
      <c r="J2" s="2874"/>
      <c r="K2" s="2875"/>
      <c r="L2" s="2874"/>
      <c r="M2" s="2874"/>
    </row>
    <row r="3" spans="1:37" ht="18" customHeight="1" thickBot="1">
      <c r="A3" s="1525" t="s">
        <v>1237</v>
      </c>
      <c r="B3" s="1526">
        <f ca="1">IF(ISERROR(B2*10000/F43),0,ROUND(B2*10000/F43,0))</f>
        <v>0</v>
      </c>
      <c r="C3" s="1522" t="s">
        <v>1238</v>
      </c>
      <c r="D3" s="1522"/>
      <c r="E3" s="1523"/>
      <c r="F3" s="1524"/>
      <c r="G3" s="2885"/>
      <c r="H3" s="692" t="s">
        <v>1308</v>
      </c>
      <c r="I3" s="1517"/>
      <c r="J3" s="1517"/>
      <c r="K3" s="1518"/>
      <c r="L3" s="1517"/>
      <c r="M3" s="1517"/>
    </row>
    <row r="4" spans="1:37" ht="18" customHeight="1">
      <c r="A4" s="301" t="s">
        <v>1116</v>
      </c>
      <c r="B4" s="302" t="s">
        <v>1117</v>
      </c>
      <c r="C4" s="302" t="s">
        <v>1118</v>
      </c>
      <c r="D4" s="302" t="s">
        <v>1119</v>
      </c>
      <c r="E4" s="303" t="s">
        <v>1120</v>
      </c>
      <c r="F4" s="304"/>
      <c r="G4" s="1519"/>
      <c r="H4" s="301" t="s">
        <v>1116</v>
      </c>
      <c r="I4" s="302" t="s">
        <v>1117</v>
      </c>
      <c r="J4" s="302" t="s">
        <v>1118</v>
      </c>
      <c r="K4" s="302" t="s">
        <v>1119</v>
      </c>
      <c r="L4" s="303" t="s">
        <v>1120</v>
      </c>
      <c r="M4" s="304"/>
    </row>
    <row r="5" spans="1:37" ht="18" customHeight="1">
      <c r="A5" s="305">
        <v>1</v>
      </c>
      <c r="B5" s="306" t="s">
        <v>1121</v>
      </c>
      <c r="C5" s="1183">
        <f ca="1">C6+C10+C12</f>
        <v>0</v>
      </c>
      <c r="D5" s="1499" t="s">
        <v>1122</v>
      </c>
      <c r="E5" s="1184"/>
      <c r="F5" s="1185"/>
      <c r="G5" s="1519"/>
      <c r="H5" s="305">
        <v>1</v>
      </c>
      <c r="I5" s="306" t="s">
        <v>1121</v>
      </c>
      <c r="J5" s="1183">
        <f ca="1">J6+J10+J12</f>
        <v>0</v>
      </c>
      <c r="K5" s="1499" t="s">
        <v>1122</v>
      </c>
      <c r="L5" s="1184"/>
      <c r="M5" s="1185"/>
    </row>
    <row r="6" spans="1:37" ht="18" customHeight="1">
      <c r="A6" s="1182" t="s">
        <v>822</v>
      </c>
      <c r="B6" s="3462" t="s">
        <v>1123</v>
      </c>
      <c r="C6" s="1187">
        <f ca="1">ROUND(F6*F8*F7*(1-F9)/10000,0)</f>
        <v>0</v>
      </c>
      <c r="D6" s="160" t="s">
        <v>2604</v>
      </c>
      <c r="E6" s="308" t="s">
        <v>1125</v>
      </c>
      <c r="F6" s="309">
        <f ca="1">INDIRECT("'数据-取费表'!u"&amp;$G$1)</f>
        <v>0</v>
      </c>
      <c r="G6" s="1519"/>
      <c r="H6" s="1182" t="s">
        <v>822</v>
      </c>
      <c r="I6" s="3462" t="s">
        <v>1123</v>
      </c>
      <c r="J6" s="307">
        <f ca="1">ROUND(M6*M8*M7*(1-M9)/10000,0)</f>
        <v>0</v>
      </c>
      <c r="K6" s="160" t="s">
        <v>2603</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0</v>
      </c>
      <c r="G7" s="1519"/>
      <c r="H7" s="310"/>
      <c r="I7" s="3463"/>
      <c r="J7" s="312"/>
      <c r="K7" s="313"/>
      <c r="L7" s="308" t="s">
        <v>1126</v>
      </c>
      <c r="M7" s="309">
        <f ca="1">F7</f>
        <v>0</v>
      </c>
    </row>
    <row r="8" spans="1:37" ht="18" customHeight="1">
      <c r="A8" s="310"/>
      <c r="B8" s="3463"/>
      <c r="C8" s="312"/>
      <c r="D8" s="313"/>
      <c r="E8" s="308" t="s">
        <v>1127</v>
      </c>
      <c r="F8" s="309">
        <f ca="1">INDIRECT("'数据-取费表'!ai"&amp;$G$1)</f>
        <v>0</v>
      </c>
      <c r="G8" s="1519"/>
      <c r="H8" s="310"/>
      <c r="I8" s="3463"/>
      <c r="J8" s="312"/>
      <c r="K8" s="313"/>
      <c r="L8" s="308" t="s">
        <v>1127</v>
      </c>
      <c r="M8" s="309">
        <f ca="1">INDIRECT("'数据-取费表'!ai"&amp;$G$1)</f>
        <v>0</v>
      </c>
    </row>
    <row r="9" spans="1:37" ht="18" customHeight="1">
      <c r="A9" s="310"/>
      <c r="B9" s="3464"/>
      <c r="C9" s="312"/>
      <c r="D9" s="313"/>
      <c r="E9" s="308" t="s">
        <v>1128</v>
      </c>
      <c r="F9" s="318">
        <f ca="1">INDIRECT("'数据-取费表'!w"&amp;$G$1)</f>
        <v>0</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0</v>
      </c>
      <c r="D10" s="1501" t="s">
        <v>2612</v>
      </c>
      <c r="E10" s="319" t="s">
        <v>1130</v>
      </c>
      <c r="F10" s="1229"/>
      <c r="G10" s="1519"/>
      <c r="H10" s="1182" t="s">
        <v>826</v>
      </c>
      <c r="I10" s="1500" t="s">
        <v>1129</v>
      </c>
      <c r="J10" s="307">
        <f ca="1">ROUND(IF(M10="押一",J6/12*M11,IF(M10="押二",J6/12*2*M11,IF(M10="押三",J6/12*3*M11,J11*M11))),0)</f>
        <v>0</v>
      </c>
      <c r="K10" s="1501" t="s">
        <v>2611</v>
      </c>
      <c r="L10" s="319" t="s">
        <v>1130</v>
      </c>
      <c r="M10" s="1229" t="s">
        <v>1131</v>
      </c>
    </row>
    <row r="11" spans="1:37" ht="18" customHeight="1">
      <c r="A11" s="314"/>
      <c r="B11" s="1502" t="s">
        <v>1108</v>
      </c>
      <c r="C11" s="1071"/>
      <c r="D11" s="1503"/>
      <c r="E11" s="319" t="s">
        <v>1132</v>
      </c>
      <c r="F11" s="320">
        <f ca="1">'数据-取费表'!B39</f>
        <v>1.4999999999999999E-2</v>
      </c>
      <c r="G11" s="1519"/>
      <c r="H11" s="1190"/>
      <c r="I11" s="1502" t="s">
        <v>1108</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0</v>
      </c>
      <c r="D13" s="1194" t="s">
        <v>1135</v>
      </c>
      <c r="E13" s="1194" t="s">
        <v>1136</v>
      </c>
      <c r="F13" s="1195">
        <f ca="1">INDIRECT("'数据-取费表'!y"&amp;$G$1)</f>
        <v>0</v>
      </c>
      <c r="G13" s="1519"/>
      <c r="H13" s="1192">
        <v>2</v>
      </c>
      <c r="I13" s="1193" t="s">
        <v>1134</v>
      </c>
      <c r="J13" s="1181">
        <f ca="1">ROUND(J14*J15,0)</f>
        <v>0</v>
      </c>
      <c r="K13" s="1200" t="s">
        <v>1135</v>
      </c>
      <c r="L13" s="1527"/>
      <c r="M13" s="1528"/>
    </row>
    <row r="14" spans="1:37" ht="18" customHeight="1">
      <c r="A14" s="1094" t="s">
        <v>821</v>
      </c>
      <c r="B14" s="308" t="s">
        <v>1137</v>
      </c>
      <c r="C14" s="324">
        <f ca="1">INDIRECT("'数据-取费表'!m"&amp;$G$1)+INDIRECT("'数据-取费表'!t"&amp;$G$1)</f>
        <v>0</v>
      </c>
      <c r="D14" s="1480" t="s">
        <v>1138</v>
      </c>
      <c r="E14" s="1477"/>
      <c r="F14" s="325"/>
      <c r="G14" s="1519"/>
      <c r="H14" s="1094" t="s">
        <v>822</v>
      </c>
      <c r="I14" s="308" t="s">
        <v>1139</v>
      </c>
      <c r="J14" s="24">
        <f ca="1">C29</f>
        <v>0</v>
      </c>
      <c r="K14" s="15"/>
      <c r="L14" s="897"/>
      <c r="M14" s="898"/>
    </row>
    <row r="15" spans="1:37" s="1532" customFormat="1" ht="18" customHeight="1" thickBot="1">
      <c r="A15" s="1094" t="s">
        <v>823</v>
      </c>
      <c r="B15" s="308" t="s">
        <v>1140</v>
      </c>
      <c r="C15" s="24">
        <f ca="1">ROUND(C14*F15,0)</f>
        <v>0</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ROUND(INDIRECT("'数据-取费表'!m"&amp;$G$1)*F16,0)</f>
        <v>0</v>
      </c>
      <c r="D16" s="308" t="s">
        <v>1141</v>
      </c>
      <c r="E16" s="308" t="s">
        <v>1142</v>
      </c>
      <c r="F16" s="328">
        <f ca="1">IF(INDIRECT("'数据-取费表'!c"&amp;$G$1)="住宅",'数据-取费表'!B34,0)</f>
        <v>0</v>
      </c>
      <c r="G16" s="1519"/>
      <c r="H16" s="1192" t="s">
        <v>817</v>
      </c>
      <c r="I16" s="1193" t="s">
        <v>1144</v>
      </c>
      <c r="J16" s="316">
        <f ca="1">ROUND(J17+J22+J23+J24,0)</f>
        <v>0</v>
      </c>
      <c r="K16" s="1200" t="s">
        <v>1145</v>
      </c>
      <c r="L16" s="1201"/>
      <c r="M16" s="1185"/>
    </row>
    <row r="17" spans="1:37" s="1532" customFormat="1" ht="18" customHeight="1">
      <c r="A17" s="1094" t="s">
        <v>1110</v>
      </c>
      <c r="B17" s="308" t="s">
        <v>1146</v>
      </c>
      <c r="C17" s="24">
        <f ca="1">ROUND(F17*(F43+INDIRECT("'数据-取费表'!S"&amp;$G$1))/10000,0)</f>
        <v>0</v>
      </c>
      <c r="D17" s="308" t="s">
        <v>1147</v>
      </c>
      <c r="E17" s="308" t="s">
        <v>1148</v>
      </c>
      <c r="F17" s="26">
        <f>'数据-取费表'!B35</f>
        <v>200</v>
      </c>
      <c r="G17" s="1531"/>
      <c r="H17" s="1094" t="s">
        <v>822</v>
      </c>
      <c r="I17" s="308" t="s">
        <v>1149</v>
      </c>
      <c r="J17" s="2485">
        <f ca="1">ROUND(IF(AND(项目基本情况!B11="自然人",项目基本情况!B10="北京市"),J6*M17/(1+'数据-取费表'!C42),J18+J19+J20),0)</f>
        <v>0</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0</v>
      </c>
      <c r="D18" s="308" t="s">
        <v>1141</v>
      </c>
      <c r="E18" s="308" t="s">
        <v>1142</v>
      </c>
      <c r="F18" s="328">
        <f>'数据-取费表'!B36</f>
        <v>1.4999999999999999E-2</v>
      </c>
      <c r="G18" s="1531"/>
      <c r="H18" s="1094" t="s">
        <v>821</v>
      </c>
      <c r="I18" s="308" t="s">
        <v>1153</v>
      </c>
      <c r="J18" s="24">
        <f ca="1">ROUND(J6*M18/(1+'数据-取费表'!C42),2)</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0</v>
      </c>
      <c r="D19" s="136" t="s">
        <v>1156</v>
      </c>
      <c r="E19" s="1495"/>
      <c r="F19" s="26"/>
      <c r="G19" s="1519"/>
      <c r="H19" s="1094" t="s">
        <v>823</v>
      </c>
      <c r="I19" s="308" t="s">
        <v>1157</v>
      </c>
      <c r="J19" s="24">
        <f ca="1">IF(K19="按租金收入计税",ROUND(J6*M19/(1+'数据-取费表'!C42),2),ROUND(C29*M19*0.7,2))</f>
        <v>0</v>
      </c>
      <c r="K19" s="1505" t="s">
        <v>1158</v>
      </c>
      <c r="L19" s="308" t="s">
        <v>1142</v>
      </c>
      <c r="M19" s="328">
        <f>IF(K19="按租金收入计税",'数据-取费表'!B51,'数据-取费表'!B50)</f>
        <v>1.2E-2</v>
      </c>
    </row>
    <row r="20" spans="1:37" s="1532" customFormat="1" ht="18" customHeight="1">
      <c r="A20" s="1094" t="s">
        <v>826</v>
      </c>
      <c r="B20" s="308" t="s">
        <v>1159</v>
      </c>
      <c r="C20" s="24">
        <f ca="1">ROUND(C19*F20,0)</f>
        <v>0</v>
      </c>
      <c r="D20" s="329" t="s">
        <v>1160</v>
      </c>
      <c r="E20" s="308" t="s">
        <v>1142</v>
      </c>
      <c r="F20" s="328">
        <f>'数据-取费表'!B37</f>
        <v>0.02</v>
      </c>
      <c r="G20" s="1531"/>
      <c r="H20" s="1094" t="s">
        <v>1109</v>
      </c>
      <c r="I20" s="160" t="s">
        <v>1161</v>
      </c>
      <c r="J20" s="25">
        <f ca="1">ROUND(M20*M21/10000,2)</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18</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ROUND(J14*M22,1)</f>
        <v>0</v>
      </c>
      <c r="K22" s="1479" t="s">
        <v>1170</v>
      </c>
      <c r="L22" s="308" t="s">
        <v>1142</v>
      </c>
      <c r="M22" s="334">
        <f ca="1">INDIRECT("'数据-取费表'!Ak"&amp;$G$1)</f>
        <v>0</v>
      </c>
    </row>
    <row r="23" spans="1:37" s="1532" customFormat="1" ht="18" customHeight="1">
      <c r="A23" s="1094"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ROUND(J13*M23,1)</f>
        <v>0</v>
      </c>
      <c r="K23" s="1479" t="s">
        <v>1174</v>
      </c>
      <c r="L23" s="308" t="s">
        <v>1175</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ROUND(J5*M24,1)</f>
        <v>0</v>
      </c>
      <c r="K24" s="1205" t="s">
        <v>1179</v>
      </c>
      <c r="L24" s="1203" t="s">
        <v>1175</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1180</v>
      </c>
      <c r="B25" s="308" t="s">
        <v>1181</v>
      </c>
      <c r="C25" s="24"/>
      <c r="D25" s="136" t="s">
        <v>1182</v>
      </c>
      <c r="E25" s="1495"/>
      <c r="F25" s="26"/>
      <c r="G25" s="1519"/>
      <c r="H25" s="1192" t="s">
        <v>818</v>
      </c>
      <c r="I25" s="1207" t="s">
        <v>1183</v>
      </c>
      <c r="J25" s="316">
        <f ca="1">J5-J16</f>
        <v>0</v>
      </c>
      <c r="K25" s="1208" t="s">
        <v>1184</v>
      </c>
      <c r="L25" s="1209"/>
      <c r="M25" s="1210"/>
    </row>
    <row r="26" spans="1:37">
      <c r="A26" s="1094" t="s">
        <v>821</v>
      </c>
      <c r="B26" s="308" t="s">
        <v>1185</v>
      </c>
      <c r="C26" s="24">
        <f ca="1">ROUND((C19+C20)*F26,0)</f>
        <v>0</v>
      </c>
      <c r="D26" s="329" t="s">
        <v>1186</v>
      </c>
      <c r="E26" s="319" t="s">
        <v>1187</v>
      </c>
      <c r="F26" s="318">
        <f ca="1">INDIRECT("'数据-取费表'!q"&amp;$G$1)</f>
        <v>0</v>
      </c>
      <c r="G26" s="1519"/>
      <c r="H26" s="305" t="s">
        <v>819</v>
      </c>
      <c r="I26" s="306" t="s">
        <v>1188</v>
      </c>
      <c r="J26" s="307">
        <f ca="1">IF(J5&lt;&gt;0,ROUND(J25*(1-((1+M28)/(1+M26))^M27)/(M26-M28),0),0)</f>
        <v>0</v>
      </c>
      <c r="K26" s="330" t="s">
        <v>1189</v>
      </c>
      <c r="L26" s="308" t="s">
        <v>1190</v>
      </c>
      <c r="M26" s="318">
        <f ca="1">INDIRECT("'数据-取费表'!I"&amp;$G$1)</f>
        <v>0</v>
      </c>
    </row>
    <row r="27" spans="1:37" ht="18" customHeight="1">
      <c r="A27" s="1094" t="s">
        <v>823</v>
      </c>
      <c r="B27" s="308" t="s">
        <v>1191</v>
      </c>
      <c r="C27" s="24">
        <f ca="1">ROUND(F21*F26,4)</f>
        <v>0</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0</v>
      </c>
      <c r="D29" s="1205"/>
      <c r="E29" s="1203"/>
      <c r="F29" s="1206"/>
      <c r="G29" s="1531"/>
      <c r="H29" s="340" t="s">
        <v>820</v>
      </c>
      <c r="I29" s="341" t="s">
        <v>1199</v>
      </c>
      <c r="J29" s="342">
        <f ca="1">ROUND(J26/(1+F40)^F41,0)</f>
        <v>0</v>
      </c>
      <c r="K29" s="343" t="s">
        <v>1200</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0</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0</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IF(项目基本情况!B11="自然人","——",ROUND(C6*F32/(1+'数据-取费表'!C42),2))</f>
        <v>0</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IF(项目基本情况!B11="自然人","——",IF(D33="按租金收入计税",ROUND(C6*F33/(1+'数据-取费表'!C42),2),IF(D33="按房产原值计税",ROUND(C29*F33*0.7,2),INDIRECT("'数据-取费表'!Aj"&amp;$G$1))))</f>
        <v>0</v>
      </c>
      <c r="D33" s="1505" t="s">
        <v>1158</v>
      </c>
      <c r="E33" s="308" t="s">
        <v>1142</v>
      </c>
      <c r="F33" s="328">
        <f>IF(D33="按票据","——",IF(D33="按租金收入计税",'数据-取费表'!B51,'数据-取费表'!B50))</f>
        <v>1.2E-2</v>
      </c>
      <c r="G33" s="1519"/>
      <c r="H33" s="2879"/>
      <c r="I33" s="1533"/>
      <c r="J33" s="1534"/>
      <c r="K33" s="2880"/>
      <c r="L33" s="2879"/>
      <c r="M33" s="2879"/>
    </row>
    <row r="34" spans="1:18" ht="18" customHeight="1">
      <c r="A34" s="1182" t="s">
        <v>1109</v>
      </c>
      <c r="B34" s="160" t="s">
        <v>1161</v>
      </c>
      <c r="C34" s="25">
        <f ca="1">IF(项目基本情况!B11="自然人","——",ROUND(F34*F35/10000,2))</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ROUND(C29*F36,1)</f>
        <v>0</v>
      </c>
      <c r="D36" s="1479" t="s">
        <v>1202</v>
      </c>
      <c r="E36" s="308" t="s">
        <v>1142</v>
      </c>
      <c r="F36" s="334">
        <f ca="1">INDIRECT("'数据-取费表'!Ak"&amp;$G$1)</f>
        <v>0</v>
      </c>
      <c r="G36" s="1519"/>
      <c r="H36" s="2879"/>
      <c r="I36" s="1533"/>
      <c r="J36" s="1534"/>
      <c r="K36" s="2720"/>
      <c r="L36" s="2879"/>
      <c r="M36" s="2879"/>
    </row>
    <row r="37" spans="1:18" ht="18" customHeight="1">
      <c r="A37" s="1094" t="s">
        <v>862</v>
      </c>
      <c r="B37" s="308" t="s">
        <v>1173</v>
      </c>
      <c r="C37" s="24">
        <f ca="1">ROUND(C13*F37,1)</f>
        <v>0</v>
      </c>
      <c r="D37" s="1479" t="s">
        <v>1174</v>
      </c>
      <c r="E37" s="308" t="s">
        <v>1175</v>
      </c>
      <c r="F37" s="336">
        <f ca="1">INDIRECT("'数据-取费表'!Al"&amp;$G$1)</f>
        <v>0</v>
      </c>
      <c r="G37" s="1519"/>
      <c r="H37" s="2879"/>
      <c r="I37" s="1533"/>
      <c r="J37" s="1534"/>
      <c r="K37" s="2720"/>
      <c r="L37" s="2879"/>
      <c r="M37" s="2879"/>
    </row>
    <row r="38" spans="1:18" ht="18" customHeight="1" thickBot="1">
      <c r="A38" s="1202" t="s">
        <v>1113</v>
      </c>
      <c r="B38" s="1203" t="s">
        <v>1159</v>
      </c>
      <c r="C38" s="1204">
        <f ca="1">ROUND(C5*F38,1)</f>
        <v>0</v>
      </c>
      <c r="D38" s="1205" t="s">
        <v>1179</v>
      </c>
      <c r="E38" s="1203" t="s">
        <v>1175</v>
      </c>
      <c r="F38" s="1199">
        <f ca="1">INDIRECT("'数据-取费表'!Am"&amp;$G$1)</f>
        <v>0</v>
      </c>
      <c r="G38" s="1519"/>
      <c r="H38" s="2879"/>
      <c r="I38" s="1533"/>
      <c r="J38" s="1534"/>
      <c r="K38" s="2883"/>
      <c r="L38" s="2879"/>
      <c r="M38" s="2879"/>
    </row>
    <row r="39" spans="1:18" ht="24.6" customHeight="1" thickTop="1">
      <c r="A39" s="1192" t="s">
        <v>818</v>
      </c>
      <c r="B39" s="1207" t="s">
        <v>1203</v>
      </c>
      <c r="C39" s="316">
        <f ca="1">C5-C30</f>
        <v>0</v>
      </c>
      <c r="D39" s="1208" t="s">
        <v>1204</v>
      </c>
      <c r="E39" s="1209"/>
      <c r="F39" s="1210"/>
      <c r="G39" s="1519"/>
      <c r="H39" s="2879"/>
      <c r="I39" s="1533"/>
      <c r="J39" s="1534"/>
      <c r="K39" s="2883"/>
      <c r="L39" s="2879"/>
      <c r="M39" s="2879"/>
    </row>
    <row r="40" spans="1:18" ht="18" customHeight="1">
      <c r="A40" s="305" t="s">
        <v>819</v>
      </c>
      <c r="B40" s="306" t="s">
        <v>1205</v>
      </c>
      <c r="C40" s="307" t="e">
        <f ca="1">ROUND(C39*(1-((1+F42)/(1+F40))^F41)/(F40-F42),0)</f>
        <v>#DIV/0!</v>
      </c>
      <c r="D40" s="330" t="s">
        <v>1189</v>
      </c>
      <c r="E40" s="308" t="s">
        <v>1190</v>
      </c>
      <c r="F40" s="318">
        <f ca="1">INDIRECT("'数据-取费表'!I"&amp;$G$1)</f>
        <v>0</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1197</v>
      </c>
      <c r="F42" s="318">
        <f ca="1">INDIRECT("'数据-取费表'!v"&amp;$G$1)</f>
        <v>0</v>
      </c>
      <c r="G42" s="1519"/>
      <c r="H42" s="1306"/>
      <c r="I42" s="1533"/>
      <c r="J42" s="1534"/>
      <c r="K42" s="2720"/>
      <c r="L42" s="1306"/>
      <c r="M42" s="1306"/>
    </row>
    <row r="43" spans="1:18" ht="18" customHeight="1" thickBot="1">
      <c r="A43" s="340" t="s">
        <v>820</v>
      </c>
      <c r="B43" s="341" t="s">
        <v>1207</v>
      </c>
      <c r="C43" s="342" t="e">
        <f ca="1">ROUND(C40*10000/F43,0)</f>
        <v>#DIV/0!</v>
      </c>
      <c r="D43" s="343" t="s">
        <v>1208</v>
      </c>
      <c r="E43" s="344" t="s">
        <v>1209</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1239</v>
      </c>
      <c r="P45" s="1596"/>
      <c r="Q45" s="1596"/>
      <c r="R45" s="1596"/>
    </row>
    <row r="46" spans="1:18" s="1519" customFormat="1" ht="13.5" thickBot="1">
      <c r="A46" s="1539" t="s">
        <v>1240</v>
      </c>
      <c r="C46" s="1540" t="e">
        <f ca="1">C68-C40</f>
        <v>#DIV/0!</v>
      </c>
      <c r="D46" s="1541" t="str">
        <f>C2</f>
        <v>万元</v>
      </c>
      <c r="E46" s="1535"/>
      <c r="F46" s="1535"/>
      <c r="I46" s="1542" t="s">
        <v>1241</v>
      </c>
      <c r="J46" s="1543"/>
      <c r="K46" s="1544"/>
      <c r="L46" s="1545" t="e">
        <f ca="1">IF(M47="住宅",0,IF(L48&gt;J51,L60,J60))</f>
        <v>#DIV/0!</v>
      </c>
      <c r="O46" s="1546" t="s">
        <v>1242</v>
      </c>
      <c r="P46" s="1547" t="s">
        <v>1243</v>
      </c>
      <c r="Q46" s="1548" t="s">
        <v>1244</v>
      </c>
      <c r="R46" s="1548" t="s">
        <v>1245</v>
      </c>
    </row>
    <row r="47" spans="1:18" s="1519" customFormat="1" ht="13.5" thickBot="1">
      <c r="A47" s="1058" t="s">
        <v>1116</v>
      </c>
      <c r="B47" s="1090" t="s">
        <v>1117</v>
      </c>
      <c r="C47" s="1230" t="s">
        <v>1118</v>
      </c>
      <c r="D47" s="1090" t="s">
        <v>1119</v>
      </c>
      <c r="E47" s="1170" t="s">
        <v>1120</v>
      </c>
      <c r="F47" s="1171"/>
      <c r="G47" s="731"/>
      <c r="I47" s="1549" t="s">
        <v>1246</v>
      </c>
      <c r="J47" s="1550"/>
      <c r="K47" s="1551" t="s">
        <v>1247</v>
      </c>
      <c r="L47" s="1552">
        <f ca="1">INDIRECT("'数据-取费表'!d"&amp;$G$1)</f>
        <v>0</v>
      </c>
      <c r="M47" s="1515" t="str">
        <f>IF(ISNUMBER(FIND("住宅",C1)),"住宅","非住宅")</f>
        <v>非住宅</v>
      </c>
      <c r="O47" s="1553" t="s">
        <v>827</v>
      </c>
      <c r="P47" s="1554" t="s">
        <v>1248</v>
      </c>
      <c r="Q47" s="1555" t="e">
        <f ca="1">C40+J29</f>
        <v>#DIV/0!</v>
      </c>
      <c r="R47" s="1555" t="s">
        <v>1249</v>
      </c>
    </row>
    <row r="48" spans="1:18" s="1519" customFormat="1" ht="28.5" thickBot="1">
      <c r="A48" s="1223" t="s">
        <v>863</v>
      </c>
      <c r="B48" s="306" t="s">
        <v>1121</v>
      </c>
      <c r="C48" s="1494">
        <f ca="1">C49+C53+C55</f>
        <v>0</v>
      </c>
      <c r="D48" s="1225"/>
      <c r="E48" s="1226"/>
      <c r="F48" s="1074"/>
      <c r="G48" s="731"/>
      <c r="H48" s="732"/>
      <c r="I48" s="1556" t="s">
        <v>1250</v>
      </c>
      <c r="J48" s="1557"/>
      <c r="K48" s="1558" t="s">
        <v>1251</v>
      </c>
      <c r="L48" s="1559">
        <f ca="1">INDIRECT("'数据-取费表'!f"&amp;$G$1)</f>
        <v>0</v>
      </c>
      <c r="O48" s="1553" t="s">
        <v>828</v>
      </c>
      <c r="P48" s="1554" t="s">
        <v>1252</v>
      </c>
      <c r="Q48" s="1555" t="e">
        <f ca="1">J60</f>
        <v>#DIV/0!</v>
      </c>
      <c r="R48" s="1555" t="s">
        <v>1253</v>
      </c>
    </row>
    <row r="49" spans="1:18" s="1519" customFormat="1" ht="13.5" thickBot="1">
      <c r="A49" s="1087" t="s">
        <v>864</v>
      </c>
      <c r="B49" s="1506" t="s">
        <v>1210</v>
      </c>
      <c r="C49" s="1227">
        <f ca="1">ROUND(F49*F51*F50*(1-F52)/10000,0)</f>
        <v>0</v>
      </c>
      <c r="D49" s="1167" t="s">
        <v>2605</v>
      </c>
      <c r="E49" s="1507" t="s">
        <v>1211</v>
      </c>
      <c r="F49" s="1172"/>
      <c r="G49" s="1560"/>
      <c r="H49" s="732"/>
      <c r="I49" s="1556" t="s">
        <v>1254</v>
      </c>
      <c r="J49" s="1561"/>
      <c r="K49" s="1558" t="s">
        <v>1255</v>
      </c>
      <c r="L49" s="1562"/>
      <c r="O49" s="1563" t="s">
        <v>829</v>
      </c>
      <c r="P49" s="1554" t="s">
        <v>1256</v>
      </c>
      <c r="Q49" s="1555">
        <f ca="1">C29</f>
        <v>0</v>
      </c>
      <c r="R49" s="1555" t="s">
        <v>1249</v>
      </c>
    </row>
    <row r="50" spans="1:18" s="1519" customFormat="1" ht="13.5" thickBot="1">
      <c r="A50" s="1088"/>
      <c r="B50" s="1091"/>
      <c r="C50" s="1231"/>
      <c r="D50" s="1065"/>
      <c r="E50" s="1168" t="s">
        <v>1126</v>
      </c>
      <c r="F50" s="1169">
        <f ca="1">F7</f>
        <v>0</v>
      </c>
      <c r="H50" s="732"/>
      <c r="I50" s="1556" t="s">
        <v>1257</v>
      </c>
      <c r="J50" s="1564">
        <f>SUMPRODUCT((I63:I65=J47)*(J62:L62=J48)*(J63:L65))</f>
        <v>0</v>
      </c>
      <c r="K50" s="1558" t="s">
        <v>1258</v>
      </c>
      <c r="L50" s="1562"/>
      <c r="M50" s="1565"/>
      <c r="O50" s="1563" t="s">
        <v>830</v>
      </c>
      <c r="P50" s="1554" t="s">
        <v>1259</v>
      </c>
      <c r="Q50" s="1566" t="e">
        <f ca="1">J58</f>
        <v>#DIV/0!</v>
      </c>
      <c r="R50" s="1555"/>
    </row>
    <row r="51" spans="1:18" s="1519" customFormat="1" ht="13.5" thickBot="1">
      <c r="A51" s="1089"/>
      <c r="B51" s="1091"/>
      <c r="C51" s="1092"/>
      <c r="D51" s="1065"/>
      <c r="E51" s="1093" t="s">
        <v>1127</v>
      </c>
      <c r="F51" s="309">
        <f ca="1">F8</f>
        <v>0</v>
      </c>
      <c r="I51" s="1567" t="s">
        <v>1260</v>
      </c>
      <c r="J51" s="1568">
        <f>IF(J49="",J50,J49+J50-YEAR('数据-取费表'!B2))</f>
        <v>0</v>
      </c>
      <c r="K51" s="1569" t="s">
        <v>1261</v>
      </c>
      <c r="L51" s="1570">
        <f ca="1">ROUND(-PV(INDIRECT("'数据-取费表'!h"&amp;$G$1),J51,(C39-C13*C76),0),0)</f>
        <v>0</v>
      </c>
      <c r="M51" s="1571"/>
      <c r="O51" s="1563" t="s">
        <v>831</v>
      </c>
      <c r="P51" s="1554" t="s">
        <v>1262</v>
      </c>
      <c r="Q51" s="1566">
        <f>J52</f>
        <v>0</v>
      </c>
      <c r="R51" s="1555"/>
    </row>
    <row r="52" spans="1:18" s="1519" customFormat="1" ht="13.5" thickBot="1">
      <c r="A52" s="1089"/>
      <c r="B52" s="1091"/>
      <c r="C52" s="1092"/>
      <c r="D52" s="1065"/>
      <c r="E52" s="1093" t="s">
        <v>1128</v>
      </c>
      <c r="F52" s="1166"/>
      <c r="I52" s="1572" t="s">
        <v>1263</v>
      </c>
      <c r="J52" s="1573"/>
      <c r="K52" s="1572" t="s">
        <v>1264</v>
      </c>
      <c r="L52" s="1573"/>
      <c r="O52" s="1563" t="s">
        <v>832</v>
      </c>
      <c r="P52" s="1554" t="s">
        <v>1265</v>
      </c>
      <c r="Q52" s="1555">
        <f ca="1">J53</f>
        <v>0</v>
      </c>
      <c r="R52" s="1555" t="s">
        <v>1266</v>
      </c>
    </row>
    <row r="53" spans="1:18" s="1519" customFormat="1" ht="24.75" thickBot="1">
      <c r="A53" s="1267" t="s">
        <v>865</v>
      </c>
      <c r="B53" s="1508" t="s">
        <v>1129</v>
      </c>
      <c r="C53" s="322">
        <f ca="1">ROUND(IF(F53="押一",C49/12*F11,IF(F53="押二",C49/12*2*F11,IF(F53="押三",C49/12*3*F11,C54*F11))),0)</f>
        <v>0</v>
      </c>
      <c r="D53" s="1501" t="s">
        <v>2611</v>
      </c>
      <c r="E53" s="319" t="s">
        <v>1130</v>
      </c>
      <c r="F53" s="1229"/>
      <c r="I53" s="1574" t="s">
        <v>1267</v>
      </c>
      <c r="J53" s="2337">
        <f ca="1">IF(M47="住宅",IF(D1="——",MAX(J51,L48),MAX(J51,L48-'数据-取费表'!B24)),IF(D1="——",MIN(J51,L48),MIN(J51,L48-'数据-取费表'!B24)))</f>
        <v>0</v>
      </c>
      <c r="K53" s="3460" t="s">
        <v>1268</v>
      </c>
      <c r="L53" s="3461"/>
      <c r="O53" s="1553" t="s">
        <v>833</v>
      </c>
      <c r="P53" s="1554" t="s">
        <v>1269</v>
      </c>
      <c r="Q53" s="1555" t="e">
        <f ca="1">Q47+Q48</f>
        <v>#DIV/0!</v>
      </c>
      <c r="R53" s="1555" t="s">
        <v>834</v>
      </c>
    </row>
    <row r="54" spans="1:18" s="1519" customFormat="1" ht="13.5" thickBot="1">
      <c r="A54" s="1268"/>
      <c r="B54" s="1502" t="s">
        <v>1108</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#DIV/0!</v>
      </c>
      <c r="K55" s="1580" t="s">
        <v>1272</v>
      </c>
      <c r="L55" s="1581" t="s">
        <v>1273</v>
      </c>
      <c r="O55" s="1546" t="s">
        <v>1242</v>
      </c>
      <c r="P55" s="1547" t="s">
        <v>1243</v>
      </c>
      <c r="Q55" s="1548" t="s">
        <v>1244</v>
      </c>
      <c r="R55" s="1548" t="s">
        <v>1245</v>
      </c>
    </row>
    <row r="56" spans="1:18" s="1519" customFormat="1" ht="25.5" thickTop="1" thickBot="1">
      <c r="A56" s="1069">
        <v>2</v>
      </c>
      <c r="B56" s="1070" t="s">
        <v>1134</v>
      </c>
      <c r="C56" s="238">
        <f ca="1">C13</f>
        <v>0</v>
      </c>
      <c r="D56" s="1582"/>
      <c r="E56" s="1583"/>
      <c r="F56" s="1575"/>
      <c r="I56" s="1584" t="s">
        <v>1274</v>
      </c>
      <c r="J56" s="1585"/>
      <c r="K56" s="1556" t="s">
        <v>1275</v>
      </c>
      <c r="L56" s="1559">
        <f ca="1">IF(L48&lt;J51,"——",L48-J53)</f>
        <v>0</v>
      </c>
      <c r="O56" s="1553" t="s">
        <v>827</v>
      </c>
      <c r="P56" s="1554" t="s">
        <v>1248</v>
      </c>
      <c r="Q56" s="1555" t="e">
        <f ca="1">C40+J29</f>
        <v>#DIV/0!</v>
      </c>
      <c r="R56" s="1555" t="s">
        <v>1249</v>
      </c>
    </row>
    <row r="57" spans="1:18" s="1519" customFormat="1" ht="24.75" thickBot="1">
      <c r="A57" s="1586"/>
      <c r="B57" s="1062" t="s">
        <v>1198</v>
      </c>
      <c r="C57" s="244">
        <f ca="1">C29</f>
        <v>0</v>
      </c>
      <c r="D57" s="1587"/>
      <c r="E57" s="1588"/>
      <c r="F57" s="1589"/>
      <c r="I57" s="1590" t="s">
        <v>1276</v>
      </c>
      <c r="J57" s="1591">
        <f ca="1">IF(OR(M47="住宅",J51&lt;L48,J56="是"),"——",J51-L48)</f>
        <v>0</v>
      </c>
      <c r="K57" s="1556" t="s">
        <v>1277</v>
      </c>
      <c r="L57" s="1559">
        <f ca="1">IF(L48&lt;J51,"——",IF(L55="比较法",L49,IF(L55="基准地价",L50,L51)))</f>
        <v>0</v>
      </c>
      <c r="O57" s="1553" t="s">
        <v>828</v>
      </c>
      <c r="P57" s="1554" t="s">
        <v>1278</v>
      </c>
      <c r="Q57" s="1555" t="e">
        <f ca="1">L60</f>
        <v>#DIV/0!</v>
      </c>
      <c r="R57" s="1555" t="s">
        <v>1279</v>
      </c>
    </row>
    <row r="58" spans="1:18" s="1519" customFormat="1" ht="24.75" thickBot="1">
      <c r="A58" s="321" t="s">
        <v>817</v>
      </c>
      <c r="B58" s="1070" t="s">
        <v>1144</v>
      </c>
      <c r="C58" s="322">
        <f ca="1">ROUND(C59+C64+C65+C66,0)</f>
        <v>0</v>
      </c>
      <c r="D58" s="1072" t="s">
        <v>1145</v>
      </c>
      <c r="E58" s="1073"/>
      <c r="F58" s="1074"/>
      <c r="I58" s="1590" t="s">
        <v>1280</v>
      </c>
      <c r="J58" s="1592" t="e">
        <f ca="1">IF(J55&lt;0.4,0.4,J55)</f>
        <v>#DIV/0!</v>
      </c>
      <c r="K58" s="1569" t="s">
        <v>1281</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0</v>
      </c>
      <c r="D59" s="1075" t="s">
        <v>1150</v>
      </c>
      <c r="E59" s="1076" t="s">
        <v>1151</v>
      </c>
      <c r="F59" s="2484" t="str">
        <f>IF(项目基本情况!B11="企业","——",IF('数据-取费表'!B10="住宅",IF(F49*F50*F51/12/(1+'数据-取费表'!F30)&gt;100000,4%,2.5%),IF(F49*F50*F51/12/(1+'数据-取费表'!F30)&gt;100000,12%,7%)))</f>
        <v>——</v>
      </c>
      <c r="I59" s="1590" t="s">
        <v>1283</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IF(项目基本情况!B11="自然人","——",ROUND(C48*F60/(1+'数据-取费表'!C42),2))</f>
        <v>0</v>
      </c>
      <c r="D60" s="1076" t="s">
        <v>1154</v>
      </c>
      <c r="E60" s="1062" t="s">
        <v>1142</v>
      </c>
      <c r="F60" s="337">
        <f t="shared" ref="F60:F66" si="0">F32</f>
        <v>5.6000000000000001E-2</v>
      </c>
      <c r="I60" s="1593" t="s">
        <v>1285</v>
      </c>
      <c r="J60" s="1594" t="e">
        <f ca="1">IF(OR(M47="住宅",J51&lt;L48,J56="是"),"0",ROUND(J59/(1+J52)^J53,0))</f>
        <v>#DIV/0!</v>
      </c>
      <c r="K60" s="1595" t="s">
        <v>1286</v>
      </c>
      <c r="L60" s="1594" t="e">
        <f ca="1">IF(OR(M47="住宅",L48&lt;J51),0,ROUND(L57*(L58/L59-1),0))</f>
        <v>#DIV/0!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IF(项目基本情况!B11="自然人","——",IF(D61="按租金收入计税",ROUND(C49*F61/(1+'数据-取费表'!C42),2),IF(D61="按房产原值计税",ROUND(C57*F61*0.7,2),INDIRECT("'数据-取费表'!Aj"&amp;$G$1))))</f>
        <v>0</v>
      </c>
      <c r="D61" s="1505" t="s">
        <v>1158</v>
      </c>
      <c r="E61" s="1062" t="s">
        <v>1214</v>
      </c>
      <c r="F61" s="328">
        <f t="shared" si="0"/>
        <v>1.2E-2</v>
      </c>
      <c r="I61" s="1596"/>
      <c r="J61" s="1596"/>
      <c r="K61" s="1596"/>
      <c r="L61" s="1596"/>
      <c r="O61" s="1563" t="s">
        <v>832</v>
      </c>
      <c r="P61" s="1554" t="str">
        <f>K59</f>
        <v>建设期及建筑物耐用年限下的土地年期修正系数Kn</v>
      </c>
      <c r="Q61" s="1555" t="e">
        <f ca="1">L59</f>
        <v>#DIV/0!</v>
      </c>
      <c r="R61" s="1555" t="s">
        <v>1289</v>
      </c>
    </row>
    <row r="62" spans="1:18" s="1519" customFormat="1" ht="13.5" thickBot="1">
      <c r="A62" s="1094" t="s">
        <v>1215</v>
      </c>
      <c r="B62" s="1061" t="s">
        <v>1216</v>
      </c>
      <c r="C62" s="25">
        <f ca="1">IF(项目基本情况!B11="自然人","——",ROUND(F62*F63/10000,2))</f>
        <v>0</v>
      </c>
      <c r="D62" s="1077" t="s">
        <v>1217</v>
      </c>
      <c r="E62" s="1062" t="s">
        <v>1218</v>
      </c>
      <c r="F62" s="331">
        <f t="shared" si="0"/>
        <v>0</v>
      </c>
      <c r="I62" s="1597" t="s">
        <v>1290</v>
      </c>
      <c r="J62" s="1598" t="s">
        <v>1291</v>
      </c>
      <c r="K62" s="1598" t="s">
        <v>1292</v>
      </c>
      <c r="L62" s="1598" t="s">
        <v>1293</v>
      </c>
      <c r="M62" s="1599" t="s">
        <v>1294</v>
      </c>
      <c r="O62" s="1553" t="s">
        <v>833</v>
      </c>
      <c r="P62" s="1554" t="s">
        <v>1295</v>
      </c>
      <c r="Q62" s="1555" t="e">
        <f ca="1">Q56+Q57</f>
        <v>#DIV/0!</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ROUND(C57*F64,1)</f>
        <v>0</v>
      </c>
      <c r="D64" s="1076" t="s">
        <v>1222</v>
      </c>
      <c r="E64" s="1062" t="s">
        <v>1214</v>
      </c>
      <c r="F64" s="334">
        <f t="shared" ca="1" si="0"/>
        <v>0</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ROUND(C56*F65,1)</f>
        <v>0</v>
      </c>
      <c r="D65" s="1076" t="s">
        <v>1174</v>
      </c>
      <c r="E65" s="1062" t="s">
        <v>1175</v>
      </c>
      <c r="F65" s="336">
        <f t="shared" ca="1" si="0"/>
        <v>0</v>
      </c>
      <c r="I65" s="1597" t="s">
        <v>1299</v>
      </c>
      <c r="J65" s="1598">
        <v>40</v>
      </c>
      <c r="K65" s="1598">
        <v>30</v>
      </c>
      <c r="L65" s="1598">
        <v>50</v>
      </c>
      <c r="M65" s="1600">
        <v>0.02</v>
      </c>
      <c r="O65" s="1553" t="s">
        <v>827</v>
      </c>
      <c r="P65" s="1554" t="s">
        <v>1300</v>
      </c>
      <c r="Q65" s="1555" t="e">
        <f ca="1">C40+J29</f>
        <v>#DIV/0!</v>
      </c>
      <c r="R65" s="1555" t="s">
        <v>1249</v>
      </c>
    </row>
    <row r="66" spans="1:18" s="1519" customFormat="1" ht="16.5" thickBot="1">
      <c r="A66" s="1094" t="s">
        <v>1224</v>
      </c>
      <c r="B66" s="1062" t="s">
        <v>1159</v>
      </c>
      <c r="C66" s="24">
        <f ca="1">ROUND(C48*F66,1)</f>
        <v>0</v>
      </c>
      <c r="D66" s="1076" t="s">
        <v>1225</v>
      </c>
      <c r="E66" s="1062" t="s">
        <v>1142</v>
      </c>
      <c r="F66" s="318">
        <f t="shared" ca="1" si="0"/>
        <v>0</v>
      </c>
      <c r="O66" s="1553" t="s">
        <v>828</v>
      </c>
      <c r="P66" s="1554" t="s">
        <v>1278</v>
      </c>
      <c r="Q66" s="1555" t="e">
        <f ca="1">L60</f>
        <v>#DIV/0!</v>
      </c>
      <c r="R66" s="1555" t="s">
        <v>1301</v>
      </c>
    </row>
    <row r="67" spans="1:18" s="1519" customFormat="1" ht="16.5" thickBot="1">
      <c r="A67" s="1069" t="s">
        <v>818</v>
      </c>
      <c r="B67" s="1079" t="s">
        <v>1183</v>
      </c>
      <c r="C67" s="322">
        <f ca="1">C48-C58</f>
        <v>0</v>
      </c>
      <c r="D67" s="1075" t="s">
        <v>1184</v>
      </c>
      <c r="E67" s="1080"/>
      <c r="F67" s="1081"/>
      <c r="O67" s="1563" t="s">
        <v>829</v>
      </c>
      <c r="P67" s="1554" t="s">
        <v>1282</v>
      </c>
      <c r="Q67" s="1601">
        <f ca="1">L51</f>
        <v>0</v>
      </c>
      <c r="R67" s="1555" t="s">
        <v>1302</v>
      </c>
    </row>
    <row r="68" spans="1:18" s="1519" customFormat="1" ht="16.5" thickBot="1">
      <c r="A68" s="1059" t="s">
        <v>819</v>
      </c>
      <c r="B68" s="1060" t="s">
        <v>1205</v>
      </c>
      <c r="C68" s="307" t="e">
        <f ca="1">ROUND(C67*(1-((1+F70)/(1+F68))^F69)/(F68-F70),0)</f>
        <v>#DIV/0!</v>
      </c>
      <c r="D68" s="1077" t="s">
        <v>1189</v>
      </c>
      <c r="E68" s="1062" t="s">
        <v>1190</v>
      </c>
      <c r="F68" s="318">
        <f ca="1">F40</f>
        <v>0</v>
      </c>
      <c r="O68" s="1563" t="s">
        <v>830</v>
      </c>
      <c r="P68" s="1602" t="s">
        <v>1303</v>
      </c>
      <c r="Q68" s="1555">
        <f ca="1">ROUND(Q69-Q70*Q71,0)</f>
        <v>0</v>
      </c>
      <c r="R68" s="1555" t="s">
        <v>838</v>
      </c>
    </row>
    <row r="69" spans="1:18" s="1519" customFormat="1" ht="13.5" thickBot="1">
      <c r="A69" s="1063"/>
      <c r="B69" s="1064"/>
      <c r="C69" s="312"/>
      <c r="D69" s="1082" t="s">
        <v>1193</v>
      </c>
      <c r="E69" s="1062" t="s">
        <v>1194</v>
      </c>
      <c r="F69" s="339">
        <f ca="1">F41</f>
        <v>0</v>
      </c>
      <c r="O69" s="1563" t="s">
        <v>835</v>
      </c>
      <c r="P69" s="1602" t="s">
        <v>1304</v>
      </c>
      <c r="Q69" s="1555">
        <f ca="1">C39</f>
        <v>0</v>
      </c>
      <c r="R69" s="1555" t="s">
        <v>1249</v>
      </c>
    </row>
    <row r="70" spans="1:18" s="1519" customFormat="1" ht="13.5" thickBot="1">
      <c r="A70" s="1066"/>
      <c r="B70" s="1067"/>
      <c r="C70" s="316"/>
      <c r="D70" s="1078"/>
      <c r="E70" s="1062" t="s">
        <v>1197</v>
      </c>
      <c r="F70" s="1166"/>
      <c r="O70" s="1563" t="s">
        <v>836</v>
      </c>
      <c r="P70" s="1602" t="s">
        <v>1305</v>
      </c>
      <c r="Q70" s="1555">
        <f ca="1">C13</f>
        <v>0</v>
      </c>
      <c r="R70" s="1555" t="s">
        <v>1249</v>
      </c>
    </row>
    <row r="71" spans="1:18" s="1519" customFormat="1" ht="13.5" thickBot="1">
      <c r="A71" s="1083" t="s">
        <v>820</v>
      </c>
      <c r="B71" s="1084" t="s">
        <v>1207</v>
      </c>
      <c r="C71" s="342" t="e">
        <f ca="1">ROUND(C68*10000/F71,0)</f>
        <v>#DIV/0!</v>
      </c>
      <c r="D71" s="1085" t="s">
        <v>1208</v>
      </c>
      <c r="E71" s="1086" t="s">
        <v>1209</v>
      </c>
      <c r="F71" s="345">
        <f ca="1">F43</f>
        <v>0</v>
      </c>
      <c r="O71" s="1563" t="s">
        <v>837</v>
      </c>
      <c r="P71" s="1602" t="s">
        <v>1306</v>
      </c>
      <c r="Q71" s="1566">
        <f ca="1">C76</f>
        <v>0</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建设期及建筑物耐用年限下的土地年期修正系数Kn</v>
      </c>
      <c r="Q74" s="1555" t="e">
        <f ca="1">L59</f>
        <v>#DIV/0!</v>
      </c>
      <c r="R74" s="1555" t="s">
        <v>1289</v>
      </c>
    </row>
    <row r="75" spans="1:18" ht="13.5" thickBot="1">
      <c r="A75" s="1519"/>
      <c r="B75" s="346" t="s">
        <v>1226</v>
      </c>
      <c r="C75" s="347">
        <f ca="1">ROUND(C13*C76,0)</f>
        <v>0</v>
      </c>
      <c r="D75" s="1519"/>
      <c r="E75" s="1519"/>
      <c r="F75" s="1519"/>
      <c r="K75" s="1537"/>
      <c r="L75" s="1519"/>
      <c r="O75" s="1553" t="s">
        <v>833</v>
      </c>
      <c r="P75" s="1554" t="s">
        <v>1269</v>
      </c>
      <c r="Q75" s="1555" t="e">
        <f ca="1">Q65+Q66</f>
        <v>#DIV/0!</v>
      </c>
      <c r="R75" s="1555" t="s">
        <v>834</v>
      </c>
    </row>
    <row r="76" spans="1:18">
      <c r="B76" s="348" t="s">
        <v>1227</v>
      </c>
      <c r="C76" s="349">
        <f ca="1">INDIRECT("'数据-取费表'!j"&amp;$G$1)</f>
        <v>0</v>
      </c>
      <c r="I76" s="1519"/>
      <c r="J76" s="1519"/>
      <c r="K76" s="1537"/>
      <c r="L76" s="1519"/>
    </row>
    <row r="77" spans="1:18">
      <c r="B77" s="350" t="s">
        <v>1228</v>
      </c>
      <c r="C77" s="351"/>
      <c r="I77" s="1519"/>
      <c r="J77" s="1519"/>
      <c r="K77" s="1537"/>
      <c r="L77" s="1519"/>
    </row>
    <row r="78" spans="1:18">
      <c r="B78" s="276" t="s">
        <v>1229</v>
      </c>
      <c r="C78" s="352"/>
    </row>
    <row r="79" spans="1:18">
      <c r="B79" s="346" t="s">
        <v>1230</v>
      </c>
      <c r="C79" s="280" t="e">
        <f ca="1">1-C80</f>
        <v>#DIV/0!</v>
      </c>
    </row>
    <row r="80" spans="1:18">
      <c r="B80" s="346" t="s">
        <v>1231</v>
      </c>
      <c r="C80" s="280" t="e">
        <f ca="1">ROUND(C75/C39,3)</f>
        <v>#DIV/0!</v>
      </c>
    </row>
    <row r="81" spans="2:3">
      <c r="B81" s="276" t="s">
        <v>1232</v>
      </c>
      <c r="C81" s="244"/>
    </row>
    <row r="82" spans="2:3">
      <c r="B82" s="279" t="s">
        <v>1233</v>
      </c>
      <c r="C82" s="281" t="e">
        <f ca="1">1-C83</f>
        <v>#DIV/0!</v>
      </c>
    </row>
    <row r="83" spans="2:3">
      <c r="B83" s="279" t="s">
        <v>1234</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00" priority="56">
      <formula>$L$48&gt;$J$51</formula>
    </cfRule>
  </conditionalFormatting>
  <conditionalFormatting sqref="I55 I60">
    <cfRule type="expression" dxfId="199" priority="57">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I69" sqref="I6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816</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848</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37517</v>
      </c>
      <c r="C3" s="360" t="s">
        <v>2219</v>
      </c>
      <c r="D3" s="359">
        <f>IF(D1="",'数据-汇总表'!E3,SUMIF('数据-汇总表'!$C19:$C33,D1,'数据-汇总表'!$E19:$E33))</f>
        <v>226.16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2220</v>
      </c>
      <c r="B4" s="362"/>
      <c r="C4" s="3487" t="s">
        <v>2221</v>
      </c>
      <c r="D4" s="3488"/>
      <c r="E4" s="3489" t="s">
        <v>2222</v>
      </c>
      <c r="F4" s="3490"/>
      <c r="G4" s="3487" t="s">
        <v>2223</v>
      </c>
      <c r="H4" s="3488"/>
      <c r="I4" s="3487" t="s">
        <v>2224</v>
      </c>
      <c r="J4" s="3488"/>
      <c r="K4" s="567" t="s">
        <v>2225</v>
      </c>
      <c r="L4" s="2894"/>
      <c r="M4" s="2895"/>
      <c r="N4" s="2895"/>
      <c r="O4" s="2895"/>
      <c r="P4" s="3491" t="s">
        <v>2226</v>
      </c>
      <c r="Q4" s="3492"/>
      <c r="R4" s="3470" t="s">
        <v>2222</v>
      </c>
      <c r="S4" s="3471"/>
      <c r="T4" s="3470" t="s">
        <v>2223</v>
      </c>
      <c r="U4" s="3471"/>
      <c r="V4" s="3499" t="s">
        <v>2224</v>
      </c>
      <c r="W4" s="3499"/>
      <c r="X4" s="2095"/>
      <c r="Y4" s="3470" t="s">
        <v>2226</v>
      </c>
      <c r="Z4" s="3471"/>
      <c r="AA4" s="3465" t="s">
        <v>2222</v>
      </c>
      <c r="AB4" s="3465" t="s">
        <v>2223</v>
      </c>
      <c r="AC4" s="3484" t="s">
        <v>2224</v>
      </c>
    </row>
    <row r="5" spans="1:29" ht="15">
      <c r="A5" s="364"/>
      <c r="B5" s="365"/>
      <c r="C5" s="3476" t="s">
        <v>3194</v>
      </c>
      <c r="D5" s="3477"/>
      <c r="E5" s="3476" t="s">
        <v>3194</v>
      </c>
      <c r="F5" s="3477"/>
      <c r="G5" s="3476" t="s">
        <v>3194</v>
      </c>
      <c r="H5" s="3477"/>
      <c r="I5" s="3476" t="s">
        <v>3194</v>
      </c>
      <c r="J5" s="3477"/>
      <c r="K5" s="567"/>
      <c r="L5" s="2894"/>
      <c r="M5" s="2895"/>
      <c r="N5" s="2895"/>
      <c r="O5" s="2895"/>
      <c r="P5" s="3493"/>
      <c r="Q5" s="3494"/>
      <c r="R5" s="3472"/>
      <c r="S5" s="3473"/>
      <c r="T5" s="3472"/>
      <c r="U5" s="3473"/>
      <c r="V5" s="3500"/>
      <c r="W5" s="3500"/>
      <c r="X5" s="1490"/>
      <c r="Y5" s="3472"/>
      <c r="Z5" s="3473"/>
      <c r="AA5" s="3466"/>
      <c r="AB5" s="3466"/>
      <c r="AC5" s="3485"/>
    </row>
    <row r="6" spans="1:29" ht="15.75" thickBot="1">
      <c r="A6" s="366"/>
      <c r="B6" s="367"/>
      <c r="C6" s="3478" t="s">
        <v>2121</v>
      </c>
      <c r="D6" s="3479"/>
      <c r="E6" s="3481" t="s">
        <v>2121</v>
      </c>
      <c r="F6" s="3482"/>
      <c r="G6" s="3478" t="s">
        <v>2121</v>
      </c>
      <c r="H6" s="3479"/>
      <c r="I6" s="3478" t="s">
        <v>2121</v>
      </c>
      <c r="J6" s="3479"/>
      <c r="K6" s="567" t="s">
        <v>2122</v>
      </c>
      <c r="L6" s="2894"/>
      <c r="M6" s="2895"/>
      <c r="N6" s="2895"/>
      <c r="O6" s="2895"/>
      <c r="P6" s="3495"/>
      <c r="Q6" s="3496"/>
      <c r="R6" s="3472"/>
      <c r="S6" s="3473"/>
      <c r="T6" s="3497"/>
      <c r="U6" s="3498"/>
      <c r="V6" s="3500"/>
      <c r="W6" s="3500"/>
      <c r="X6" s="1490"/>
      <c r="Y6" s="3497"/>
      <c r="Z6" s="3498"/>
      <c r="AA6" s="3467"/>
      <c r="AB6" s="3467"/>
      <c r="AC6" s="3486"/>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501" t="s">
        <v>2124</v>
      </c>
      <c r="Q7" s="3502"/>
      <c r="R7" s="710" t="s">
        <v>17</v>
      </c>
      <c r="S7" s="711">
        <f t="shared" ref="S7:S15" si="0">F7</f>
        <v>100</v>
      </c>
      <c r="T7" s="710" t="s">
        <v>17</v>
      </c>
      <c r="U7" s="711">
        <f t="shared" ref="U7:U15" si="1">H7</f>
        <v>100</v>
      </c>
      <c r="V7" s="710" t="s">
        <v>17</v>
      </c>
      <c r="W7" s="711">
        <f t="shared" ref="W7:W15" si="2">J7</f>
        <v>100</v>
      </c>
      <c r="X7" s="712"/>
      <c r="Y7" s="3468" t="s">
        <v>2124</v>
      </c>
      <c r="Z7" s="3469"/>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501" t="s">
        <v>2127</v>
      </c>
      <c r="Q8" s="3469"/>
      <c r="R8" s="710" t="s">
        <v>17</v>
      </c>
      <c r="S8" s="711">
        <f t="shared" si="0"/>
        <v>100</v>
      </c>
      <c r="T8" s="710" t="s">
        <v>17</v>
      </c>
      <c r="U8" s="711">
        <f t="shared" si="1"/>
        <v>100</v>
      </c>
      <c r="V8" s="710" t="s">
        <v>17</v>
      </c>
      <c r="W8" s="711">
        <f t="shared" si="2"/>
        <v>100</v>
      </c>
      <c r="X8" s="712"/>
      <c r="Y8" s="3468" t="s">
        <v>2127</v>
      </c>
      <c r="Z8" s="3469"/>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83"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2096">
        <f t="shared" si="5"/>
        <v>1</v>
      </c>
    </row>
    <row r="11" spans="1:29" ht="15" hidden="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83"/>
      <c r="Q11" s="1478" t="str">
        <f t="shared" si="6"/>
        <v>容积率</v>
      </c>
      <c r="R11" s="710" t="s">
        <v>17</v>
      </c>
      <c r="S11" s="711">
        <f t="shared" si="0"/>
        <v>100</v>
      </c>
      <c r="T11" s="710" t="s">
        <v>17</v>
      </c>
      <c r="U11" s="711">
        <f t="shared" si="1"/>
        <v>100</v>
      </c>
      <c r="V11" s="710" t="s">
        <v>17</v>
      </c>
      <c r="W11" s="711">
        <f t="shared" si="2"/>
        <v>100</v>
      </c>
      <c r="X11" s="712"/>
      <c r="Y11" s="3433"/>
      <c r="Z11" s="55" t="str">
        <f t="shared" si="7"/>
        <v>容积率</v>
      </c>
      <c r="AA11" s="713">
        <f t="shared" si="3"/>
        <v>1</v>
      </c>
      <c r="AB11" s="713">
        <f t="shared" si="4"/>
        <v>1</v>
      </c>
      <c r="AC11" s="2096">
        <f t="shared" si="5"/>
        <v>1</v>
      </c>
    </row>
    <row r="12" spans="1:29" s="113" customFormat="1" ht="15" hidden="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2096">
        <f>D12/J12</f>
        <v>1</v>
      </c>
    </row>
    <row r="13" spans="1:29" ht="15" hidden="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503" t="s">
        <v>2135</v>
      </c>
      <c r="Q15" s="1487" t="str">
        <f t="shared" si="6"/>
        <v>办公集聚程度</v>
      </c>
      <c r="R15" s="714" t="s">
        <v>17</v>
      </c>
      <c r="S15" s="715">
        <f t="shared" si="0"/>
        <v>100</v>
      </c>
      <c r="T15" s="714" t="s">
        <v>17</v>
      </c>
      <c r="U15" s="715">
        <f t="shared" si="1"/>
        <v>100</v>
      </c>
      <c r="V15" s="714" t="s">
        <v>17</v>
      </c>
      <c r="W15" s="715">
        <f t="shared" si="2"/>
        <v>100</v>
      </c>
      <c r="X15" s="1490"/>
      <c r="Y15" s="3505" t="s">
        <v>2135</v>
      </c>
      <c r="Z15" s="1491" t="str">
        <f t="shared" si="7"/>
        <v>办公集聚程度</v>
      </c>
      <c r="AA15" s="1488">
        <f t="shared" si="3"/>
        <v>1</v>
      </c>
      <c r="AB15" s="1488">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504"/>
      <c r="Q16" s="1487"/>
      <c r="R16" s="714"/>
      <c r="S16" s="715"/>
      <c r="T16" s="714"/>
      <c r="U16" s="715"/>
      <c r="V16" s="714"/>
      <c r="W16" s="715"/>
      <c r="X16" s="1490"/>
      <c r="Y16" s="3506"/>
      <c r="Z16" s="1491"/>
      <c r="AA16" s="1488">
        <v>1</v>
      </c>
      <c r="AB16" s="1488">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504"/>
      <c r="Q17" s="1487" t="str">
        <f>B17</f>
        <v>交通便捷度</v>
      </c>
      <c r="R17" s="714" t="s">
        <v>17</v>
      </c>
      <c r="S17" s="715">
        <f>F17</f>
        <v>100</v>
      </c>
      <c r="T17" s="714" t="s">
        <v>17</v>
      </c>
      <c r="U17" s="715">
        <f>H17</f>
        <v>100</v>
      </c>
      <c r="V17" s="714" t="s">
        <v>17</v>
      </c>
      <c r="W17" s="715">
        <f>J17</f>
        <v>100</v>
      </c>
      <c r="X17" s="1490"/>
      <c r="Y17" s="3506"/>
      <c r="Z17" s="1491" t="str">
        <f>Q17</f>
        <v>交通便捷度</v>
      </c>
      <c r="AA17" s="1488">
        <f t="shared" si="3"/>
        <v>1</v>
      </c>
      <c r="AB17" s="1488">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504"/>
      <c r="Q18" s="1487"/>
      <c r="R18" s="714"/>
      <c r="S18" s="715"/>
      <c r="T18" s="714"/>
      <c r="U18" s="715"/>
      <c r="V18" s="714"/>
      <c r="W18" s="715"/>
      <c r="X18" s="1490"/>
      <c r="Y18" s="3506"/>
      <c r="Z18" s="1491"/>
      <c r="AA18" s="1488">
        <v>1</v>
      </c>
      <c r="AB18" s="1488">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504"/>
      <c r="Q19" s="1487" t="str">
        <f>B19</f>
        <v>公共配套设施</v>
      </c>
      <c r="R19" s="714" t="s">
        <v>17</v>
      </c>
      <c r="S19" s="715">
        <f>F19</f>
        <v>100</v>
      </c>
      <c r="T19" s="714" t="s">
        <v>17</v>
      </c>
      <c r="U19" s="715">
        <f>H19</f>
        <v>100</v>
      </c>
      <c r="V19" s="714" t="s">
        <v>17</v>
      </c>
      <c r="W19" s="715">
        <f>J19</f>
        <v>100</v>
      </c>
      <c r="X19" s="1490"/>
      <c r="Y19" s="3506"/>
      <c r="Z19" s="1491" t="str">
        <f>Q19</f>
        <v>公共配套设施</v>
      </c>
      <c r="AA19" s="1488">
        <f t="shared" si="3"/>
        <v>1</v>
      </c>
      <c r="AB19" s="1488">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504"/>
      <c r="Q20" s="1487"/>
      <c r="R20" s="714"/>
      <c r="S20" s="715"/>
      <c r="T20" s="714"/>
      <c r="U20" s="715"/>
      <c r="V20" s="714"/>
      <c r="W20" s="715"/>
      <c r="X20" s="1490"/>
      <c r="Y20" s="3506"/>
      <c r="Z20" s="1491"/>
      <c r="AA20" s="1488">
        <v>1</v>
      </c>
      <c r="AB20" s="1488">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504"/>
      <c r="Q21" s="1487" t="str">
        <f>B21</f>
        <v>基础设施水平</v>
      </c>
      <c r="R21" s="714" t="s">
        <v>17</v>
      </c>
      <c r="S21" s="715">
        <f>F21</f>
        <v>100</v>
      </c>
      <c r="T21" s="714" t="s">
        <v>17</v>
      </c>
      <c r="U21" s="715">
        <f>H21</f>
        <v>100</v>
      </c>
      <c r="V21" s="714" t="s">
        <v>17</v>
      </c>
      <c r="W21" s="715">
        <f>J21</f>
        <v>100</v>
      </c>
      <c r="X21" s="1490"/>
      <c r="Y21" s="3506"/>
      <c r="Z21" s="1491" t="str">
        <f>Q21</f>
        <v>基础设施水平</v>
      </c>
      <c r="AA21" s="1488">
        <f t="shared" ref="AA21" si="8">D21/F21</f>
        <v>1</v>
      </c>
      <c r="AB21" s="1488">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504"/>
      <c r="Q22" s="1487"/>
      <c r="R22" s="714"/>
      <c r="S22" s="715"/>
      <c r="T22" s="714"/>
      <c r="U22" s="715"/>
      <c r="V22" s="714"/>
      <c r="W22" s="715"/>
      <c r="X22" s="1490"/>
      <c r="Y22" s="3506"/>
      <c r="Z22" s="1491"/>
      <c r="AA22" s="1488">
        <v>1</v>
      </c>
      <c r="AB22" s="1488">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504"/>
      <c r="Q23" s="1487" t="str">
        <f>B23</f>
        <v>环境质量</v>
      </c>
      <c r="R23" s="714" t="s">
        <v>17</v>
      </c>
      <c r="S23" s="715">
        <f>F23</f>
        <v>100</v>
      </c>
      <c r="T23" s="714" t="s">
        <v>17</v>
      </c>
      <c r="U23" s="715">
        <f>H23</f>
        <v>100</v>
      </c>
      <c r="V23" s="714" t="s">
        <v>17</v>
      </c>
      <c r="W23" s="715">
        <f>J23</f>
        <v>100</v>
      </c>
      <c r="X23" s="1490"/>
      <c r="Y23" s="3506"/>
      <c r="Z23" s="1491" t="str">
        <f>Q23</f>
        <v>环境质量</v>
      </c>
      <c r="AA23" s="1488">
        <f t="shared" si="3"/>
        <v>1</v>
      </c>
      <c r="AB23" s="1488">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504"/>
      <c r="Q24" s="1487"/>
      <c r="R24" s="714"/>
      <c r="S24" s="715"/>
      <c r="T24" s="714"/>
      <c r="U24" s="715"/>
      <c r="V24" s="714"/>
      <c r="W24" s="715"/>
      <c r="X24" s="1490"/>
      <c r="Y24" s="3506"/>
      <c r="Z24" s="1491"/>
      <c r="AA24" s="1488">
        <v>1</v>
      </c>
      <c r="AB24" s="1488">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4"/>
      <c r="Q25" s="1487" t="str">
        <f>B25</f>
        <v>毗邻道路的类型与等级</v>
      </c>
      <c r="R25" s="714" t="s">
        <v>17</v>
      </c>
      <c r="S25" s="715">
        <f>F25</f>
        <v>100</v>
      </c>
      <c r="T25" s="714" t="s">
        <v>17</v>
      </c>
      <c r="U25" s="715">
        <f>H25</f>
        <v>100</v>
      </c>
      <c r="V25" s="714" t="s">
        <v>17</v>
      </c>
      <c r="W25" s="715">
        <f>J25</f>
        <v>100</v>
      </c>
      <c r="X25" s="1490"/>
      <c r="Y25" s="3506"/>
      <c r="Z25" s="1491" t="str">
        <f>Q25</f>
        <v>毗邻道路的类型与等级</v>
      </c>
      <c r="AA25" s="1488">
        <f t="shared" si="3"/>
        <v>1</v>
      </c>
      <c r="AB25" s="1488">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504"/>
      <c r="Q26" s="1487"/>
      <c r="R26" s="714"/>
      <c r="S26" s="715"/>
      <c r="T26" s="714"/>
      <c r="U26" s="715"/>
      <c r="V26" s="714"/>
      <c r="W26" s="715"/>
      <c r="X26" s="1490"/>
      <c r="Y26" s="3506"/>
      <c r="Z26" s="1491"/>
      <c r="AA26" s="1488">
        <v>1</v>
      </c>
      <c r="AB26" s="1488">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504"/>
      <c r="Q27" s="1487" t="str">
        <f t="shared" ref="Q27:Q47" si="11">B27</f>
        <v>楼层</v>
      </c>
      <c r="R27" s="714" t="s">
        <v>17</v>
      </c>
      <c r="S27" s="715">
        <f>F27</f>
        <v>102</v>
      </c>
      <c r="T27" s="714" t="s">
        <v>17</v>
      </c>
      <c r="U27" s="715">
        <f>H27</f>
        <v>100</v>
      </c>
      <c r="V27" s="714" t="s">
        <v>17</v>
      </c>
      <c r="W27" s="715">
        <f>J27</f>
        <v>104</v>
      </c>
      <c r="X27" s="1490"/>
      <c r="Y27" s="3506"/>
      <c r="Z27" s="1491" t="str">
        <f>Q27</f>
        <v>楼层</v>
      </c>
      <c r="AA27" s="1488">
        <f t="shared" si="3"/>
        <v>0.98039215686274506</v>
      </c>
      <c r="AB27" s="1488">
        <f t="shared" si="4"/>
        <v>1</v>
      </c>
      <c r="AC27" s="2099">
        <f t="shared" si="5"/>
        <v>0.96153846153846156</v>
      </c>
    </row>
    <row r="28" spans="1:29" s="113" customFormat="1" ht="15" hidden="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4"/>
      <c r="Q28" s="1478" t="str">
        <f t="shared" si="11"/>
        <v>朝向</v>
      </c>
      <c r="R28" s="710" t="s">
        <v>17</v>
      </c>
      <c r="S28" s="711">
        <f>F28</f>
        <v>100</v>
      </c>
      <c r="T28" s="710" t="s">
        <v>17</v>
      </c>
      <c r="U28" s="711">
        <f>H28</f>
        <v>100</v>
      </c>
      <c r="V28" s="710" t="s">
        <v>17</v>
      </c>
      <c r="W28" s="711">
        <f>J28</f>
        <v>100</v>
      </c>
      <c r="X28" s="712"/>
      <c r="Y28" s="3506"/>
      <c r="Z28" s="55" t="str">
        <f>Q28</f>
        <v>朝向</v>
      </c>
      <c r="AA28" s="1488">
        <f>D28/F28</f>
        <v>1</v>
      </c>
      <c r="AB28" s="1488">
        <f>D28/H28</f>
        <v>1</v>
      </c>
      <c r="AC28" s="2099">
        <f>D28/J28</f>
        <v>1</v>
      </c>
    </row>
    <row r="29" spans="1:29" ht="15" hidden="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4"/>
      <c r="Q29" s="1487">
        <f t="shared" si="11"/>
        <v>111</v>
      </c>
      <c r="R29" s="714" t="s">
        <v>17</v>
      </c>
      <c r="S29" s="715">
        <f t="shared" ref="S29:S47" si="12">F29</f>
        <v>100</v>
      </c>
      <c r="T29" s="714" t="s">
        <v>17</v>
      </c>
      <c r="U29" s="715">
        <f t="shared" ref="U29:U47" si="13">H29</f>
        <v>100</v>
      </c>
      <c r="V29" s="714" t="s">
        <v>17</v>
      </c>
      <c r="W29" s="715">
        <f t="shared" ref="W29:W47" si="14">J29</f>
        <v>100</v>
      </c>
      <c r="X29" s="1490"/>
      <c r="Y29" s="3506"/>
      <c r="Z29" s="1491">
        <f t="shared" ref="Z29:Z47" si="15">Q29</f>
        <v>111</v>
      </c>
      <c r="AA29" s="1488">
        <f t="shared" si="3"/>
        <v>1</v>
      </c>
      <c r="AB29" s="1488">
        <f t="shared" si="4"/>
        <v>1</v>
      </c>
      <c r="AC29" s="2099">
        <f t="shared" si="5"/>
        <v>1</v>
      </c>
    </row>
    <row r="30" spans="1:29" ht="15" hidden="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4"/>
      <c r="Q30" s="1487">
        <f t="shared" si="11"/>
        <v>111</v>
      </c>
      <c r="R30" s="714" t="s">
        <v>17</v>
      </c>
      <c r="S30" s="715">
        <f t="shared" si="12"/>
        <v>100</v>
      </c>
      <c r="T30" s="714" t="s">
        <v>17</v>
      </c>
      <c r="U30" s="715">
        <f t="shared" si="13"/>
        <v>100</v>
      </c>
      <c r="V30" s="714" t="s">
        <v>17</v>
      </c>
      <c r="W30" s="715">
        <f t="shared" si="14"/>
        <v>100</v>
      </c>
      <c r="X30" s="1490"/>
      <c r="Y30" s="3506"/>
      <c r="Z30" s="1491">
        <f t="shared" si="15"/>
        <v>111</v>
      </c>
      <c r="AA30" s="1488">
        <f t="shared" si="3"/>
        <v>1</v>
      </c>
      <c r="AB30" s="1488">
        <f t="shared" si="4"/>
        <v>1</v>
      </c>
      <c r="AC30" s="2099">
        <f t="shared" si="5"/>
        <v>1</v>
      </c>
    </row>
    <row r="31" spans="1:29" ht="15" hidden="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4"/>
      <c r="Q31" s="1487">
        <f t="shared" si="11"/>
        <v>111</v>
      </c>
      <c r="R31" s="714" t="s">
        <v>17</v>
      </c>
      <c r="S31" s="715">
        <f t="shared" si="12"/>
        <v>100</v>
      </c>
      <c r="T31" s="714" t="s">
        <v>17</v>
      </c>
      <c r="U31" s="715">
        <f t="shared" si="13"/>
        <v>100</v>
      </c>
      <c r="V31" s="714" t="s">
        <v>17</v>
      </c>
      <c r="W31" s="715">
        <f t="shared" si="14"/>
        <v>100</v>
      </c>
      <c r="X31" s="1490"/>
      <c r="Y31" s="3506"/>
      <c r="Z31" s="1491">
        <f t="shared" si="15"/>
        <v>111</v>
      </c>
      <c r="AA31" s="1488">
        <f t="shared" si="3"/>
        <v>1</v>
      </c>
      <c r="AB31" s="1488">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4"/>
      <c r="Q32" s="1487">
        <f t="shared" si="11"/>
        <v>111</v>
      </c>
      <c r="R32" s="714" t="s">
        <v>17</v>
      </c>
      <c r="S32" s="715">
        <f t="shared" si="12"/>
        <v>100</v>
      </c>
      <c r="T32" s="714" t="s">
        <v>17</v>
      </c>
      <c r="U32" s="715">
        <f t="shared" si="13"/>
        <v>100</v>
      </c>
      <c r="V32" s="714" t="s">
        <v>17</v>
      </c>
      <c r="W32" s="715">
        <f t="shared" si="14"/>
        <v>100</v>
      </c>
      <c r="X32" s="1490"/>
      <c r="Y32" s="3506"/>
      <c r="Z32" s="1491">
        <f t="shared" si="15"/>
        <v>111</v>
      </c>
      <c r="AA32" s="1488">
        <f t="shared" si="3"/>
        <v>1</v>
      </c>
      <c r="AB32" s="1488">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507" t="s">
        <v>2140</v>
      </c>
      <c r="Q33" s="1487" t="str">
        <f t="shared" si="11"/>
        <v>建筑类型</v>
      </c>
      <c r="R33" s="714" t="s">
        <v>17</v>
      </c>
      <c r="S33" s="715">
        <f t="shared" si="12"/>
        <v>100</v>
      </c>
      <c r="T33" s="714" t="s">
        <v>17</v>
      </c>
      <c r="U33" s="715">
        <f t="shared" si="13"/>
        <v>100</v>
      </c>
      <c r="V33" s="714" t="s">
        <v>17</v>
      </c>
      <c r="W33" s="715">
        <f t="shared" si="14"/>
        <v>100</v>
      </c>
      <c r="X33" s="1490"/>
      <c r="Y33" s="3510" t="s">
        <v>2140</v>
      </c>
      <c r="Z33" s="1491" t="str">
        <f t="shared" si="15"/>
        <v>建筑类型</v>
      </c>
      <c r="AA33" s="1488">
        <f t="shared" si="3"/>
        <v>1</v>
      </c>
      <c r="AB33" s="1488">
        <f t="shared" si="4"/>
        <v>1</v>
      </c>
      <c r="AC33" s="2099">
        <f t="shared" si="5"/>
        <v>1</v>
      </c>
    </row>
    <row r="34" spans="1:29" s="430" customFormat="1" ht="15">
      <c r="A34" s="427"/>
      <c r="B34" s="381" t="s">
        <v>2141</v>
      </c>
      <c r="C34" s="428">
        <f>D3</f>
        <v>226.16</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508"/>
      <c r="Q34" s="716" t="str">
        <f t="shared" si="11"/>
        <v>项目建筑规模</v>
      </c>
      <c r="R34" s="717" t="s">
        <v>17</v>
      </c>
      <c r="S34" s="718">
        <f t="shared" si="12"/>
        <v>102</v>
      </c>
      <c r="T34" s="717" t="s">
        <v>17</v>
      </c>
      <c r="U34" s="718">
        <f t="shared" si="13"/>
        <v>100</v>
      </c>
      <c r="V34" s="717" t="s">
        <v>17</v>
      </c>
      <c r="W34" s="718">
        <f t="shared" si="14"/>
        <v>100</v>
      </c>
      <c r="X34" s="719"/>
      <c r="Y34" s="3510"/>
      <c r="Z34" s="720" t="str">
        <f t="shared" si="15"/>
        <v>项目建筑规模</v>
      </c>
      <c r="AA34" s="1488">
        <f t="shared" si="3"/>
        <v>0.98039215686274506</v>
      </c>
      <c r="AB34" s="1488">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508"/>
      <c r="Q35" s="1487" t="str">
        <f t="shared" si="11"/>
        <v>建筑结构</v>
      </c>
      <c r="R35" s="714" t="s">
        <v>17</v>
      </c>
      <c r="S35" s="715">
        <f t="shared" si="12"/>
        <v>100</v>
      </c>
      <c r="T35" s="714" t="s">
        <v>17</v>
      </c>
      <c r="U35" s="715">
        <f t="shared" si="13"/>
        <v>100</v>
      </c>
      <c r="V35" s="714" t="s">
        <v>17</v>
      </c>
      <c r="W35" s="715">
        <f t="shared" si="14"/>
        <v>100</v>
      </c>
      <c r="X35" s="1490"/>
      <c r="Y35" s="3510"/>
      <c r="Z35" s="1491" t="str">
        <f t="shared" si="15"/>
        <v>建筑结构</v>
      </c>
      <c r="AA35" s="1488">
        <f t="shared" si="3"/>
        <v>1</v>
      </c>
      <c r="AB35" s="1488">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508"/>
      <c r="Q36" s="1487" t="str">
        <f t="shared" si="11"/>
        <v>公共部分装修</v>
      </c>
      <c r="R36" s="714" t="s">
        <v>17</v>
      </c>
      <c r="S36" s="715">
        <f t="shared" si="12"/>
        <v>100</v>
      </c>
      <c r="T36" s="714" t="s">
        <v>17</v>
      </c>
      <c r="U36" s="715">
        <f t="shared" si="13"/>
        <v>100</v>
      </c>
      <c r="V36" s="714" t="s">
        <v>17</v>
      </c>
      <c r="W36" s="715">
        <f t="shared" si="14"/>
        <v>100</v>
      </c>
      <c r="X36" s="1490"/>
      <c r="Y36" s="3510"/>
      <c r="Z36" s="1491" t="str">
        <f t="shared" si="15"/>
        <v>公共部分装修</v>
      </c>
      <c r="AA36" s="1488">
        <f t="shared" si="3"/>
        <v>1</v>
      </c>
      <c r="AB36" s="1488">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508"/>
      <c r="Q37" s="1487" t="str">
        <f t="shared" si="11"/>
        <v>成新度</v>
      </c>
      <c r="R37" s="714" t="s">
        <v>17</v>
      </c>
      <c r="S37" s="715">
        <f t="shared" si="12"/>
        <v>100</v>
      </c>
      <c r="T37" s="714" t="s">
        <v>17</v>
      </c>
      <c r="U37" s="715">
        <f t="shared" si="13"/>
        <v>100</v>
      </c>
      <c r="V37" s="714" t="s">
        <v>17</v>
      </c>
      <c r="W37" s="715">
        <f t="shared" si="14"/>
        <v>100</v>
      </c>
      <c r="X37" s="1490"/>
      <c r="Y37" s="3510"/>
      <c r="Z37" s="1491" t="str">
        <f t="shared" si="15"/>
        <v>成新度</v>
      </c>
      <c r="AA37" s="1488">
        <f t="shared" si="3"/>
        <v>1</v>
      </c>
      <c r="AB37" s="1488">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8"/>
      <c r="Q38" s="1478" t="str">
        <f t="shared" si="11"/>
        <v>写字楼等级</v>
      </c>
      <c r="R38" s="710" t="s">
        <v>17</v>
      </c>
      <c r="S38" s="711">
        <f t="shared" si="12"/>
        <v>100</v>
      </c>
      <c r="T38" s="710" t="s">
        <v>17</v>
      </c>
      <c r="U38" s="711">
        <f t="shared" si="13"/>
        <v>100</v>
      </c>
      <c r="V38" s="710" t="s">
        <v>17</v>
      </c>
      <c r="W38" s="711">
        <f t="shared" si="14"/>
        <v>100</v>
      </c>
      <c r="X38" s="712"/>
      <c r="Y38" s="3510"/>
      <c r="Z38" s="55"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508" t="s">
        <v>2140</v>
      </c>
      <c r="Q39" s="1487" t="str">
        <f t="shared" si="11"/>
        <v>物业管理</v>
      </c>
      <c r="R39" s="714" t="s">
        <v>17</v>
      </c>
      <c r="S39" s="715">
        <f t="shared" si="12"/>
        <v>100</v>
      </c>
      <c r="T39" s="714" t="s">
        <v>17</v>
      </c>
      <c r="U39" s="715">
        <f t="shared" si="13"/>
        <v>100</v>
      </c>
      <c r="V39" s="714" t="s">
        <v>17</v>
      </c>
      <c r="W39" s="715">
        <f t="shared" si="14"/>
        <v>100</v>
      </c>
      <c r="X39" s="1490"/>
      <c r="Y39" s="3510" t="s">
        <v>2140</v>
      </c>
      <c r="Z39" s="1491" t="str">
        <f t="shared" si="15"/>
        <v>物业管理</v>
      </c>
      <c r="AA39" s="1488">
        <f t="shared" si="3"/>
        <v>1</v>
      </c>
      <c r="AB39" s="1488">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508"/>
      <c r="Q40" s="1487" t="str">
        <f t="shared" si="11"/>
        <v>市政基础设施</v>
      </c>
      <c r="R40" s="714" t="s">
        <v>17</v>
      </c>
      <c r="S40" s="715">
        <f t="shared" si="12"/>
        <v>100</v>
      </c>
      <c r="T40" s="714" t="s">
        <v>17</v>
      </c>
      <c r="U40" s="715">
        <f t="shared" si="13"/>
        <v>100</v>
      </c>
      <c r="V40" s="714" t="s">
        <v>17</v>
      </c>
      <c r="W40" s="715">
        <f t="shared" si="14"/>
        <v>100</v>
      </c>
      <c r="X40" s="1490"/>
      <c r="Y40" s="3510"/>
      <c r="Z40" s="1491" t="str">
        <f t="shared" si="15"/>
        <v>市政基础设施</v>
      </c>
      <c r="AA40" s="1488">
        <f t="shared" si="3"/>
        <v>1</v>
      </c>
      <c r="AB40" s="1488">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508"/>
      <c r="Q41" s="1487" t="str">
        <f t="shared" si="11"/>
        <v>层高</v>
      </c>
      <c r="R41" s="714" t="s">
        <v>17</v>
      </c>
      <c r="S41" s="715">
        <f t="shared" si="12"/>
        <v>100</v>
      </c>
      <c r="T41" s="714" t="s">
        <v>17</v>
      </c>
      <c r="U41" s="715">
        <f t="shared" si="13"/>
        <v>100</v>
      </c>
      <c r="V41" s="714" t="s">
        <v>17</v>
      </c>
      <c r="W41" s="715">
        <f t="shared" si="14"/>
        <v>100</v>
      </c>
      <c r="X41" s="1490"/>
      <c r="Y41" s="3510"/>
      <c r="Z41" s="1491" t="str">
        <f t="shared" si="15"/>
        <v>层高</v>
      </c>
      <c r="AA41" s="1488">
        <f t="shared" si="3"/>
        <v>1</v>
      </c>
      <c r="AB41" s="1488">
        <f t="shared" si="4"/>
        <v>1</v>
      </c>
      <c r="AC41" s="2099">
        <f t="shared" si="5"/>
        <v>1</v>
      </c>
    </row>
    <row r="42" spans="1:29" s="430" customFormat="1" ht="15" hidden="1">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8"/>
      <c r="Q42" s="716" t="str">
        <f t="shared" si="11"/>
        <v>单套建筑面积</v>
      </c>
      <c r="R42" s="717" t="s">
        <v>17</v>
      </c>
      <c r="S42" s="718">
        <f t="shared" si="12"/>
        <v>100</v>
      </c>
      <c r="T42" s="717" t="s">
        <v>17</v>
      </c>
      <c r="U42" s="718">
        <f t="shared" si="13"/>
        <v>100</v>
      </c>
      <c r="V42" s="717" t="s">
        <v>17</v>
      </c>
      <c r="W42" s="718">
        <f t="shared" si="14"/>
        <v>100</v>
      </c>
      <c r="X42" s="719"/>
      <c r="Y42" s="3510"/>
      <c r="Z42" s="720" t="str">
        <f t="shared" si="15"/>
        <v>单套建筑面积</v>
      </c>
      <c r="AA42" s="1488">
        <f t="shared" si="3"/>
        <v>1</v>
      </c>
      <c r="AB42" s="1488">
        <f t="shared" si="4"/>
        <v>1</v>
      </c>
      <c r="AC42" s="2099">
        <f t="shared" si="5"/>
        <v>1</v>
      </c>
    </row>
    <row r="43" spans="1:29" ht="15">
      <c r="A43" s="431"/>
      <c r="B43" s="381" t="s">
        <v>2243</v>
      </c>
      <c r="C43" s="419" t="s">
        <v>3220</v>
      </c>
      <c r="D43" s="394">
        <v>100</v>
      </c>
      <c r="E43" s="419" t="s">
        <v>3211</v>
      </c>
      <c r="F43" s="420">
        <f>SUMIF(123:123,E43,124:124)-SUMIF(123:123,C43,124:124)+100</f>
        <v>101</v>
      </c>
      <c r="G43" s="419" t="s">
        <v>3220</v>
      </c>
      <c r="H43" s="394">
        <f>SUMIF(123:123,G43,124:124)-SUMIF(123:123,C43,124:124)+100</f>
        <v>100</v>
      </c>
      <c r="I43" s="419" t="s">
        <v>3220</v>
      </c>
      <c r="J43" s="394">
        <f>SUMIF(123:123,I43,124:124)-SUMIF(123:123,C43,124:124)+100</f>
        <v>100</v>
      </c>
      <c r="K43" s="569">
        <v>1</v>
      </c>
      <c r="L43" s="2901"/>
      <c r="M43" s="2895"/>
      <c r="N43" s="2895"/>
      <c r="O43" s="2895"/>
      <c r="P43" s="3508"/>
      <c r="Q43" s="1487" t="str">
        <f t="shared" si="11"/>
        <v>内部装修</v>
      </c>
      <c r="R43" s="714" t="s">
        <v>17</v>
      </c>
      <c r="S43" s="715">
        <f t="shared" si="12"/>
        <v>101</v>
      </c>
      <c r="T43" s="714" t="s">
        <v>17</v>
      </c>
      <c r="U43" s="715">
        <f t="shared" si="13"/>
        <v>100</v>
      </c>
      <c r="V43" s="714" t="s">
        <v>17</v>
      </c>
      <c r="W43" s="715">
        <f t="shared" si="14"/>
        <v>100</v>
      </c>
      <c r="X43" s="1490"/>
      <c r="Y43" s="3510"/>
      <c r="Z43" s="1491" t="str">
        <f t="shared" si="15"/>
        <v>内部装修</v>
      </c>
      <c r="AA43" s="1488">
        <f t="shared" si="3"/>
        <v>0.99009900990099009</v>
      </c>
      <c r="AB43" s="1488">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508"/>
      <c r="Q44" s="1487" t="str">
        <f t="shared" si="11"/>
        <v>内部装修维护情况</v>
      </c>
      <c r="R44" s="714" t="s">
        <v>17</v>
      </c>
      <c r="S44" s="715">
        <f t="shared" si="12"/>
        <v>100</v>
      </c>
      <c r="T44" s="714" t="s">
        <v>17</v>
      </c>
      <c r="U44" s="715">
        <f t="shared" si="13"/>
        <v>100</v>
      </c>
      <c r="V44" s="714" t="s">
        <v>17</v>
      </c>
      <c r="W44" s="715">
        <f t="shared" si="14"/>
        <v>100</v>
      </c>
      <c r="X44" s="1490"/>
      <c r="Y44" s="3510"/>
      <c r="Z44" s="1491" t="str">
        <f t="shared" si="15"/>
        <v>内部装修维护情况</v>
      </c>
      <c r="AA44" s="1488">
        <f t="shared" si="3"/>
        <v>1</v>
      </c>
      <c r="AB44" s="1488">
        <f t="shared" si="4"/>
        <v>1</v>
      </c>
      <c r="AC44" s="2099">
        <f t="shared" si="5"/>
        <v>1</v>
      </c>
    </row>
    <row r="45" spans="1:29" s="113" customFormat="1" ht="15" hidden="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8"/>
      <c r="Q45" s="1478">
        <f t="shared" si="11"/>
        <v>111</v>
      </c>
      <c r="R45" s="710" t="s">
        <v>17</v>
      </c>
      <c r="S45" s="711">
        <f t="shared" si="12"/>
        <v>100</v>
      </c>
      <c r="T45" s="710" t="s">
        <v>17</v>
      </c>
      <c r="U45" s="711">
        <f t="shared" si="13"/>
        <v>100</v>
      </c>
      <c r="V45" s="710" t="s">
        <v>17</v>
      </c>
      <c r="W45" s="711">
        <f t="shared" si="14"/>
        <v>100</v>
      </c>
      <c r="X45" s="712"/>
      <c r="Y45" s="3510"/>
      <c r="Z45" s="55">
        <f t="shared" si="15"/>
        <v>111</v>
      </c>
      <c r="AA45" s="713">
        <f t="shared" si="3"/>
        <v>1</v>
      </c>
      <c r="AB45" s="713">
        <f t="shared" si="4"/>
        <v>1</v>
      </c>
      <c r="AC45" s="2096">
        <f t="shared" si="5"/>
        <v>1</v>
      </c>
    </row>
    <row r="46" spans="1:29" ht="15" hidden="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8"/>
      <c r="Q46" s="1487">
        <f t="shared" si="11"/>
        <v>111</v>
      </c>
      <c r="R46" s="714" t="s">
        <v>17</v>
      </c>
      <c r="S46" s="715">
        <f t="shared" si="12"/>
        <v>100</v>
      </c>
      <c r="T46" s="714" t="s">
        <v>17</v>
      </c>
      <c r="U46" s="715">
        <f t="shared" si="13"/>
        <v>100</v>
      </c>
      <c r="V46" s="714" t="s">
        <v>17</v>
      </c>
      <c r="W46" s="715">
        <f t="shared" si="14"/>
        <v>100</v>
      </c>
      <c r="X46" s="1490"/>
      <c r="Y46" s="3510"/>
      <c r="Z46" s="1491">
        <f t="shared" si="15"/>
        <v>111</v>
      </c>
      <c r="AA46" s="1488">
        <f t="shared" si="3"/>
        <v>1</v>
      </c>
      <c r="AB46" s="1488">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9"/>
      <c r="Q47" s="1487">
        <f t="shared" si="11"/>
        <v>111</v>
      </c>
      <c r="R47" s="714" t="s">
        <v>17</v>
      </c>
      <c r="S47" s="715">
        <f t="shared" si="12"/>
        <v>100</v>
      </c>
      <c r="T47" s="714" t="s">
        <v>17</v>
      </c>
      <c r="U47" s="715">
        <f t="shared" si="13"/>
        <v>100</v>
      </c>
      <c r="V47" s="714" t="s">
        <v>17</v>
      </c>
      <c r="W47" s="715">
        <f t="shared" si="14"/>
        <v>100</v>
      </c>
      <c r="X47" s="1490"/>
      <c r="Y47" s="3511"/>
      <c r="Z47" s="1491">
        <f t="shared" si="15"/>
        <v>111</v>
      </c>
      <c r="AA47" s="1488">
        <f t="shared" si="3"/>
        <v>1</v>
      </c>
      <c r="AB47" s="1488">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83" t="str">
        <f>A48</f>
        <v>成交单价（元/平方米）</v>
      </c>
      <c r="Q48" s="3512"/>
      <c r="R48" s="3513">
        <f>E48</f>
        <v>40000</v>
      </c>
      <c r="S48" s="3513"/>
      <c r="T48" s="3513">
        <f>G48</f>
        <v>37976</v>
      </c>
      <c r="U48" s="3513"/>
      <c r="V48" s="3513">
        <f>I48</f>
        <v>37970</v>
      </c>
      <c r="W48" s="3513"/>
      <c r="X48" s="405"/>
      <c r="Y48" s="721"/>
      <c r="Z48" s="405"/>
      <c r="AA48" s="405"/>
      <c r="AB48" s="405"/>
      <c r="AC48" s="586"/>
    </row>
    <row r="49" spans="1:29" ht="15.75" thickBot="1">
      <c r="A49" s="445" t="s">
        <v>2244</v>
      </c>
      <c r="B49" s="446"/>
      <c r="C49" s="1275">
        <f>R50</f>
        <v>37517</v>
      </c>
      <c r="D49" s="2489" t="s">
        <v>2634</v>
      </c>
      <c r="E49" s="1276">
        <f>R49</f>
        <v>38066</v>
      </c>
      <c r="F49" s="2490"/>
      <c r="G49" s="1275">
        <f>T49</f>
        <v>37976</v>
      </c>
      <c r="H49" s="2490"/>
      <c r="I49" s="1276">
        <f>V49</f>
        <v>36510</v>
      </c>
      <c r="J49" s="2490"/>
      <c r="K49" s="2492">
        <f>F49+H49+J49</f>
        <v>0</v>
      </c>
      <c r="L49" s="2903"/>
      <c r="M49" s="2895"/>
      <c r="N49" s="2895"/>
      <c r="O49" s="2895"/>
      <c r="P49" s="3483" t="str">
        <f>A49</f>
        <v>比较价值（元/平方米）</v>
      </c>
      <c r="Q49" s="3512"/>
      <c r="R49" s="3513">
        <f>IF(F1="售价",ROUND(PRODUCT(R48,AA7:AA47),0),ROUND(PRODUCT(R48,AA7:AA47),1))</f>
        <v>38066</v>
      </c>
      <c r="S49" s="3513"/>
      <c r="T49" s="3513">
        <f>IF(F1="售价",ROUND(PRODUCT(T48,AB7:AB47),0),ROUND(PRODUCT(T48,AB7:AB47),1))</f>
        <v>37976</v>
      </c>
      <c r="U49" s="3513"/>
      <c r="V49" s="3513">
        <f>IF(F1="售价",ROUND(PRODUCT(V48,AC7:AC47),0),ROUND(PRODUCT(V48,AC7:AC47),1))</f>
        <v>36510</v>
      </c>
      <c r="W49" s="3513"/>
      <c r="X49" s="405"/>
      <c r="Y49" s="405"/>
      <c r="Z49" s="405"/>
      <c r="AA49" s="405"/>
      <c r="AB49" s="405"/>
      <c r="AC49" s="586"/>
    </row>
    <row r="50" spans="1:29" ht="15.75" thickBot="1">
      <c r="A50" s="449" t="s">
        <v>2245</v>
      </c>
      <c r="B50" s="450"/>
      <c r="C50" s="1278">
        <f>R50</f>
        <v>37517</v>
      </c>
      <c r="D50" s="1278"/>
      <c r="E50" s="1278"/>
      <c r="F50" s="1278"/>
      <c r="G50" s="1278"/>
      <c r="H50" s="1278"/>
      <c r="I50" s="1278"/>
      <c r="J50" s="451"/>
      <c r="K50" s="724"/>
      <c r="L50" s="2903"/>
      <c r="M50" s="2895"/>
      <c r="N50" s="2895"/>
      <c r="O50" s="2895"/>
      <c r="P50" s="3514" t="str">
        <f>A50</f>
        <v>估价对象XX用房的比较价值（楼面单价，元/平方米）</v>
      </c>
      <c r="Q50" s="3515"/>
      <c r="R50" s="3516">
        <f>IF(F1="售价",ROUND(IF(D49="简单平均",AVERAGE(R49:V49),R49*F49+T49*H49+V49*J49),0),ROUND(IF(D49="简单平均",AVERAGE(R49:V49),R49*F49+T49*H49+V49*J49),1))</f>
        <v>37517</v>
      </c>
      <c r="S50" s="3516"/>
      <c r="T50" s="3516"/>
      <c r="U50" s="3516"/>
      <c r="V50" s="3516"/>
      <c r="W50" s="3516"/>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5.0806493984132839E-2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2247</v>
      </c>
      <c r="D54" s="458"/>
      <c r="E54" s="456">
        <f>IF(E49&lt;G49,G49/E49-1,E49/G49-1)</f>
        <v>2.3699178428480128E-3</v>
      </c>
      <c r="F54" s="457" t="str">
        <f>IF(OR(E54&gt;=0.2,E54&lt;=-0.2),"超过20%","")</f>
        <v/>
      </c>
      <c r="G54" s="456">
        <f>IF(G49&lt;I49,I49/G49-1,G49/I49-1)</f>
        <v>4.0153382634894541E-2</v>
      </c>
      <c r="H54" s="457" t="str">
        <f>IF(OR(G54&gt;=0.2,G54&lt;=-0.2),"超过20%","")</f>
        <v/>
      </c>
      <c r="I54" s="456">
        <f>IF(I49&lt;E49,E49/I49-1,I49/E49-1)</f>
        <v>4.2618460695699856E-2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99</v>
      </c>
      <c r="E124" s="501">
        <f t="shared" si="31"/>
        <v>98</v>
      </c>
      <c r="F124" s="501">
        <f t="shared" si="31"/>
        <v>97</v>
      </c>
      <c r="G124" s="501">
        <f t="shared" si="31"/>
        <v>96</v>
      </c>
      <c r="H124" s="501">
        <f t="shared" si="31"/>
        <v>95</v>
      </c>
      <c r="I124" s="501">
        <f t="shared" si="31"/>
        <v>94</v>
      </c>
      <c r="J124" s="501">
        <f t="shared" si="31"/>
        <v>93</v>
      </c>
      <c r="K124" s="501">
        <f t="shared" si="31"/>
        <v>92</v>
      </c>
      <c r="L124" s="501">
        <f t="shared" si="31"/>
        <v>91</v>
      </c>
      <c r="M124" s="502">
        <f t="shared" si="31"/>
        <v>90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816</v>
      </c>
      <c r="D1" s="1497" t="s">
        <v>70</v>
      </c>
      <c r="E1" s="1498" t="s">
        <v>1107</v>
      </c>
      <c r="F1" s="1174">
        <f ca="1">J53</f>
        <v>36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1310</v>
      </c>
      <c r="B2" s="1521">
        <f ca="1">ROUND(D2/10000,0)</f>
        <v>872</v>
      </c>
      <c r="C2" s="1522" t="s">
        <v>1311</v>
      </c>
      <c r="D2" s="1606">
        <f ca="1">C40+J29+L46</f>
        <v>8724999</v>
      </c>
      <c r="E2" s="1523" t="s">
        <v>1312</v>
      </c>
      <c r="F2" s="1524"/>
      <c r="G2" s="2885"/>
      <c r="H2" s="2874"/>
      <c r="I2" s="2874"/>
      <c r="J2" s="2874"/>
      <c r="K2" s="2875"/>
      <c r="L2" s="2874"/>
      <c r="M2" s="2874"/>
    </row>
    <row r="3" spans="1:37" ht="18" customHeight="1" thickBot="1">
      <c r="A3" s="1525" t="s">
        <v>1313</v>
      </c>
      <c r="B3" s="1526">
        <f ca="1">IF(ISERROR(D2/F43),0,ROUND(D2/F43,0))</f>
        <v>38579</v>
      </c>
      <c r="C3" s="1522" t="s">
        <v>1314</v>
      </c>
      <c r="D3" s="1522"/>
      <c r="E3" s="1523"/>
      <c r="F3" s="1524"/>
      <c r="G3" s="2885"/>
      <c r="H3" s="692" t="s">
        <v>1308</v>
      </c>
      <c r="I3" s="1517"/>
      <c r="J3" s="1517"/>
      <c r="K3" s="1518"/>
      <c r="L3" s="1517"/>
      <c r="M3" s="1517"/>
    </row>
    <row r="4" spans="1:37" ht="18" customHeight="1">
      <c r="A4" s="301" t="s">
        <v>1315</v>
      </c>
      <c r="B4" s="302" t="s">
        <v>1316</v>
      </c>
      <c r="C4" s="302" t="s">
        <v>1317</v>
      </c>
      <c r="D4" s="302" t="s">
        <v>1318</v>
      </c>
      <c r="E4" s="303" t="s">
        <v>1319</v>
      </c>
      <c r="F4" s="304"/>
      <c r="G4" s="1519"/>
      <c r="H4" s="301" t="s">
        <v>1315</v>
      </c>
      <c r="I4" s="302" t="s">
        <v>1316</v>
      </c>
      <c r="J4" s="302" t="s">
        <v>1317</v>
      </c>
      <c r="K4" s="302" t="s">
        <v>1318</v>
      </c>
      <c r="L4" s="303" t="s">
        <v>1319</v>
      </c>
      <c r="M4" s="304"/>
    </row>
    <row r="5" spans="1:37" ht="18" customHeight="1">
      <c r="A5" s="305">
        <v>1</v>
      </c>
      <c r="B5" s="306" t="s">
        <v>1320</v>
      </c>
      <c r="C5" s="1183">
        <f ca="1">C6+C10+C12</f>
        <v>520705</v>
      </c>
      <c r="D5" s="1499" t="s">
        <v>1321</v>
      </c>
      <c r="E5" s="1184"/>
      <c r="F5" s="1185"/>
      <c r="G5" s="1519"/>
      <c r="H5" s="305">
        <v>1</v>
      </c>
      <c r="I5" s="306" t="s">
        <v>1320</v>
      </c>
      <c r="J5" s="1183">
        <f ca="1">J6+J10+J12</f>
        <v>0</v>
      </c>
      <c r="K5" s="1499" t="s">
        <v>1321</v>
      </c>
      <c r="L5" s="1184"/>
      <c r="M5" s="1185"/>
    </row>
    <row r="6" spans="1:37" ht="18" customHeight="1">
      <c r="A6" s="1182" t="s">
        <v>822</v>
      </c>
      <c r="B6" s="3462" t="s">
        <v>1123</v>
      </c>
      <c r="C6" s="1187">
        <f ca="1">ROUND(F6*F8*F7*(1-F9),0)</f>
        <v>520055</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226.16</v>
      </c>
      <c r="G7" s="1519"/>
      <c r="H7" s="310"/>
      <c r="I7" s="3463"/>
      <c r="J7" s="312"/>
      <c r="K7" s="313"/>
      <c r="L7" s="308" t="s">
        <v>1126</v>
      </c>
      <c r="M7" s="309">
        <f ca="1">F7</f>
        <v>226.16</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650</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1218882</v>
      </c>
      <c r="D13" s="1194" t="s">
        <v>1135</v>
      </c>
      <c r="E13" s="1194"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1017720</v>
      </c>
      <c r="D14" s="1480" t="s">
        <v>1138</v>
      </c>
      <c r="E14" s="1477"/>
      <c r="F14" s="325"/>
      <c r="G14" s="1519"/>
      <c r="H14" s="1094" t="s">
        <v>822</v>
      </c>
      <c r="I14" s="308" t="s">
        <v>1139</v>
      </c>
      <c r="J14" s="24">
        <f ca="1">C29</f>
        <v>1523602</v>
      </c>
      <c r="K14" s="15"/>
      <c r="L14" s="897"/>
      <c r="M14" s="898"/>
    </row>
    <row r="15" spans="1:37" s="1532" customFormat="1" ht="18" customHeight="1" thickBot="1">
      <c r="A15" s="1094" t="s">
        <v>823</v>
      </c>
      <c r="B15" s="308" t="s">
        <v>1140</v>
      </c>
      <c r="C15" s="24">
        <f ca="1">ROUND(C14*F15,0)</f>
        <v>30532</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34128</v>
      </c>
      <c r="K16" s="1200" t="s">
        <v>1145</v>
      </c>
      <c r="L16" s="1201"/>
      <c r="M16" s="1185"/>
    </row>
    <row r="17" spans="1:37" s="1532" customFormat="1" ht="18" customHeight="1">
      <c r="A17" s="1094" t="s">
        <v>1110</v>
      </c>
      <c r="B17" s="308" t="s">
        <v>1146</v>
      </c>
      <c r="C17" s="24">
        <f ca="1">ROUND(F17*(F43+INDIRECT("'数据-取费表'!S"&amp;$G$1)),0)</f>
        <v>45232</v>
      </c>
      <c r="D17" s="308" t="s">
        <v>1147</v>
      </c>
      <c r="E17" s="308" t="s">
        <v>1148</v>
      </c>
      <c r="F17" s="26">
        <f>'数据-取费表'!B35</f>
        <v>200</v>
      </c>
      <c r="G17" s="1531"/>
      <c r="H17" s="1094" t="s">
        <v>822</v>
      </c>
      <c r="I17" s="308" t="s">
        <v>1149</v>
      </c>
      <c r="J17" s="2485">
        <f ca="1">ROUND(IF(AND(项目基本情况!B11="自然人",项目基本情况!B10="北京市"),J6*M17/(1+'数据-取费表'!C42),J18+J19+J20),0)</f>
        <v>12798</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15266</v>
      </c>
      <c r="D18" s="308" t="s">
        <v>1141</v>
      </c>
      <c r="E18" s="308" t="s">
        <v>1142</v>
      </c>
      <c r="F18" s="328">
        <f>'数据-取费表'!B36</f>
        <v>1.4999999999999999E-2</v>
      </c>
      <c r="G18" s="1531"/>
      <c r="H18" s="1094" t="s">
        <v>821</v>
      </c>
      <c r="I18" s="308" t="s">
        <v>1153</v>
      </c>
      <c r="J18" s="24">
        <f ca="1">ROUND(J6*M18/(1+'数据-取费表'!C42),0)</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1108750</v>
      </c>
      <c r="D19" s="136" t="s">
        <v>1156</v>
      </c>
      <c r="E19" s="1495"/>
      <c r="F19" s="26"/>
      <c r="G19" s="1519"/>
      <c r="H19" s="1094" t="s">
        <v>823</v>
      </c>
      <c r="I19" s="308" t="s">
        <v>1157</v>
      </c>
      <c r="J19" s="24">
        <f ca="1">IF(K19="按租金收入计税",ROUND(J6*M19/(1+'数据-取费表'!C42),0),ROUND(C29*M19*0.7,0))</f>
        <v>12798</v>
      </c>
      <c r="K19" s="1505" t="s">
        <v>1158</v>
      </c>
      <c r="L19" s="308" t="s">
        <v>1142</v>
      </c>
      <c r="M19" s="328">
        <f>IF(K19="按租金收入计税",'数据-取费表'!B51,'数据-取费表'!B50)</f>
        <v>1.2E-2</v>
      </c>
    </row>
    <row r="20" spans="1:37" s="1532" customFormat="1" ht="18" customHeight="1">
      <c r="A20" s="1094" t="s">
        <v>826</v>
      </c>
      <c r="B20" s="308" t="s">
        <v>1159</v>
      </c>
      <c r="C20" s="24">
        <f ca="1">ROUND(C19*F20,0)</f>
        <v>22175</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ROUND(J14*M22,0)</f>
        <v>21330</v>
      </c>
      <c r="K22" s="1479" t="s">
        <v>1170</v>
      </c>
      <c r="L22" s="308" t="s">
        <v>1142</v>
      </c>
      <c r="M22" s="334">
        <f ca="1">INDIRECT("'数据-取费表'!Ak"&amp;$G$1)</f>
        <v>1.4E-2</v>
      </c>
    </row>
    <row r="23" spans="1:37" s="1532" customFormat="1" ht="18" customHeight="1">
      <c r="A23" s="1094" t="s">
        <v>821</v>
      </c>
      <c r="B23" s="308" t="s">
        <v>1171</v>
      </c>
      <c r="C23" s="24">
        <f ca="1">IF('数据-取费表'!B22&lt;=1,ROUND(C19*F24*F23/2,0)+ROUND(C20*F24*F23/2,0),ROUND(C19*(POWER((1+F24),F23/2)-1),0)+ROUND(C20*(POWER((1+F24),F23/2)-1),0))</f>
        <v>47499</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1479" t="s">
        <v>1174</v>
      </c>
      <c r="L23" s="308" t="s">
        <v>1175</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ROUND(J5*M24,0)</f>
        <v>0</v>
      </c>
      <c r="K24" s="1205" t="s">
        <v>1179</v>
      </c>
      <c r="L24" s="1203" t="s">
        <v>1175</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1495"/>
      <c r="F25" s="26"/>
      <c r="G25" s="1519"/>
      <c r="H25" s="1192" t="s">
        <v>818</v>
      </c>
      <c r="I25" s="1207" t="s">
        <v>1183</v>
      </c>
      <c r="J25" s="316">
        <f ca="1">J5-J16</f>
        <v>-34128</v>
      </c>
      <c r="K25" s="1208" t="s">
        <v>1184</v>
      </c>
      <c r="L25" s="1209"/>
      <c r="M25" s="1210"/>
    </row>
    <row r="26" spans="1:37" ht="18" customHeight="1">
      <c r="A26" s="1094" t="s">
        <v>821</v>
      </c>
      <c r="B26" s="308" t="s">
        <v>1185</v>
      </c>
      <c r="C26" s="24">
        <f ca="1">ROUND((C19+C20)*F26,0)</f>
        <v>226185</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1523602</v>
      </c>
      <c r="D29" s="1205"/>
      <c r="E29" s="1203"/>
      <c r="F29" s="1206"/>
      <c r="G29" s="1531"/>
      <c r="H29" s="340" t="s">
        <v>820</v>
      </c>
      <c r="I29" s="341" t="s">
        <v>1199</v>
      </c>
      <c r="J29" s="342">
        <f ca="1">ROUND(J26/(1+F40)^F41,0)</f>
        <v>0</v>
      </c>
      <c r="K29" s="343" t="s">
        <v>1200</v>
      </c>
      <c r="L29" s="344"/>
      <c r="M29" s="345">
        <f ca="1">INDIRECT("'数据-取费表'!k"&amp;$G$1)</f>
        <v>226.16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115536</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87171</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27736</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59435</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21330</v>
      </c>
      <c r="D36" s="1479" t="s">
        <v>1202</v>
      </c>
      <c r="E36" s="308" t="s">
        <v>1142</v>
      </c>
      <c r="F36" s="334">
        <f ca="1">INDIRECT("'数据-取费表'!Ak"&amp;$G$1)</f>
        <v>1.4E-2</v>
      </c>
      <c r="G36" s="1519"/>
      <c r="H36" s="2879"/>
      <c r="I36" s="1533"/>
      <c r="J36" s="1534"/>
      <c r="K36" s="2720"/>
      <c r="L36" s="2879"/>
      <c r="M36" s="2879"/>
    </row>
    <row r="37" spans="1:18" ht="18" customHeight="1">
      <c r="A37" s="1094" t="s">
        <v>862</v>
      </c>
      <c r="B37" s="308" t="s">
        <v>1173</v>
      </c>
      <c r="C37" s="24">
        <f ca="1">ROUND(C13*F37,0)</f>
        <v>1828</v>
      </c>
      <c r="D37" s="1479" t="s">
        <v>1174</v>
      </c>
      <c r="E37" s="308" t="s">
        <v>1175</v>
      </c>
      <c r="F37" s="336">
        <f ca="1">INDIRECT("'数据-取费表'!Al"&amp;$G$1)</f>
        <v>1.5E-3</v>
      </c>
      <c r="G37" s="1519"/>
      <c r="H37" s="2879"/>
      <c r="I37" s="1533"/>
      <c r="J37" s="1534"/>
      <c r="K37" s="2720"/>
      <c r="L37" s="2879"/>
      <c r="M37" s="2879"/>
    </row>
    <row r="38" spans="1:18" ht="18" customHeight="1" thickBot="1">
      <c r="A38" s="1202" t="s">
        <v>1113</v>
      </c>
      <c r="B38" s="1203" t="s">
        <v>1159</v>
      </c>
      <c r="C38" s="1204">
        <f ca="1">ROUND(C5*F38,1)</f>
        <v>5207.1000000000004</v>
      </c>
      <c r="D38" s="1205" t="s">
        <v>1179</v>
      </c>
      <c r="E38" s="1203" t="s">
        <v>1175</v>
      </c>
      <c r="F38" s="1199">
        <f ca="1">INDIRECT("'数据-取费表'!Am"&amp;$G$1)</f>
        <v>0.01</v>
      </c>
      <c r="G38" s="1519"/>
      <c r="H38" s="2879"/>
      <c r="I38" s="1533"/>
      <c r="J38" s="1534"/>
      <c r="K38" s="2883"/>
      <c r="L38" s="2879"/>
      <c r="M38" s="2879"/>
    </row>
    <row r="39" spans="1:18" ht="24.6" customHeight="1" thickTop="1">
      <c r="A39" s="1192" t="s">
        <v>818</v>
      </c>
      <c r="B39" s="1207" t="s">
        <v>1203</v>
      </c>
      <c r="C39" s="316">
        <f ca="1">C5-C30</f>
        <v>405169</v>
      </c>
      <c r="D39" s="1208" t="s">
        <v>1204</v>
      </c>
      <c r="E39" s="1209"/>
      <c r="F39" s="1210"/>
      <c r="G39" s="1519"/>
      <c r="H39" s="2879"/>
      <c r="I39" s="1533"/>
      <c r="J39" s="1534"/>
      <c r="K39" s="2883"/>
      <c r="L39" s="2879"/>
      <c r="M39" s="2879"/>
    </row>
    <row r="40" spans="1:18" ht="18" customHeight="1">
      <c r="A40" s="305" t="s">
        <v>819</v>
      </c>
      <c r="B40" s="306" t="s">
        <v>1205</v>
      </c>
      <c r="C40" s="307">
        <f ca="1">ROUND(C39*(1-((1+F42)/(1+F40))^F41)/(F40-F42),0)</f>
        <v>8724999</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38579</v>
      </c>
      <c r="D43" s="343" t="s">
        <v>1208</v>
      </c>
      <c r="E43" s="344" t="s">
        <v>1209</v>
      </c>
      <c r="F43" s="345">
        <f ca="1">INDIRECT("'数据-取费表'!k"&amp;$G$1)</f>
        <v>226.16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-11979703</v>
      </c>
      <c r="D45" s="1608" t="s">
        <v>1324</v>
      </c>
      <c r="E45" s="1535"/>
      <c r="F45" s="1535"/>
      <c r="O45" s="1538" t="s">
        <v>1239</v>
      </c>
      <c r="P45" s="1596"/>
      <c r="Q45" s="1596"/>
      <c r="R45" s="1596"/>
    </row>
    <row r="46" spans="1:18" s="1519" customFormat="1" ht="13.5" thickBot="1">
      <c r="A46" s="1539" t="s">
        <v>1240</v>
      </c>
      <c r="C46" s="1540">
        <f ca="1">ROUND(C45/10000,0)</f>
        <v>-1198</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8724999</v>
      </c>
      <c r="R47" s="1555" t="s">
        <v>1249</v>
      </c>
    </row>
    <row r="48" spans="1:18" s="1519" customFormat="1" ht="28.5" thickBot="1">
      <c r="A48" s="1223" t="s">
        <v>863</v>
      </c>
      <c r="B48" s="306" t="s">
        <v>1121</v>
      </c>
      <c r="C48" s="1494">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1523602</v>
      </c>
      <c r="R49" s="1555" t="s">
        <v>1249</v>
      </c>
    </row>
    <row r="50" spans="1:18" s="1519" customFormat="1" ht="13.5" thickBot="1">
      <c r="A50" s="1088"/>
      <c r="B50" s="1091"/>
      <c r="C50" s="1092"/>
      <c r="D50" s="1065"/>
      <c r="E50" s="1168" t="s">
        <v>1126</v>
      </c>
      <c r="F50" s="1169">
        <f ca="1">F7</f>
        <v>226.16</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5561590</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8724999</v>
      </c>
      <c r="R53" s="1555" t="s">
        <v>834</v>
      </c>
    </row>
    <row r="54" spans="1:18" s="1519" customFormat="1" ht="13.5" thickBot="1">
      <c r="A54" s="1087"/>
      <c r="B54" s="1609" t="s">
        <v>1323</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1218882</v>
      </c>
      <c r="D56" s="1582"/>
      <c r="E56" s="1583"/>
      <c r="F56" s="1575"/>
      <c r="I56" s="1584" t="s">
        <v>1274</v>
      </c>
      <c r="J56" s="1585" t="s">
        <v>3175</v>
      </c>
      <c r="K56" s="1556" t="s">
        <v>1275</v>
      </c>
      <c r="L56" s="1559" t="str">
        <f ca="1">IF(L48&lt;J51,"——",L48-J51)</f>
        <v>——</v>
      </c>
      <c r="O56" s="1553" t="s">
        <v>827</v>
      </c>
      <c r="P56" s="1554" t="s">
        <v>1248</v>
      </c>
      <c r="Q56" s="1555">
        <f ca="1">C40+J29</f>
        <v>8724999</v>
      </c>
      <c r="R56" s="1555" t="s">
        <v>1249</v>
      </c>
    </row>
    <row r="57" spans="1:18" s="1519" customFormat="1" ht="24.75" thickBot="1">
      <c r="A57" s="1586"/>
      <c r="B57" s="1062" t="s">
        <v>1198</v>
      </c>
      <c r="C57" s="244">
        <f ca="1">C29</f>
        <v>1523602</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151141</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127983</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127983</v>
      </c>
      <c r="D61" s="1505" t="s">
        <v>1158</v>
      </c>
      <c r="E61" s="1062" t="s">
        <v>1214</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1217</v>
      </c>
      <c r="E62" s="1062" t="s">
        <v>1218</v>
      </c>
      <c r="F62" s="331">
        <f t="shared" si="0"/>
        <v>0</v>
      </c>
      <c r="I62" s="1597" t="s">
        <v>1290</v>
      </c>
      <c r="J62" s="1598" t="s">
        <v>1291</v>
      </c>
      <c r="K62" s="1598" t="s">
        <v>1292</v>
      </c>
      <c r="L62" s="1598" t="s">
        <v>1293</v>
      </c>
      <c r="M62" s="1599" t="s">
        <v>1294</v>
      </c>
      <c r="O62" s="1553" t="s">
        <v>833</v>
      </c>
      <c r="P62" s="1554" t="s">
        <v>1295</v>
      </c>
      <c r="Q62" s="1555">
        <f ca="1">Q56+Q57</f>
        <v>8724999</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21330</v>
      </c>
      <c r="D64" s="1076" t="s">
        <v>1222</v>
      </c>
      <c r="E64" s="1062" t="s">
        <v>1214</v>
      </c>
      <c r="F64" s="334">
        <f t="shared" ca="1" si="0"/>
        <v>1.4E-2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1828</v>
      </c>
      <c r="D65" s="1076" t="s">
        <v>1174</v>
      </c>
      <c r="E65" s="1062" t="s">
        <v>1175</v>
      </c>
      <c r="F65" s="336">
        <f t="shared" ca="1" si="0"/>
        <v>1.5E-3</v>
      </c>
      <c r="I65" s="1597" t="s">
        <v>1299</v>
      </c>
      <c r="J65" s="1598">
        <v>40</v>
      </c>
      <c r="K65" s="1598">
        <v>30</v>
      </c>
      <c r="L65" s="1598">
        <v>50</v>
      </c>
      <c r="M65" s="1600">
        <v>0.02</v>
      </c>
      <c r="O65" s="1553" t="s">
        <v>827</v>
      </c>
      <c r="P65" s="1554" t="s">
        <v>1300</v>
      </c>
      <c r="Q65" s="1555">
        <f ca="1">C40+J29</f>
        <v>8724999</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-151141</v>
      </c>
      <c r="D67" s="1075" t="s">
        <v>1184</v>
      </c>
      <c r="E67" s="1080"/>
      <c r="F67" s="1081"/>
      <c r="O67" s="1563" t="s">
        <v>829</v>
      </c>
      <c r="P67" s="1554" t="s">
        <v>1282</v>
      </c>
      <c r="Q67" s="1601">
        <f ca="1">L51</f>
        <v>5561590</v>
      </c>
      <c r="R67" s="1555" t="s">
        <v>1302</v>
      </c>
    </row>
    <row r="68" spans="1:18" s="1519" customFormat="1" ht="16.5" thickBot="1">
      <c r="A68" s="1059" t="s">
        <v>819</v>
      </c>
      <c r="B68" s="1060" t="s">
        <v>1205</v>
      </c>
      <c r="C68" s="307">
        <f ca="1">ROUND(C67*(1-((1+F70)/(1+F68))^F69)/(F68-F70),0)</f>
        <v>-3254704</v>
      </c>
      <c r="D68" s="1077" t="s">
        <v>1189</v>
      </c>
      <c r="E68" s="1062" t="s">
        <v>1190</v>
      </c>
      <c r="F68" s="318">
        <f ca="1">F40</f>
        <v>5.5E-2</v>
      </c>
      <c r="O68" s="1563" t="s">
        <v>830</v>
      </c>
      <c r="P68" s="1602" t="s">
        <v>1303</v>
      </c>
      <c r="Q68" s="1555">
        <f ca="1">ROUND(Q69-Q70*Q71,0)</f>
        <v>307658</v>
      </c>
      <c r="R68" s="1555" t="s">
        <v>838</v>
      </c>
    </row>
    <row r="69" spans="1:18" s="1519" customFormat="1" ht="13.5" thickBot="1">
      <c r="A69" s="1063"/>
      <c r="B69" s="1064"/>
      <c r="C69" s="312"/>
      <c r="D69" s="1082" t="s">
        <v>1193</v>
      </c>
      <c r="E69" s="1062" t="s">
        <v>1194</v>
      </c>
      <c r="F69" s="339">
        <f ca="1">F41</f>
        <v>36</v>
      </c>
      <c r="O69" s="1563" t="s">
        <v>835</v>
      </c>
      <c r="P69" s="1602" t="s">
        <v>1304</v>
      </c>
      <c r="Q69" s="1555">
        <f ca="1">C39</f>
        <v>405169</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1218882</v>
      </c>
      <c r="R70" s="1555" t="s">
        <v>1249</v>
      </c>
    </row>
    <row r="71" spans="1:18" s="1519" customFormat="1" ht="13.5" thickBot="1">
      <c r="A71" s="1083" t="s">
        <v>820</v>
      </c>
      <c r="B71" s="1084" t="s">
        <v>1207</v>
      </c>
      <c r="C71" s="342">
        <f ca="1">ROUND(C68/F71,0)</f>
        <v>-14391</v>
      </c>
      <c r="D71" s="1085" t="s">
        <v>1208</v>
      </c>
      <c r="E71" s="1086" t="s">
        <v>1209</v>
      </c>
      <c r="F71" s="345">
        <f ca="1">F43</f>
        <v>226.16</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97511</v>
      </c>
      <c r="D75" s="1519"/>
      <c r="E75" s="1519"/>
      <c r="F75" s="1519"/>
      <c r="K75" s="1537"/>
      <c r="L75" s="1519"/>
      <c r="O75" s="1553" t="s">
        <v>833</v>
      </c>
      <c r="P75" s="1554" t="s">
        <v>1269</v>
      </c>
      <c r="Q75" s="1555">
        <f ca="1">Q65+Q66</f>
        <v>8724999</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0.75900000000000001</v>
      </c>
    </row>
    <row r="80" spans="1:18">
      <c r="B80" s="346" t="s">
        <v>1231</v>
      </c>
      <c r="C80" s="280">
        <f ca="1">ROUND(C75/C39,3)</f>
        <v>0.24099999999999999</v>
      </c>
    </row>
    <row r="81" spans="2:3">
      <c r="B81" s="276" t="s">
        <v>1232</v>
      </c>
      <c r="C81" s="244"/>
    </row>
    <row r="82" spans="2:3">
      <c r="B82" s="279" t="s">
        <v>1233</v>
      </c>
      <c r="C82" s="281">
        <f ca="1">1-C83</f>
        <v>0.86</v>
      </c>
    </row>
    <row r="83" spans="2:3">
      <c r="B83" s="279" t="s">
        <v>1234</v>
      </c>
      <c r="C83" s="280">
        <f ca="1">ROUND(C13/C40,3)</f>
        <v>0.14000000000000001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J45" sqref="J45:O4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817</v>
      </c>
      <c r="D1" s="1884"/>
      <c r="E1" s="1884"/>
      <c r="F1" s="1886" t="s">
        <v>1703</v>
      </c>
      <c r="G1" s="1697"/>
      <c r="H1" s="1887" t="str">
        <f>IF(G1="现房","——","估价对象范围")</f>
        <v>估价对象范围</v>
      </c>
      <c r="I1" s="1888"/>
    </row>
    <row r="2" spans="1:12" ht="21.75" customHeight="1" thickBot="1">
      <c r="A2" s="3430" t="str">
        <f>项目基本情况!S2</f>
        <v>北京市房地产</v>
      </c>
      <c r="B2" s="3431"/>
      <c r="C2" s="3431"/>
      <c r="D2" s="3431"/>
      <c r="E2" s="3431"/>
      <c r="F2" s="3431"/>
      <c r="G2" s="3431"/>
      <c r="H2" s="3431"/>
      <c r="I2" s="3432"/>
    </row>
    <row r="3" spans="1:12" ht="12.75">
      <c r="A3" s="3434" t="s">
        <v>1704</v>
      </c>
      <c r="B3" s="3435"/>
      <c r="C3" s="3435"/>
      <c r="D3" s="3435"/>
      <c r="E3" s="3435"/>
      <c r="F3" s="3435"/>
      <c r="G3" s="3435"/>
      <c r="H3" s="3435"/>
      <c r="I3" s="3435"/>
    </row>
    <row r="4" spans="1:12" ht="14.25">
      <c r="A4" s="1891" t="s">
        <v>1705</v>
      </c>
      <c r="B4" s="1892" t="s">
        <v>1706</v>
      </c>
      <c r="C4" s="1893" t="s">
        <v>3186</v>
      </c>
      <c r="D4" s="1893" t="s">
        <v>3182</v>
      </c>
      <c r="E4" s="3439" t="s">
        <v>1707</v>
      </c>
      <c r="F4" s="3440"/>
      <c r="G4" s="3440"/>
      <c r="H4" s="3440"/>
      <c r="I4" s="3441"/>
      <c r="K4" s="151" t="str">
        <f>IF(ISNUMBER(FIND("比较法",结果表817!C4)),"比较法",IF(ISNUMBER(FIND("成本法",结果表817!C4)),"成本法",IF(ISNUMBER(FIND("假设开发法",结果表817!C4)),"假设开发法",IF(ISNUMBER(FIND("收益法",结果表817!C4)),"收益法","基准地价系数修正法"))))</f>
        <v>比较法</v>
      </c>
      <c r="L4" s="151" t="str">
        <f>IF(ISNUMBER(FIND("比较法",结果表817!D4)),"比较法",IF(ISNUMBER(FIND("成本法",结果表817!D4)),"成本法",IF(ISNUMBER(FIND("假设开发法",结果表817!D4)),"假设开发法",IF(ISNUMBER(FIND("收益法",结果表817!D4)),"收益法","基准地价系数修正法"))))</f>
        <v>收益法</v>
      </c>
    </row>
    <row r="5" spans="1:12" ht="12.75">
      <c r="A5" s="3375" t="s">
        <v>1708</v>
      </c>
      <c r="B5" s="3433">
        <v>25</v>
      </c>
      <c r="C5" s="3436"/>
      <c r="D5" s="3424"/>
      <c r="E5" s="136" t="s">
        <v>1709</v>
      </c>
      <c r="F5" s="1894"/>
      <c r="G5" s="1894"/>
      <c r="H5" s="1894"/>
      <c r="I5" s="1508"/>
    </row>
    <row r="6" spans="1:12" ht="12.75">
      <c r="A6" s="3375"/>
      <c r="B6" s="3433"/>
      <c r="C6" s="3438"/>
      <c r="D6" s="3424"/>
      <c r="E6" s="136" t="s">
        <v>1710</v>
      </c>
      <c r="F6" s="1894"/>
      <c r="G6" s="1894"/>
      <c r="H6" s="1894"/>
      <c r="I6" s="1508"/>
    </row>
    <row r="7" spans="1:12" ht="12.75">
      <c r="A7" s="3375"/>
      <c r="B7" s="3433"/>
      <c r="C7" s="3437"/>
      <c r="D7" s="3424"/>
      <c r="E7" s="136" t="s">
        <v>1711</v>
      </c>
      <c r="F7" s="1894"/>
      <c r="G7" s="1894"/>
      <c r="H7" s="1894"/>
      <c r="I7" s="1508"/>
    </row>
    <row r="8" spans="1:12" ht="12.75">
      <c r="A8" s="3375" t="s">
        <v>1712</v>
      </c>
      <c r="B8" s="3433">
        <v>15</v>
      </c>
      <c r="C8" s="3436"/>
      <c r="D8" s="3424"/>
      <c r="E8" s="136" t="s">
        <v>1713</v>
      </c>
      <c r="F8" s="1894"/>
      <c r="G8" s="1894"/>
      <c r="H8" s="1894"/>
      <c r="I8" s="1508"/>
    </row>
    <row r="9" spans="1:12" ht="12.75">
      <c r="A9" s="3375"/>
      <c r="B9" s="3433"/>
      <c r="C9" s="3437"/>
      <c r="D9" s="3424"/>
      <c r="E9" s="136" t="s">
        <v>1714</v>
      </c>
      <c r="F9" s="1894"/>
      <c r="G9" s="1894"/>
      <c r="H9" s="1894"/>
      <c r="I9" s="1508"/>
    </row>
    <row r="10" spans="1:12" ht="12.75">
      <c r="A10" s="3375" t="s">
        <v>1715</v>
      </c>
      <c r="B10" s="3433">
        <v>15</v>
      </c>
      <c r="C10" s="3436"/>
      <c r="D10" s="3424"/>
      <c r="E10" s="136" t="s">
        <v>1716</v>
      </c>
      <c r="F10" s="1894"/>
      <c r="G10" s="1894"/>
      <c r="H10" s="1894"/>
      <c r="I10" s="1508"/>
    </row>
    <row r="11" spans="1:12" ht="12.75">
      <c r="A11" s="3375"/>
      <c r="B11" s="3433"/>
      <c r="C11" s="3437"/>
      <c r="D11" s="3424"/>
      <c r="E11" s="136" t="s">
        <v>1717</v>
      </c>
      <c r="F11" s="1894"/>
      <c r="G11" s="1894"/>
      <c r="H11" s="1894"/>
      <c r="I11" s="1508"/>
    </row>
    <row r="12" spans="1:12" ht="12.75">
      <c r="A12" s="3375" t="s">
        <v>1718</v>
      </c>
      <c r="B12" s="3433">
        <v>15</v>
      </c>
      <c r="C12" s="3436"/>
      <c r="D12" s="3424"/>
      <c r="E12" s="136" t="s">
        <v>1719</v>
      </c>
      <c r="F12" s="1894"/>
      <c r="G12" s="1894"/>
      <c r="H12" s="1894"/>
      <c r="I12" s="1508"/>
    </row>
    <row r="13" spans="1:12" ht="12.75">
      <c r="A13" s="3375"/>
      <c r="B13" s="3433"/>
      <c r="C13" s="3437"/>
      <c r="D13" s="3424"/>
      <c r="E13" s="136" t="s">
        <v>1720</v>
      </c>
      <c r="F13" s="1894"/>
      <c r="G13" s="1894"/>
      <c r="H13" s="1894"/>
      <c r="I13" s="1508"/>
    </row>
    <row r="14" spans="1:12" ht="12.75">
      <c r="A14" s="3375" t="s">
        <v>1721</v>
      </c>
      <c r="B14" s="3433">
        <v>30</v>
      </c>
      <c r="C14" s="3436">
        <v>5</v>
      </c>
      <c r="D14" s="3424">
        <v>5</v>
      </c>
      <c r="E14" s="136" t="s">
        <v>1722</v>
      </c>
      <c r="F14" s="1894"/>
      <c r="G14" s="1894"/>
      <c r="H14" s="1894"/>
      <c r="I14" s="1508"/>
    </row>
    <row r="15" spans="1:12" ht="12.75">
      <c r="A15" s="3375"/>
      <c r="B15" s="3433"/>
      <c r="C15" s="3438"/>
      <c r="D15" s="3424"/>
      <c r="E15" s="136" t="s">
        <v>1723</v>
      </c>
      <c r="F15" s="1894"/>
      <c r="G15" s="1894"/>
      <c r="H15" s="1894"/>
      <c r="I15" s="1508"/>
    </row>
    <row r="16" spans="1:12" ht="12.75">
      <c r="A16" s="3375"/>
      <c r="B16" s="3433"/>
      <c r="C16" s="3437"/>
      <c r="D16" s="3424"/>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455" t="s">
        <v>2627</v>
      </c>
      <c r="F18" s="3456"/>
      <c r="G18" s="3456"/>
      <c r="H18" s="3456"/>
      <c r="I18" s="3456"/>
      <c r="K18" s="308" t="s">
        <v>1729</v>
      </c>
      <c r="L18" s="308">
        <f>IF(C1="",'数据-汇总表'!E3,SUMIF(项目类型,C1,'数据-汇总表'!E17:E26)+SUMIF(项目类型,C1,'数据-汇总表'!I17:I26))</f>
        <v>147.72</v>
      </c>
      <c r="M18" s="308">
        <f>IF(C1="",'数据-汇总表'!E3,SUMIF(项目类型,C1,'数据-汇总表'!E17:E26))</f>
        <v>147.72</v>
      </c>
    </row>
    <row r="19" spans="1:36" ht="15">
      <c r="A19" s="1898" t="s">
        <v>1730</v>
      </c>
      <c r="B19" s="1899" t="s">
        <v>1731</v>
      </c>
      <c r="C19" s="139">
        <f ca="1">SUMIF(INDIRECT("'"&amp;C4&amp;"'"&amp;"!A:A"),结果表817!B19,INDIRECT("'"&amp;C4&amp;"'"&amp;"!B:B"))</f>
        <v>554</v>
      </c>
      <c r="D19" s="140">
        <f ca="1">SUMIF(INDIRECT("'"&amp;D4&amp;"'"&amp;"!A:A"),结果表817!B19,INDIRECT("'"&amp;D4&amp;"'"&amp;"!B:B"))</f>
        <v>570</v>
      </c>
      <c r="E19" s="1898" t="s">
        <v>1732</v>
      </c>
      <c r="F19" s="1899" t="s">
        <v>1731</v>
      </c>
      <c r="G19" s="141">
        <f ca="1">ROUND(C19*$C$18+D19*$D$18,0)</f>
        <v>562</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SUMIF(INDIRECT("'"&amp;C4&amp;"'"&amp;"!A:A"),结果表817!B20,INDIRECT("'"&amp;C4&amp;"'"&amp;"!B:B"))</f>
        <v>37517</v>
      </c>
      <c r="D20" s="143">
        <f ca="1">SUMIF(INDIRECT("'"&amp;D4&amp;"'"&amp;"!A:A"),结果表817!B20,INDIRECT("'"&amp;D4&amp;"'"&amp;"!B:B"))</f>
        <v>38579</v>
      </c>
      <c r="E20" s="1901"/>
      <c r="F20" s="1138" t="s">
        <v>1735</v>
      </c>
      <c r="G20" s="144">
        <f ca="1">ROUND(C20*$C$18+D20*$D$18,0)</f>
        <v>38048</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2.8880866425992746E-2</v>
      </c>
      <c r="E22" s="134"/>
      <c r="F22" s="134"/>
      <c r="G22" s="134"/>
      <c r="H22" s="134"/>
      <c r="I22" s="134"/>
    </row>
    <row r="23" spans="1:36" ht="13.5" thickBot="1">
      <c r="A23" s="1884"/>
      <c r="B23" s="1884"/>
      <c r="C23" s="1884"/>
      <c r="D23" s="1884"/>
      <c r="E23" s="134"/>
      <c r="F23" s="134"/>
      <c r="G23" s="134"/>
      <c r="H23" s="134"/>
      <c r="I23" s="134"/>
    </row>
    <row r="24" spans="1:36" ht="14.25">
      <c r="A24" s="3448" t="s">
        <v>1739</v>
      </c>
      <c r="B24" s="1899" t="s">
        <v>1731</v>
      </c>
      <c r="C24" s="141">
        <f>IF(B30=0,0,D30)</f>
        <v>0</v>
      </c>
      <c r="D24" s="1906"/>
      <c r="E24" s="134"/>
      <c r="F24" s="134"/>
      <c r="G24" s="134"/>
      <c r="H24" s="134"/>
      <c r="I24" s="134"/>
    </row>
    <row r="25" spans="1:36" ht="14.25">
      <c r="A25" s="344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38048</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425" t="s">
        <v>1752</v>
      </c>
      <c r="B36" s="1924" t="s">
        <v>1753</v>
      </c>
      <c r="C36" s="150"/>
      <c r="D36" s="1925"/>
      <c r="E36" s="1926"/>
      <c r="F36" s="1927"/>
      <c r="G36" s="134"/>
      <c r="H36" s="134"/>
      <c r="I36" s="134"/>
    </row>
    <row r="37" spans="1:15" ht="15.75" thickBot="1">
      <c r="A37" s="3426"/>
      <c r="B37" s="1811" t="s">
        <v>1754</v>
      </c>
      <c r="C37" s="152"/>
      <c r="D37" s="1254"/>
      <c r="E37" s="1254"/>
      <c r="F37" s="1927"/>
      <c r="G37" s="134"/>
      <c r="H37" s="134"/>
      <c r="I37" s="134"/>
    </row>
    <row r="38" spans="1:15" ht="15.75" thickBot="1">
      <c r="A38" s="3427"/>
      <c r="B38" s="1928" t="s">
        <v>1755</v>
      </c>
      <c r="C38" s="683"/>
      <c r="D38" s="1929" t="s">
        <v>1756</v>
      </c>
      <c r="E38" s="1254"/>
      <c r="F38" s="1927"/>
      <c r="G38" s="134"/>
      <c r="H38" s="134"/>
      <c r="I38" s="134"/>
    </row>
    <row r="39" spans="1:15" ht="15">
      <c r="A39" s="1901" t="s">
        <v>1757</v>
      </c>
      <c r="B39" s="1930" t="s">
        <v>1758</v>
      </c>
      <c r="C39" s="1931" t="s">
        <v>1759</v>
      </c>
      <c r="D39" s="1931" t="s">
        <v>1760</v>
      </c>
      <c r="E39" s="1932" t="s">
        <v>1743</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445" t="s">
        <v>1766</v>
      </c>
      <c r="B45" s="3446"/>
      <c r="C45" s="3447"/>
      <c r="D45" s="160">
        <f ca="1">ROUND(H101*F45,0)</f>
        <v>562</v>
      </c>
      <c r="E45" s="161" t="s">
        <v>1767</v>
      </c>
      <c r="F45" s="162">
        <v>1</v>
      </c>
      <c r="G45" s="163" t="s">
        <v>1768</v>
      </c>
      <c r="H45" s="134"/>
      <c r="I45" s="134"/>
      <c r="J45" s="3362" t="s">
        <v>1769</v>
      </c>
      <c r="K45" s="3362"/>
      <c r="L45" s="3362"/>
      <c r="M45" s="3362"/>
      <c r="N45" s="3362"/>
      <c r="O45" s="3362"/>
    </row>
    <row r="46" spans="1:15" ht="14.25" customHeight="1">
      <c r="A46" s="3442" t="s">
        <v>1770</v>
      </c>
      <c r="B46" s="3443"/>
      <c r="C46" s="3443"/>
      <c r="D46" s="3443"/>
      <c r="E46" s="3443"/>
      <c r="F46" s="3443"/>
      <c r="G46" s="3444"/>
      <c r="H46" s="1943"/>
      <c r="I46" s="164"/>
      <c r="J46" s="3250">
        <v>1</v>
      </c>
      <c r="K46" s="3363" t="s">
        <v>1771</v>
      </c>
      <c r="L46" s="3363"/>
      <c r="M46" s="3364"/>
      <c r="N46" s="3364"/>
      <c r="O46" s="3364"/>
    </row>
    <row r="47" spans="1:15" ht="12" customHeight="1">
      <c r="A47" s="165" t="s">
        <v>1772</v>
      </c>
      <c r="B47" s="166"/>
      <c r="C47" s="167"/>
      <c r="D47" s="1200" t="s">
        <v>1773</v>
      </c>
      <c r="E47" s="308" t="s">
        <v>1774</v>
      </c>
      <c r="F47" s="168" t="s">
        <v>1775</v>
      </c>
      <c r="G47" s="2722" t="s">
        <v>1776</v>
      </c>
      <c r="H47" s="2723"/>
      <c r="I47" s="164"/>
      <c r="J47" s="3250">
        <v>2</v>
      </c>
      <c r="K47" s="3363" t="s">
        <v>1777</v>
      </c>
      <c r="L47" s="3363"/>
      <c r="M47" s="3365">
        <f>'数据-取费表'!B2</f>
        <v>44733</v>
      </c>
      <c r="N47" s="3365"/>
      <c r="O47" s="3365"/>
    </row>
    <row r="48" spans="1:15" ht="25.5">
      <c r="A48" s="3428" t="s">
        <v>1778</v>
      </c>
      <c r="B48" s="3429"/>
      <c r="C48" s="3429"/>
      <c r="D48" s="3252" t="b">
        <f>IF(H48="情况1",0,IF(H48="情况2",D52,IF(H48="情况3",D53,IF(H48="情况4",D54))))</f>
        <v>0</v>
      </c>
      <c r="E48" s="3241" t="str">
        <f>IF(H48="情况4","(销售额-原购置价)×税（费）率","销售额×税（费）率")</f>
        <v>销售额×税（费）率</v>
      </c>
      <c r="F48" s="2724">
        <f>IF(H48="情况1","免征",'数据-取费表'!B41)</f>
        <v>5.6000000000000001E-2</v>
      </c>
      <c r="G48" s="2725" t="s">
        <v>1779</v>
      </c>
      <c r="H48" s="2726"/>
      <c r="I48" s="1943"/>
      <c r="J48" s="3250">
        <v>3</v>
      </c>
      <c r="K48" s="3363" t="s">
        <v>1780</v>
      </c>
      <c r="L48" s="3363"/>
      <c r="M48" s="3366">
        <f ca="1">H101</f>
        <v>562</v>
      </c>
      <c r="N48" s="3366"/>
      <c r="O48" s="3366"/>
    </row>
    <row r="49" spans="1:35" ht="25.5" customHeight="1">
      <c r="A49" s="3245" t="s">
        <v>1781</v>
      </c>
      <c r="B49" s="3411" t="s">
        <v>1782</v>
      </c>
      <c r="C49" s="3411"/>
      <c r="D49" s="1726">
        <v>0</v>
      </c>
      <c r="E49" s="330" t="s">
        <v>1783</v>
      </c>
      <c r="F49" s="3233" t="s">
        <v>34</v>
      </c>
      <c r="G49" s="3394"/>
      <c r="H49" s="2479" t="s">
        <v>2630</v>
      </c>
      <c r="I49" s="2480"/>
      <c r="J49" s="3250">
        <v>4</v>
      </c>
      <c r="K49" s="3363" t="str">
        <f>IF(项目基本情况!E8="房地产抵押价值","房地产抵押价值","抵押担保权已注销时的房地产抵押价值")</f>
        <v>房地产抵押价值</v>
      </c>
      <c r="L49" s="3363"/>
      <c r="M49" s="3366">
        <f ca="1">IF(项目基本情况!E8="房地产抵押价值",H107,H109)</f>
        <v>562</v>
      </c>
      <c r="N49" s="3366"/>
      <c r="O49" s="3366"/>
    </row>
    <row r="50" spans="1:35" ht="25.5" customHeight="1">
      <c r="A50" s="2727"/>
      <c r="B50" s="3411" t="s">
        <v>1784</v>
      </c>
      <c r="C50" s="3411"/>
      <c r="D50" s="2728"/>
      <c r="E50" s="338"/>
      <c r="F50" s="3233"/>
      <c r="G50" s="3395"/>
      <c r="H50" s="2481" t="s">
        <v>2631</v>
      </c>
      <c r="I50" s="2480"/>
      <c r="J50" s="3362" t="s">
        <v>1785</v>
      </c>
      <c r="K50" s="3362"/>
      <c r="L50" s="3362"/>
      <c r="M50" s="3362"/>
      <c r="N50" s="3362"/>
      <c r="O50" s="3362"/>
    </row>
    <row r="51" spans="1:35" ht="20.45" customHeight="1">
      <c r="A51" s="2729"/>
      <c r="B51" s="3411" t="s">
        <v>1786</v>
      </c>
      <c r="C51" s="3411"/>
      <c r="D51" s="1200"/>
      <c r="E51" s="333"/>
      <c r="F51" s="3233"/>
      <c r="G51" s="3396"/>
      <c r="H51" s="2481" t="s">
        <v>2632</v>
      </c>
      <c r="I51" s="2480"/>
      <c r="J51" s="3249" t="s">
        <v>1787</v>
      </c>
      <c r="K51" s="3363" t="s">
        <v>1788</v>
      </c>
      <c r="L51" s="3363"/>
      <c r="M51" s="3249" t="s">
        <v>1789</v>
      </c>
      <c r="N51" s="3249" t="s">
        <v>1790</v>
      </c>
      <c r="O51" s="3249" t="s">
        <v>1791</v>
      </c>
    </row>
    <row r="52" spans="1:35" ht="24" customHeight="1">
      <c r="A52" s="3240" t="s">
        <v>1792</v>
      </c>
      <c r="B52" s="3411" t="s">
        <v>1793</v>
      </c>
      <c r="C52" s="3411"/>
      <c r="D52" s="1200">
        <f ca="1">ROUND(D45*'数据-取费表'!B41/(1+'数据-取费表'!C42),0)</f>
        <v>30</v>
      </c>
      <c r="E52" s="3241" t="s">
        <v>1794</v>
      </c>
      <c r="F52" s="2730">
        <f>'数据-取费表'!B41</f>
        <v>5.6000000000000001E-2</v>
      </c>
      <c r="G52" s="2731"/>
      <c r="H52" s="2720"/>
      <c r="I52" s="1944"/>
      <c r="J52" s="3250">
        <v>1</v>
      </c>
      <c r="K52" s="3388" t="s">
        <v>1795</v>
      </c>
      <c r="L52" s="3388"/>
      <c r="M52" s="2701" t="b">
        <f>D48</f>
        <v>0</v>
      </c>
      <c r="N52" s="3250" t="str">
        <f>E48</f>
        <v>销售额×税（费）率</v>
      </c>
      <c r="O52" s="2702">
        <f>F48</f>
        <v>5.6000000000000001E-2</v>
      </c>
    </row>
    <row r="53" spans="1:35" ht="12" customHeight="1">
      <c r="A53" s="3240" t="s">
        <v>1796</v>
      </c>
      <c r="B53" s="3412" t="s">
        <v>2787</v>
      </c>
      <c r="C53" s="3413"/>
      <c r="D53" s="1200">
        <f ca="1">ROUND(D45*'数据-取费表'!B41/(1+'数据-取费表'!C42),0)</f>
        <v>30</v>
      </c>
      <c r="E53" s="3241" t="s">
        <v>1794</v>
      </c>
      <c r="F53" s="2730">
        <f>'数据-取费表'!B41</f>
        <v>5.6000000000000001E-2</v>
      </c>
      <c r="G53" s="2731"/>
      <c r="H53" s="2720"/>
      <c r="I53" s="1944"/>
      <c r="J53" s="3250">
        <v>2</v>
      </c>
      <c r="K53" s="3388" t="s">
        <v>1797</v>
      </c>
      <c r="L53" s="3388"/>
      <c r="M53" s="2701">
        <f t="shared" ref="M53:O54" ca="1" si="0">D55</f>
        <v>0</v>
      </c>
      <c r="N53" s="3250" t="str">
        <f t="shared" si="0"/>
        <v>销售额×税（费）率</v>
      </c>
      <c r="O53" s="2702" t="str">
        <f t="shared" si="0"/>
        <v>免征</v>
      </c>
    </row>
    <row r="54" spans="1:35" ht="12" customHeight="1">
      <c r="A54" s="3240" t="s">
        <v>1798</v>
      </c>
      <c r="B54" s="3412" t="s">
        <v>2788</v>
      </c>
      <c r="C54" s="3413"/>
      <c r="D54" s="1200">
        <f ca="1">C68</f>
        <v>30</v>
      </c>
      <c r="E54" s="333" t="s">
        <v>1799</v>
      </c>
      <c r="F54" s="2730">
        <f>'数据-取费表'!B41</f>
        <v>5.6000000000000001E-2</v>
      </c>
      <c r="G54" s="2731"/>
      <c r="H54" s="2732"/>
      <c r="I54" s="1944"/>
      <c r="J54" s="3250">
        <v>3</v>
      </c>
      <c r="K54" s="3388" t="s">
        <v>1800</v>
      </c>
      <c r="L54" s="3388"/>
      <c r="M54" s="2701">
        <f t="shared" ca="1" si="0"/>
        <v>318</v>
      </c>
      <c r="N54" s="3250" t="str">
        <f t="shared" si="0"/>
        <v>增值额×税（费）率</v>
      </c>
      <c r="O54" s="2703" t="str">
        <f t="shared" si="0"/>
        <v>免征</v>
      </c>
    </row>
    <row r="55" spans="1:35" ht="24" customHeight="1">
      <c r="A55" s="3451" t="s">
        <v>1801</v>
      </c>
      <c r="B55" s="3429"/>
      <c r="C55" s="3429"/>
      <c r="D55" s="3252">
        <f ca="1">IF(H55="个人住宅",0,ROUND(D45*I55,0))</f>
        <v>0</v>
      </c>
      <c r="E55" s="3241" t="s">
        <v>1802</v>
      </c>
      <c r="F55" s="2730" t="str">
        <f>IF(H55="正常",I55,"免征")</f>
        <v>免征</v>
      </c>
      <c r="G55" s="2731"/>
      <c r="H55" s="2726"/>
      <c r="I55" s="170">
        <f>'数据-取费表'!B49</f>
        <v>5.0000000000000001E-4</v>
      </c>
      <c r="J55" s="3250">
        <f>IF(H59="非个人房产","",4)</f>
        <v>4</v>
      </c>
      <c r="K55" s="3388" t="str">
        <f>IF(H59="非个人房产","——","个人所得税")</f>
        <v>个人所得税</v>
      </c>
      <c r="L55" s="3388"/>
      <c r="M55" s="2704">
        <f ca="1">D59</f>
        <v>5</v>
      </c>
      <c r="N55" s="3251" t="str">
        <f>E59</f>
        <v>差额计税</v>
      </c>
      <c r="O55" s="2705">
        <f>F59</f>
        <v>0.01</v>
      </c>
    </row>
    <row r="56" spans="1:35" ht="24.75">
      <c r="A56" s="3451" t="s">
        <v>1803</v>
      </c>
      <c r="B56" s="3429"/>
      <c r="C56" s="3429"/>
      <c r="D56" s="3252">
        <f ca="1">IF(H56="个人住宅",D57,D58)</f>
        <v>318</v>
      </c>
      <c r="E56" s="3241" t="s">
        <v>1804</v>
      </c>
      <c r="F56" s="2730" t="str">
        <f>IF(H56="正常",F58,"免征")</f>
        <v>免征</v>
      </c>
      <c r="G56" s="2733" t="s">
        <v>1805</v>
      </c>
      <c r="H56" s="2734"/>
      <c r="I56" s="1945"/>
      <c r="J56" s="3250" t="str">
        <f>IF(项目基本情况!K6="上海银行",IF(J55="",4,J55+1),"")</f>
        <v/>
      </c>
      <c r="K56" s="3369" t="str">
        <f>IF(项目基本情况!K6="上海银行","其他处置费用","")</f>
        <v/>
      </c>
      <c r="L56" s="3370"/>
      <c r="M56" s="2701" t="str">
        <f>IF(项目基本情况!K6="上海银行",M69,"")</f>
        <v/>
      </c>
      <c r="N56" s="3369" t="str">
        <f>IF(项目基本情况!K6="上海银行","包含处置中涉及的律师、诉讼、拍卖、评估等费用","")</f>
        <v/>
      </c>
      <c r="O56" s="3372"/>
    </row>
    <row r="57" spans="1:35" ht="12.75">
      <c r="A57" s="3240" t="s">
        <v>1781</v>
      </c>
      <c r="B57" s="3412" t="s">
        <v>1806</v>
      </c>
      <c r="C57" s="3413"/>
      <c r="D57" s="1726">
        <v>0</v>
      </c>
      <c r="E57" s="330" t="s">
        <v>1783</v>
      </c>
      <c r="F57" s="308"/>
      <c r="G57" s="2731"/>
      <c r="H57" s="2735"/>
      <c r="I57" s="1945"/>
      <c r="J57" s="3388">
        <f>IF(AND(J55="",J56=""),4,IF(项目基本情况!K6="上海银行",结果表817!J56+1,结果表817!J55+1))</f>
        <v>5</v>
      </c>
      <c r="K57" s="3388" t="s">
        <v>1807</v>
      </c>
      <c r="L57" s="2706" t="s">
        <v>1808</v>
      </c>
      <c r="M57" s="2707"/>
      <c r="N57" s="2708">
        <f ca="1">SUMIF(M52:M56,"&lt;9e307")</f>
        <v>323</v>
      </c>
      <c r="O57" s="2709"/>
      <c r="P57" s="2869">
        <f ca="1">N57/M49</f>
        <v>0.57473309608540923</v>
      </c>
    </row>
    <row r="58" spans="1:35" ht="24.75">
      <c r="A58" s="3240" t="s">
        <v>1792</v>
      </c>
      <c r="B58" s="3412" t="s">
        <v>1809</v>
      </c>
      <c r="C58" s="3411"/>
      <c r="D58" s="3252">
        <f ca="1">IF(H58="转让取得",C81,C97)</f>
        <v>318</v>
      </c>
      <c r="E58" s="3241" t="s">
        <v>1804</v>
      </c>
      <c r="F58" s="308" t="s">
        <v>34</v>
      </c>
      <c r="G58" s="2731"/>
      <c r="H58" s="2734"/>
      <c r="I58" s="1945"/>
      <c r="J58" s="3388"/>
      <c r="K58" s="3388"/>
      <c r="L58" s="2706" t="s">
        <v>1810</v>
      </c>
      <c r="M58" s="2710"/>
      <c r="N58" s="2711" t="str">
        <f ca="1">NUMBERSTRING(INT(N57*10000),2)&amp;"元整"</f>
        <v>叁佰贰拾叁万元整</v>
      </c>
      <c r="O58" s="2712"/>
    </row>
    <row r="59" spans="1:35" ht="24.75" thickBot="1">
      <c r="A59" s="3392" t="s">
        <v>1811</v>
      </c>
      <c r="B59" s="3393"/>
      <c r="C59" s="3393"/>
      <c r="D59" s="2736">
        <f ca="1">IF(H59="非个人房产","——",IF(H59="个人住宅（满五唯一有凭证）",0,IF(H59="个人其他（无凭证）",ROUND(D45*F59,0),ROUND(C67*F59,0))))</f>
        <v>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390">
        <f>J57+1</f>
        <v>6</v>
      </c>
      <c r="K59" s="3388" t="s">
        <v>1812</v>
      </c>
      <c r="L59" s="3250" t="s">
        <v>1808</v>
      </c>
      <c r="M59" s="2713"/>
      <c r="N59" s="2714">
        <f ca="1">M49-N57</f>
        <v>239</v>
      </c>
      <c r="O59" s="2715"/>
    </row>
    <row r="60" spans="1:35" ht="12" customHeight="1">
      <c r="A60" s="1946"/>
      <c r="B60" s="1884"/>
      <c r="C60" s="1884"/>
      <c r="D60" s="1884"/>
      <c r="E60" s="1714"/>
      <c r="F60" s="1945"/>
      <c r="G60" s="1945"/>
      <c r="H60" s="1947"/>
      <c r="I60" s="134"/>
      <c r="J60" s="3391"/>
      <c r="K60" s="3388"/>
      <c r="L60" s="2706" t="s">
        <v>1810</v>
      </c>
      <c r="M60" s="2710"/>
      <c r="N60" s="2711" t="str">
        <f ca="1">NUMBERSTRING(INT(N59*10000),2)&amp;"元整"</f>
        <v>贰佰叁拾玖万元整</v>
      </c>
      <c r="O60" s="2712"/>
    </row>
    <row r="61" spans="1:35" ht="13.5" thickBot="1">
      <c r="A61" s="3450" t="s">
        <v>1813</v>
      </c>
      <c r="B61" s="3450"/>
      <c r="C61" s="3450"/>
      <c r="D61" s="3450"/>
      <c r="E61" s="3450"/>
      <c r="F61" s="1945"/>
      <c r="G61" s="1945"/>
      <c r="H61" s="1947"/>
      <c r="I61" s="134"/>
      <c r="J61" s="3250">
        <f>J59+1</f>
        <v>7</v>
      </c>
      <c r="K61" s="3388" t="s">
        <v>1814</v>
      </c>
      <c r="L61" s="3388"/>
      <c r="M61" s="2716"/>
      <c r="N61" s="2717">
        <f ca="1">ROUND(N59*10000/'数据-汇总表'!E3,0)</f>
        <v>6392</v>
      </c>
      <c r="O61" s="2718"/>
    </row>
    <row r="62" spans="1:35" ht="12.75">
      <c r="A62" s="3407" t="s">
        <v>1815</v>
      </c>
      <c r="B62" s="3408"/>
      <c r="C62" s="3244"/>
      <c r="D62" s="3244" t="s">
        <v>1816</v>
      </c>
      <c r="E62" s="171" t="s">
        <v>1817</v>
      </c>
      <c r="F62" s="1945"/>
      <c r="G62" s="1945"/>
      <c r="H62" s="1947"/>
      <c r="I62" s="134"/>
    </row>
    <row r="63" spans="1:35" ht="12.75">
      <c r="A63" s="178" t="s">
        <v>594</v>
      </c>
      <c r="B63" s="172" t="s">
        <v>1818</v>
      </c>
      <c r="C63" s="2740">
        <f ca="1">ROUND((C64+C65)/(1+'数据-取费表'!C42),0)</f>
        <v>535</v>
      </c>
      <c r="D63" s="172"/>
      <c r="E63" s="173"/>
      <c r="F63" s="1945"/>
      <c r="G63" s="1945"/>
      <c r="H63" s="1947"/>
      <c r="I63" s="134"/>
      <c r="J63" s="3371" t="s">
        <v>1819</v>
      </c>
      <c r="K63" s="3253" t="s">
        <v>1820</v>
      </c>
      <c r="L63" s="3253">
        <f ca="1">IF(M49&gt;10000,M49*0.5%,IF(AND(M49&gt;1000,M49&lt;=10000),M49*1%,IF(AND(M49&gt;100,M49&lt;=1000),M49*3%,IF(AND(M49&gt;10,M49&lt;=100),M49*5%,M49*8%))))</f>
        <v>16.86</v>
      </c>
      <c r="M63" s="308">
        <f ca="1">ROUND(L63,1)</f>
        <v>16.899999999999999</v>
      </c>
      <c r="N63" s="2719"/>
      <c r="Z63" s="1889"/>
      <c r="AI63" s="1890"/>
    </row>
    <row r="64" spans="1:35" ht="14.25" customHeight="1">
      <c r="A64" s="174" t="s">
        <v>589</v>
      </c>
      <c r="B64" s="175" t="s">
        <v>1821</v>
      </c>
      <c r="C64" s="2741">
        <f ca="1">D45</f>
        <v>562</v>
      </c>
      <c r="D64" s="175" t="s">
        <v>32</v>
      </c>
      <c r="E64" s="177"/>
      <c r="F64" s="1945"/>
      <c r="G64" s="1945"/>
      <c r="H64" s="1947"/>
      <c r="I64" s="134"/>
      <c r="J64" s="3371"/>
      <c r="K64" s="3253" t="s">
        <v>1822</v>
      </c>
      <c r="L64" s="3253">
        <f ca="1">IF(M49&gt;2000,M49*0.5%,IF(AND(M49&gt;1000,M49&lt;=2000),M49*0.6%,IF(AND(M49&gt;500,M49&lt;=1000),M49*0.7%,IF(AND(M49&gt;200,M49&lt;=500),M49*0.8%,IF(AND(M49&gt;100,M49&lt;=200),M49*0.9%,IF(AND(M49&gt;50,M49&lt;=100),M49*1%,IF(AND(M49&gt;20,M49&lt;=50),M49*1.5%,IF(AND(M49&gt;10,M49&lt;=20),M49*2%,IF(AND(M49&gt;1,M49&lt;=10),M49*2.5%)))))))))</f>
        <v>3.9339999999999997</v>
      </c>
      <c r="M64" s="308">
        <f t="shared" ref="M64:M65" ca="1" si="1">ROUND(L64,1)</f>
        <v>3.9</v>
      </c>
      <c r="N64" s="2720" t="s">
        <v>1823</v>
      </c>
      <c r="Z64" s="1889"/>
      <c r="AI64" s="1890"/>
    </row>
    <row r="65" spans="1:35" ht="14.25" customHeight="1">
      <c r="A65" s="174" t="s">
        <v>590</v>
      </c>
      <c r="B65" s="175" t="s">
        <v>1824</v>
      </c>
      <c r="C65" s="2742"/>
      <c r="D65" s="175"/>
      <c r="E65" s="177"/>
      <c r="F65" s="1945"/>
      <c r="G65" s="1945"/>
      <c r="H65" s="1947"/>
      <c r="I65" s="134"/>
      <c r="J65" s="3371"/>
      <c r="K65" s="3253" t="s">
        <v>1825</v>
      </c>
      <c r="L65" s="3253">
        <f ca="1">IF(M49&gt;1000,M49*0.1%,IF(AND(M49&gt;500,M49&lt;=1000),M49*0.5%,IF(AND(M49&gt;50,M49&lt;=500),M49*1%,IF(AND(M49&gt;1,M49&lt;=50),M49*1.5%))))</f>
        <v>2.81</v>
      </c>
      <c r="M65" s="308">
        <f t="shared" ca="1" si="1"/>
        <v>2.8</v>
      </c>
      <c r="N65" s="2720" t="s">
        <v>1823</v>
      </c>
      <c r="Z65" s="1889"/>
      <c r="AI65" s="1890"/>
    </row>
    <row r="66" spans="1:35" ht="14.25" customHeight="1">
      <c r="A66" s="178" t="s">
        <v>591</v>
      </c>
      <c r="B66" s="179" t="s">
        <v>1826</v>
      </c>
      <c r="C66" s="2743"/>
      <c r="D66" s="179" t="s">
        <v>32</v>
      </c>
      <c r="E66" s="1460" t="s">
        <v>1092</v>
      </c>
      <c r="F66" s="1945"/>
      <c r="G66" s="1945"/>
      <c r="H66" s="1947"/>
      <c r="I66" s="134"/>
      <c r="J66" s="3371"/>
      <c r="K66" s="3253" t="s">
        <v>1827</v>
      </c>
      <c r="L66" s="3253">
        <f ca="1">M49*0.5%</f>
        <v>2.81</v>
      </c>
      <c r="M66" s="308">
        <f ca="1">IF(L66&gt;0.5,0.5,ROUND(L66,0))</f>
        <v>0.5</v>
      </c>
      <c r="N66" s="2720" t="s">
        <v>1828</v>
      </c>
      <c r="Z66" s="1889"/>
      <c r="AI66" s="1890"/>
    </row>
    <row r="67" spans="1:35" ht="14.25" customHeight="1">
      <c r="A67" s="178" t="s">
        <v>592</v>
      </c>
      <c r="B67" s="179" t="s">
        <v>1829</v>
      </c>
      <c r="C67" s="2744">
        <f ca="1">C63-C66</f>
        <v>535</v>
      </c>
      <c r="D67" s="175" t="s">
        <v>32</v>
      </c>
      <c r="E67" s="177"/>
      <c r="F67" s="1945"/>
      <c r="G67" s="1945"/>
      <c r="H67" s="1947"/>
      <c r="I67" s="134"/>
      <c r="J67" s="3371"/>
      <c r="K67" s="3253" t="s">
        <v>1830</v>
      </c>
      <c r="L67" s="3253">
        <f ca="1">IF(M49&gt;=10000,(8.25+(M49-10000)*0.01%),IF(AND(M49&gt;=8000,M49&lt;10000),(7.85+(M49-8000)*0.02%),IF(AND(M49&gt;=5000,M49&lt;8000),(6.65+(M49-5000)*0.04%),IF(AND(M49&gt;=2000,M49&lt;5000),(4.25+(PM49-2000)*0.08%),IF(AND(M49&gt;=1000,M49&lt;2000),(2.75+(M49-1000)*0.15%),IF(AND(M49&gt;=100,M49&lt;1000),(0.5+(M49-100)*0.25%),IF(AND(M49&gt;0,M49&lt;100),M49*0.5%)))))))</f>
        <v>1.655</v>
      </c>
      <c r="M67" s="308">
        <f ca="1">ROUND(L67*0.9,1)</f>
        <v>1.5</v>
      </c>
      <c r="N67" s="2719"/>
      <c r="Z67" s="1889"/>
      <c r="AI67" s="1890"/>
    </row>
    <row r="68" spans="1:35" ht="14.25" customHeight="1" thickBot="1">
      <c r="A68" s="181" t="s">
        <v>593</v>
      </c>
      <c r="B68" s="182" t="s">
        <v>1831</v>
      </c>
      <c r="C68" s="2745">
        <f ca="1">IF(C67&lt;=0,0,ROUND(C67*D68,0))</f>
        <v>30</v>
      </c>
      <c r="D68" s="2746">
        <f>'数据-取费表'!B41</f>
        <v>5.6000000000000001E-2</v>
      </c>
      <c r="E68" s="184"/>
      <c r="F68" s="1945"/>
      <c r="G68" s="1945"/>
      <c r="H68" s="1947"/>
      <c r="I68" s="134"/>
      <c r="J68" s="3371"/>
      <c r="K68" s="3253" t="s">
        <v>1832</v>
      </c>
      <c r="L68" s="3253">
        <f ca="1">IF(M49&gt;10000,M49*0.5%,IF(AND(M49&gt;5000,M49&lt;=10000),M49*1%,IF(AND(M49&gt;1000,M49&lt;=5000),M49*2%,IF(AND(M49&gt;200,M49&lt;=1000),M49*3%,M49*5%))))</f>
        <v>16.86</v>
      </c>
      <c r="M68" s="308">
        <f ca="1">ROUND(L68,1)</f>
        <v>16.899999999999999</v>
      </c>
      <c r="N68" s="2719"/>
      <c r="Z68" s="1889"/>
      <c r="AI68" s="1890"/>
    </row>
    <row r="69" spans="1:35" s="1909" customFormat="1" ht="16.5" customHeight="1">
      <c r="A69" s="1948"/>
      <c r="B69" s="1949"/>
      <c r="C69" s="1950"/>
      <c r="D69" s="1951"/>
      <c r="E69" s="1952"/>
      <c r="F69" s="1714"/>
      <c r="G69" s="1714"/>
      <c r="H69" s="1713"/>
      <c r="I69" s="1884"/>
      <c r="J69" s="3371"/>
      <c r="K69" s="3253" t="s">
        <v>1833</v>
      </c>
      <c r="L69" s="3253"/>
      <c r="M69" s="308">
        <f ca="1">ROUND(SUM(M63:M68),0)</f>
        <v>43</v>
      </c>
      <c r="N69" s="2721">
        <f ca="1">M69/M49</f>
        <v>7.6512455516014238E-2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5" t="s">
        <v>1834</v>
      </c>
      <c r="B70" s="3416"/>
      <c r="C70" s="3416"/>
      <c r="D70" s="3416"/>
      <c r="E70" s="3416"/>
      <c r="F70" s="3416"/>
      <c r="G70" s="3416"/>
      <c r="H70" s="341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7" t="s">
        <v>1815</v>
      </c>
      <c r="B71" s="3408"/>
      <c r="C71" s="3244"/>
      <c r="D71" s="3244"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535</v>
      </c>
      <c r="D72" s="175" t="s">
        <v>32</v>
      </c>
      <c r="E72" s="3243"/>
      <c r="F72" s="3235"/>
      <c r="G72" s="3235"/>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3</v>
      </c>
      <c r="D73" s="175" t="s">
        <v>32</v>
      </c>
      <c r="E73" s="3243"/>
      <c r="F73" s="3235"/>
      <c r="G73" s="3235"/>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3243"/>
      <c r="F74" s="3235"/>
      <c r="G74" s="3235"/>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412" t="s">
        <v>1842</v>
      </c>
      <c r="F76" s="3411"/>
      <c r="G76" s="3411"/>
      <c r="H76" s="341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3252" t="s">
        <v>1844</v>
      </c>
      <c r="F77" s="192"/>
      <c r="G77" s="1959"/>
      <c r="H77" s="3247"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3</v>
      </c>
      <c r="D78" s="2753">
        <f>'数据-取费表'!B43</f>
        <v>6.000000000000001E-3</v>
      </c>
      <c r="E78" s="3404" t="s">
        <v>1846</v>
      </c>
      <c r="F78" s="3405"/>
      <c r="G78" s="3405"/>
      <c r="H78" s="340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532</v>
      </c>
      <c r="D79" s="175" t="s">
        <v>32</v>
      </c>
      <c r="E79" s="3243"/>
      <c r="F79" s="3235"/>
      <c r="G79" s="3235"/>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177.33333333333334</v>
      </c>
      <c r="D80" s="175" t="s">
        <v>32</v>
      </c>
      <c r="E80" s="3252" t="str">
        <f ca="1">IF(C80&gt;=200%,"增值额超过扣除项目金额200%",IF(C80&gt;=100%,"增值额超过扣除项目金额100%，未超过200%",IF(C80&gt;=50%,"增值额超过扣除项目金额50%，未超过100%",IF(C80&lt;50%,"增值额未超过扣除项目金额50%"))))</f>
        <v>增值额超过扣除项目金额200%</v>
      </c>
      <c r="F80" s="3235"/>
      <c r="G80" s="3235"/>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318</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5" t="s">
        <v>1850</v>
      </c>
      <c r="B83" s="3416"/>
      <c r="C83" s="3416"/>
      <c r="D83" s="3416"/>
      <c r="E83" s="3416"/>
      <c r="F83" s="3416"/>
      <c r="G83" s="3416"/>
      <c r="H83" s="341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7" t="s">
        <v>1815</v>
      </c>
      <c r="B84" s="3408"/>
      <c r="C84" s="3244"/>
      <c r="D84" s="3244"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535</v>
      </c>
      <c r="D85" s="175" t="s">
        <v>32</v>
      </c>
      <c r="E85" s="3243"/>
      <c r="F85" s="3235"/>
      <c r="G85" s="3235"/>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3</v>
      </c>
      <c r="D86" s="2757"/>
      <c r="E86" s="3243"/>
      <c r="F86" s="3235"/>
      <c r="G86" s="3235"/>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3237"/>
      <c r="F87" s="3238"/>
      <c r="G87" s="3238"/>
      <c r="H87" s="324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3238"/>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3238"/>
      <c r="G89" s="3238"/>
      <c r="H89" s="324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3238"/>
      <c r="G90" s="3373" t="s">
        <v>2625</v>
      </c>
      <c r="H90" s="3374"/>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404" t="s">
        <v>1859</v>
      </c>
      <c r="F91" s="3405"/>
      <c r="G91" s="340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404" t="s">
        <v>1862</v>
      </c>
      <c r="F92" s="3405"/>
      <c r="G92" s="3405"/>
      <c r="H92" s="3406"/>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3</v>
      </c>
      <c r="D93" s="2753">
        <f>'数据-取费表'!B43</f>
        <v>6.000000000000001E-3</v>
      </c>
      <c r="E93" s="3404" t="s">
        <v>1846</v>
      </c>
      <c r="F93" s="3405"/>
      <c r="G93" s="3405"/>
      <c r="H93" s="340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452" t="s">
        <v>1866</v>
      </c>
      <c r="F94" s="3453"/>
      <c r="G94" s="3453"/>
      <c r="H94" s="34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532</v>
      </c>
      <c r="D95" s="175" t="s">
        <v>32</v>
      </c>
      <c r="E95" s="3243"/>
      <c r="F95" s="3235"/>
      <c r="G95" s="3235"/>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177.33333333333334</v>
      </c>
      <c r="D96" s="175" t="s">
        <v>32</v>
      </c>
      <c r="E96" s="3252" t="str">
        <f ca="1">IF(C96&gt;=200%,"增值额超过扣除项目金额200%",IF(C96&gt;=100%,"增值额超过扣除项目金额100%，未超过200%",IF(C96&gt;=50%,"增值额超过扣除项目金额50%，未超过100%",IF(C96&lt;50%,"增值额未超过扣除项目金额50%"))))</f>
        <v>增值额超过扣除项目金额200%</v>
      </c>
      <c r="F96" s="3235"/>
      <c r="G96" s="3235"/>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318</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89"/>
      <c r="E100" s="3355" t="s">
        <v>1869</v>
      </c>
      <c r="F100" s="3355"/>
      <c r="G100" s="3355"/>
      <c r="H100" s="3389"/>
      <c r="I100" s="134"/>
    </row>
    <row r="101" spans="1:35" ht="18.75" customHeight="1">
      <c r="A101" s="3397" t="s">
        <v>1870</v>
      </c>
      <c r="B101" s="3398"/>
      <c r="C101" s="2761" t="str">
        <f>C4</f>
        <v>比较法-办公817</v>
      </c>
      <c r="D101" s="2762" t="str">
        <f>D4</f>
        <v>收益法 (元)817</v>
      </c>
      <c r="E101" s="3367" t="s">
        <v>1871</v>
      </c>
      <c r="F101" s="3368"/>
      <c r="G101" s="1964" t="s">
        <v>1872</v>
      </c>
      <c r="H101" s="2771">
        <f ca="1">H118</f>
        <v>562</v>
      </c>
      <c r="I101" s="134"/>
    </row>
    <row r="102" spans="1:35" ht="18.75" customHeight="1">
      <c r="A102" s="3399" t="s">
        <v>1873</v>
      </c>
      <c r="B102" s="2760" t="s">
        <v>1872</v>
      </c>
      <c r="C102" s="2761">
        <f ca="1">C19</f>
        <v>554</v>
      </c>
      <c r="D102" s="2762">
        <f ca="1">D19</f>
        <v>570</v>
      </c>
      <c r="E102" s="3367"/>
      <c r="F102" s="3368"/>
      <c r="G102" s="1964" t="s">
        <v>1874</v>
      </c>
      <c r="H102" s="2731">
        <f ca="1">I118</f>
        <v>38048</v>
      </c>
      <c r="I102" s="134"/>
    </row>
    <row r="103" spans="1:35" ht="42.75" customHeight="1">
      <c r="A103" s="3399"/>
      <c r="B103" s="2760" t="s">
        <v>1874</v>
      </c>
      <c r="C103" s="2763">
        <f ca="1">C20</f>
        <v>37517</v>
      </c>
      <c r="D103" s="2764">
        <f ca="1">D20</f>
        <v>38579</v>
      </c>
      <c r="E103" s="3360" t="s">
        <v>1875</v>
      </c>
      <c r="F103" s="3361"/>
      <c r="G103" s="1965" t="s">
        <v>1876</v>
      </c>
      <c r="H103" s="2771">
        <f>IF(D36="正常操作",H104+H105+H106,H105+H106)</f>
        <v>0</v>
      </c>
      <c r="I103" s="134"/>
    </row>
    <row r="104" spans="1:35" ht="18.75" customHeight="1">
      <c r="A104" s="3399" t="s">
        <v>1877</v>
      </c>
      <c r="B104" s="2765" t="s">
        <v>1872</v>
      </c>
      <c r="C104" s="2766">
        <f ca="1">H118</f>
        <v>562</v>
      </c>
      <c r="D104" s="2767"/>
      <c r="E104" s="1811" t="s">
        <v>1878</v>
      </c>
      <c r="F104" s="1802"/>
      <c r="G104" s="1965" t="s">
        <v>1876</v>
      </c>
      <c r="H104" s="2772">
        <f>IF(D36="同一抵押权人同一抵押物续贷",C36&amp;"（续贷，未扣减，详见特别提示）",C36)</f>
        <v>0</v>
      </c>
      <c r="I104" s="134"/>
    </row>
    <row r="105" spans="1:35" ht="18.75" customHeight="1" thickBot="1">
      <c r="A105" s="3409"/>
      <c r="B105" s="2768" t="s">
        <v>1874</v>
      </c>
      <c r="C105" s="2769">
        <f ca="1">I118</f>
        <v>38048</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0" t="str">
        <f>IF(项目基本情况!E8="已注销","——","3.房地产抵押价值")</f>
        <v>3.房地产抵押价值</v>
      </c>
      <c r="F107" s="3368"/>
      <c r="G107" s="1964" t="s">
        <v>1872</v>
      </c>
      <c r="H107" s="2771">
        <f ca="1">IF(E107="——","——",H101-H103)</f>
        <v>562</v>
      </c>
      <c r="I107" s="134"/>
    </row>
    <row r="108" spans="1:35" ht="18.75" customHeight="1">
      <c r="A108" s="134"/>
      <c r="B108" s="134"/>
      <c r="C108" s="134"/>
      <c r="D108" s="134"/>
      <c r="E108" s="3400"/>
      <c r="F108" s="3368"/>
      <c r="G108" s="1964" t="s">
        <v>1874</v>
      </c>
      <c r="H108" s="2731">
        <f ca="1">ROUND(H107*10000/'数据-汇总表'!E3,0)</f>
        <v>15032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4" t="s">
        <v>1872</v>
      </c>
      <c r="H109" s="2774" t="str">
        <f>IF(E109="——","——",H101-H105-H106)</f>
        <v>——</v>
      </c>
      <c r="I109" s="134"/>
    </row>
    <row r="110" spans="1:35" ht="18.75" customHeight="1">
      <c r="A110" s="134"/>
      <c r="B110" s="134"/>
      <c r="C110" s="134"/>
      <c r="D110" s="134"/>
      <c r="E110" s="3400"/>
      <c r="F110" s="3368"/>
      <c r="G110" s="1964" t="s">
        <v>1874</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4" t="s">
        <v>1872</v>
      </c>
      <c r="H111" s="2771" t="str">
        <f>IF(E111="——","——",N59)</f>
        <v>——</v>
      </c>
      <c r="I111" s="134"/>
    </row>
    <row r="112" spans="1:35" ht="18.75" customHeight="1" thickBot="1">
      <c r="A112" s="134"/>
      <c r="B112" s="134"/>
      <c r="C112" s="134"/>
      <c r="D112" s="134"/>
      <c r="E112" s="3402"/>
      <c r="F112" s="3403"/>
      <c r="G112" s="1967" t="s">
        <v>1874</v>
      </c>
      <c r="H112" s="2775" t="str">
        <f>IF(E111="——","——",N61)</f>
        <v>——</v>
      </c>
      <c r="I112" s="134"/>
    </row>
    <row r="113" spans="1:27" ht="18.75" customHeight="1">
      <c r="A113" s="134"/>
      <c r="B113" s="134"/>
      <c r="C113" s="134"/>
      <c r="D113" s="134"/>
      <c r="E113" s="3410" t="s">
        <v>1880</v>
      </c>
      <c r="F113" s="3410"/>
      <c r="G113" s="3410"/>
      <c r="H113" s="3410"/>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5" t="s">
        <v>1883</v>
      </c>
      <c r="B116" s="3379" t="s">
        <v>1884</v>
      </c>
      <c r="C116" s="3379" t="s">
        <v>1885</v>
      </c>
      <c r="D116" s="3385" t="s">
        <v>1886</v>
      </c>
      <c r="E116" s="3386"/>
      <c r="F116" s="3417" t="s">
        <v>1887</v>
      </c>
      <c r="G116" s="3417"/>
      <c r="H116" s="3375" t="s">
        <v>1888</v>
      </c>
      <c r="I116" s="3375"/>
    </row>
    <row r="117" spans="1:27" ht="18.75" customHeight="1">
      <c r="A117" s="3375"/>
      <c r="B117" s="3380"/>
      <c r="C117" s="3380"/>
      <c r="D117" s="3239" t="s">
        <v>1889</v>
      </c>
      <c r="E117" s="3239" t="s">
        <v>1890</v>
      </c>
      <c r="F117" s="3239" t="s">
        <v>1889</v>
      </c>
      <c r="G117" s="3239" t="s">
        <v>1891</v>
      </c>
      <c r="H117" s="3239" t="s">
        <v>1889</v>
      </c>
      <c r="I117" s="3239" t="s">
        <v>1891</v>
      </c>
    </row>
    <row r="118" spans="1:27" ht="24.75" customHeight="1">
      <c r="A118" s="2776" t="str">
        <f>项目基本情况!S2</f>
        <v>北京市房地产</v>
      </c>
      <c r="B118" s="3239">
        <f>M18</f>
        <v>147.72</v>
      </c>
      <c r="C118" s="3239">
        <f>M19</f>
        <v>0</v>
      </c>
      <c r="D118" s="3239" t="e">
        <f ca="1">ROUND(IF(D32="总价",C34,E118*B118/10000),0)</f>
        <v>#REF!</v>
      </c>
      <c r="E118" s="3239" t="e">
        <f ca="1">ROUND(IF(C33="自定义",IF(D32="楼面单价",C34,D118*10000/B118),I118-G118),0)</f>
        <v>#REF!</v>
      </c>
      <c r="F118" s="3239" t="e">
        <f ca="1">ROUND(IF(D32="总价",C35,G118*B118/10000),0)</f>
        <v>#REF!</v>
      </c>
      <c r="G118" s="3239" t="e">
        <f ca="1">ROUND(IF(D32="楼面单价",C35,F118*10000/B118),0)</f>
        <v>#REF!</v>
      </c>
      <c r="H118" s="3239">
        <f ca="1">ROUND(IF(D32="总价",C32,I118*B118/10000),0)</f>
        <v>562</v>
      </c>
      <c r="I118" s="3239">
        <f ca="1">ROUND(IF(D32="楼面单价",C32,H118*10000/B118),0)</f>
        <v>38048</v>
      </c>
    </row>
    <row r="119" spans="1:27" ht="18.75" customHeight="1">
      <c r="A119" s="3375" t="s">
        <v>1892</v>
      </c>
      <c r="B119" s="3375"/>
      <c r="C119" s="3375"/>
      <c r="D119" s="3381" t="e">
        <f ca="1">NUMBERSTRING(INT(D118*10000),2)&amp;"元整"</f>
        <v>#REF!</v>
      </c>
      <c r="E119" s="3382"/>
      <c r="F119" s="3381" t="e">
        <f ca="1">NUMBERSTRING(INT(F118*10000),2)&amp;"元整"</f>
        <v>#REF!</v>
      </c>
      <c r="G119" s="3382"/>
      <c r="H119" s="3381" t="str">
        <f ca="1">NUMBERSTRING(INT(H118*10000),2)&amp;"元整"</f>
        <v>伍佰陆拾贰万元整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381" t="str">
        <f>IF(D120=0,"零元整",NUMBERSTRING(INT(D120*10000),2)&amp;"元整")</f>
        <v>零元整</v>
      </c>
      <c r="E121" s="3383"/>
      <c r="F121" s="3383"/>
      <c r="G121" s="3383"/>
      <c r="H121" s="3383"/>
      <c r="I121" s="3382"/>
      <c r="AA121" s="734"/>
    </row>
    <row r="122" spans="1:27" ht="18.75" customHeight="1">
      <c r="A122" s="3387" t="str">
        <f>IF(项目基本情况!B9="房地产市场价值","",MID(E107,3,LEN(E107)-2))</f>
        <v>房地产抵押价值</v>
      </c>
      <c r="B122" s="3387"/>
      <c r="C122" s="3387"/>
      <c r="D122" s="3376">
        <f ca="1">H107</f>
        <v>562</v>
      </c>
      <c r="E122" s="3377"/>
      <c r="F122" s="3377"/>
      <c r="G122" s="3377"/>
      <c r="H122" s="3377"/>
      <c r="I122" s="3378"/>
      <c r="AA122" s="734"/>
    </row>
    <row r="123" spans="1:27" ht="18.75" customHeight="1">
      <c r="A123" s="3375" t="s">
        <v>1892</v>
      </c>
      <c r="B123" s="3375"/>
      <c r="C123" s="3375"/>
      <c r="D123" s="3381" t="str">
        <f ca="1">NUMBERSTRING(INT(D122*10000),2)&amp;"元整"</f>
        <v>伍佰陆拾贰万元整</v>
      </c>
      <c r="E123" s="3383"/>
      <c r="F123" s="3383"/>
      <c r="G123" s="3383"/>
      <c r="H123" s="3383"/>
      <c r="I123" s="3382"/>
      <c r="AA123" s="734"/>
    </row>
    <row r="124" spans="1:27" ht="18.75" customHeight="1">
      <c r="A124" s="3387" t="str">
        <f>IF(项目基本情况!B9="房地产市场价值","",MID(E109,3,LEN(E109)-2))</f>
        <v/>
      </c>
      <c r="B124" s="3387"/>
      <c r="C124" s="3387"/>
      <c r="D124" s="3376" t="str">
        <f>H109</f>
        <v>——</v>
      </c>
      <c r="E124" s="3377"/>
      <c r="F124" s="3377"/>
      <c r="G124" s="3377"/>
      <c r="H124" s="3377"/>
      <c r="I124" s="3378"/>
      <c r="AA124" s="734"/>
    </row>
    <row r="125" spans="1:27" ht="18.75" customHeight="1">
      <c r="A125" s="3375" t="s">
        <v>1892</v>
      </c>
      <c r="B125" s="3375"/>
      <c r="C125" s="3375"/>
      <c r="D125" s="3381" t="e">
        <f>NUMBERSTRING(INT(D124*10000),2)&amp;"元整"</f>
        <v>#VALUE!</v>
      </c>
      <c r="E125" s="3383"/>
      <c r="F125" s="3383"/>
      <c r="G125" s="3383"/>
      <c r="H125" s="3383"/>
      <c r="I125" s="3382"/>
      <c r="AA125" s="734"/>
    </row>
    <row r="126" spans="1:27" ht="18.75" customHeight="1">
      <c r="A126" s="3387" t="str">
        <f>IF(项目基本情况!B9="房地产市场价值","",MID(E111,3,LEN(E111)-2))</f>
        <v/>
      </c>
      <c r="B126" s="3387"/>
      <c r="C126" s="3387"/>
      <c r="D126" s="3376" t="str">
        <f>H111</f>
        <v>——</v>
      </c>
      <c r="E126" s="3377"/>
      <c r="F126" s="3377"/>
      <c r="G126" s="3377"/>
      <c r="H126" s="3377"/>
      <c r="I126" s="3378"/>
      <c r="AA126" s="734"/>
    </row>
    <row r="127" spans="1:27" ht="18.75" customHeight="1">
      <c r="A127" s="3375" t="s">
        <v>1892</v>
      </c>
      <c r="B127" s="3375"/>
      <c r="C127" s="3375"/>
      <c r="D127" s="3381" t="e">
        <f>NUMBERSTRING(INT(D126*10000),2)&amp;"元整"</f>
        <v>#VALUE!</v>
      </c>
      <c r="E127" s="3383"/>
      <c r="F127" s="3383"/>
      <c r="G127" s="3383"/>
      <c r="H127" s="3383"/>
      <c r="I127" s="3382"/>
      <c r="AA127" s="734"/>
    </row>
    <row r="128" spans="1:27" ht="21.75" customHeight="1">
      <c r="A128" s="3384" t="s">
        <v>1893</v>
      </c>
      <c r="B128" s="3384"/>
      <c r="C128" s="3384"/>
      <c r="D128" s="3384"/>
      <c r="E128" s="3384"/>
      <c r="F128" s="3384"/>
      <c r="G128" s="3384"/>
      <c r="H128" s="3384"/>
      <c r="I128" s="338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53" sqref="M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817</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554</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37517</v>
      </c>
      <c r="C3" s="360" t="s">
        <v>2219</v>
      </c>
      <c r="D3" s="359">
        <f>IF(D1="",'数据-汇总表'!E3,SUMIF('数据-汇总表'!$C19:$C33,D1,'数据-汇总表'!$E19:$E33))</f>
        <v>147.72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2110</v>
      </c>
      <c r="B4" s="362"/>
      <c r="C4" s="3487" t="s">
        <v>2221</v>
      </c>
      <c r="D4" s="3488"/>
      <c r="E4" s="3489" t="s">
        <v>2222</v>
      </c>
      <c r="F4" s="3490"/>
      <c r="G4" s="3487" t="s">
        <v>2223</v>
      </c>
      <c r="H4" s="3488"/>
      <c r="I4" s="3487" t="s">
        <v>2224</v>
      </c>
      <c r="J4" s="3488"/>
      <c r="K4" s="567" t="s">
        <v>2225</v>
      </c>
      <c r="L4" s="2894"/>
      <c r="M4" s="2895"/>
      <c r="N4" s="2895"/>
      <c r="O4" s="2895"/>
      <c r="P4" s="3491" t="s">
        <v>2226</v>
      </c>
      <c r="Q4" s="3492"/>
      <c r="R4" s="3470" t="s">
        <v>2222</v>
      </c>
      <c r="S4" s="3471"/>
      <c r="T4" s="3470" t="s">
        <v>2223</v>
      </c>
      <c r="U4" s="3471"/>
      <c r="V4" s="3499" t="s">
        <v>2224</v>
      </c>
      <c r="W4" s="3499"/>
      <c r="X4" s="3260"/>
      <c r="Y4" s="3470" t="s">
        <v>2226</v>
      </c>
      <c r="Z4" s="3471"/>
      <c r="AA4" s="3465" t="s">
        <v>2222</v>
      </c>
      <c r="AB4" s="3465" t="s">
        <v>2223</v>
      </c>
      <c r="AC4" s="3484" t="s">
        <v>2224</v>
      </c>
    </row>
    <row r="5" spans="1:29" ht="15">
      <c r="A5" s="364"/>
      <c r="B5" s="365"/>
      <c r="C5" s="3476" t="s">
        <v>3194</v>
      </c>
      <c r="D5" s="3477"/>
      <c r="E5" s="3474" t="s">
        <v>2118</v>
      </c>
      <c r="F5" s="3475"/>
      <c r="G5" s="3480" t="s">
        <v>2119</v>
      </c>
      <c r="H5" s="3477"/>
      <c r="I5" s="3480" t="s">
        <v>2120</v>
      </c>
      <c r="J5" s="3477"/>
      <c r="K5" s="567"/>
      <c r="L5" s="2894"/>
      <c r="M5" s="2895"/>
      <c r="N5" s="2895"/>
      <c r="O5" s="2895"/>
      <c r="P5" s="3493"/>
      <c r="Q5" s="3494"/>
      <c r="R5" s="3472"/>
      <c r="S5" s="3473"/>
      <c r="T5" s="3472"/>
      <c r="U5" s="3473"/>
      <c r="V5" s="3500"/>
      <c r="W5" s="3500"/>
      <c r="X5" s="3258"/>
      <c r="Y5" s="3472"/>
      <c r="Z5" s="3473"/>
      <c r="AA5" s="3466"/>
      <c r="AB5" s="3466"/>
      <c r="AC5" s="3485"/>
    </row>
    <row r="6" spans="1:29" ht="15.75" thickBot="1">
      <c r="A6" s="366"/>
      <c r="B6" s="367"/>
      <c r="C6" s="3478" t="s">
        <v>2121</v>
      </c>
      <c r="D6" s="3479"/>
      <c r="E6" s="3481" t="s">
        <v>2121</v>
      </c>
      <c r="F6" s="3482"/>
      <c r="G6" s="3478" t="s">
        <v>2121</v>
      </c>
      <c r="H6" s="3479"/>
      <c r="I6" s="3478" t="s">
        <v>2121</v>
      </c>
      <c r="J6" s="3479"/>
      <c r="K6" s="567" t="s">
        <v>2122</v>
      </c>
      <c r="L6" s="2894"/>
      <c r="M6" s="2895"/>
      <c r="N6" s="2895"/>
      <c r="O6" s="2895"/>
      <c r="P6" s="3495"/>
      <c r="Q6" s="3496"/>
      <c r="R6" s="3472"/>
      <c r="S6" s="3473"/>
      <c r="T6" s="3497"/>
      <c r="U6" s="3498"/>
      <c r="V6" s="3500"/>
      <c r="W6" s="3500"/>
      <c r="X6" s="3258"/>
      <c r="Y6" s="3497"/>
      <c r="Z6" s="3498"/>
      <c r="AA6" s="3467"/>
      <c r="AB6" s="3467"/>
      <c r="AC6" s="3486"/>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501" t="s">
        <v>2124</v>
      </c>
      <c r="Q7" s="3502"/>
      <c r="R7" s="710" t="s">
        <v>17</v>
      </c>
      <c r="S7" s="711">
        <f t="shared" ref="S7:S15" si="0">F7</f>
        <v>100</v>
      </c>
      <c r="T7" s="710" t="s">
        <v>17</v>
      </c>
      <c r="U7" s="711">
        <f t="shared" ref="U7:U15" si="1">H7</f>
        <v>100</v>
      </c>
      <c r="V7" s="710" t="s">
        <v>17</v>
      </c>
      <c r="W7" s="711">
        <f t="shared" ref="W7:W15" si="2">J7</f>
        <v>100</v>
      </c>
      <c r="X7" s="712"/>
      <c r="Y7" s="3468" t="s">
        <v>2124</v>
      </c>
      <c r="Z7" s="3469"/>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501" t="s">
        <v>2127</v>
      </c>
      <c r="Q8" s="3469"/>
      <c r="R8" s="710" t="s">
        <v>17</v>
      </c>
      <c r="S8" s="711">
        <f t="shared" si="0"/>
        <v>100</v>
      </c>
      <c r="T8" s="710" t="s">
        <v>17</v>
      </c>
      <c r="U8" s="711">
        <f t="shared" si="1"/>
        <v>100</v>
      </c>
      <c r="V8" s="710" t="s">
        <v>17</v>
      </c>
      <c r="W8" s="711">
        <f t="shared" si="2"/>
        <v>100</v>
      </c>
      <c r="X8" s="712"/>
      <c r="Y8" s="3468" t="s">
        <v>2127</v>
      </c>
      <c r="Z8" s="3469"/>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83" t="s">
        <v>2130</v>
      </c>
      <c r="Q9" s="3236" t="str">
        <f t="shared" ref="Q9:Q15" si="6">B9</f>
        <v>用途</v>
      </c>
      <c r="R9" s="710" t="s">
        <v>17</v>
      </c>
      <c r="S9" s="711">
        <f t="shared" si="0"/>
        <v>100</v>
      </c>
      <c r="T9" s="710" t="s">
        <v>17</v>
      </c>
      <c r="U9" s="711">
        <f t="shared" si="1"/>
        <v>100</v>
      </c>
      <c r="V9" s="710" t="s">
        <v>17</v>
      </c>
      <c r="W9" s="711">
        <f t="shared" si="2"/>
        <v>100</v>
      </c>
      <c r="X9" s="712"/>
      <c r="Y9" s="3433" t="s">
        <v>2131</v>
      </c>
      <c r="Z9" s="3234"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83"/>
      <c r="Q10" s="3236" t="str">
        <f t="shared" si="6"/>
        <v>土地使用年限（年）</v>
      </c>
      <c r="R10" s="710" t="s">
        <v>17</v>
      </c>
      <c r="S10" s="711">
        <f t="shared" si="0"/>
        <v>100</v>
      </c>
      <c r="T10" s="710" t="s">
        <v>17</v>
      </c>
      <c r="U10" s="711">
        <f t="shared" si="1"/>
        <v>100</v>
      </c>
      <c r="V10" s="710" t="s">
        <v>17</v>
      </c>
      <c r="W10" s="711">
        <f t="shared" si="2"/>
        <v>100</v>
      </c>
      <c r="X10" s="712"/>
      <c r="Y10" s="3433"/>
      <c r="Z10" s="3234" t="str">
        <f t="shared" si="7"/>
        <v>土地使用年限（年）</v>
      </c>
      <c r="AA10" s="713">
        <f t="shared" si="3"/>
        <v>1</v>
      </c>
      <c r="AB10" s="713">
        <f t="shared" si="4"/>
        <v>1</v>
      </c>
      <c r="AC10" s="2096">
        <f t="shared" si="5"/>
        <v>1</v>
      </c>
    </row>
    <row r="11" spans="1:29" ht="15.75" hidden="1" thickBot="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83"/>
      <c r="Q11" s="3236" t="str">
        <f t="shared" si="6"/>
        <v>容积率</v>
      </c>
      <c r="R11" s="710" t="s">
        <v>17</v>
      </c>
      <c r="S11" s="711">
        <f t="shared" si="0"/>
        <v>100</v>
      </c>
      <c r="T11" s="710" t="s">
        <v>17</v>
      </c>
      <c r="U11" s="711">
        <f t="shared" si="1"/>
        <v>100</v>
      </c>
      <c r="V11" s="710" t="s">
        <v>17</v>
      </c>
      <c r="W11" s="711">
        <f t="shared" si="2"/>
        <v>100</v>
      </c>
      <c r="X11" s="712"/>
      <c r="Y11" s="3433"/>
      <c r="Z11" s="3234" t="str">
        <f t="shared" si="7"/>
        <v>容积率</v>
      </c>
      <c r="AA11" s="713">
        <f t="shared" si="3"/>
        <v>1</v>
      </c>
      <c r="AB11" s="713">
        <f t="shared" si="4"/>
        <v>1</v>
      </c>
      <c r="AC11" s="2096">
        <f t="shared" si="5"/>
        <v>1</v>
      </c>
    </row>
    <row r="12" spans="1:29" s="113" customFormat="1" ht="15.75" hidden="1" thickBot="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3"/>
      <c r="Q12" s="3236">
        <f t="shared" si="6"/>
        <v>111</v>
      </c>
      <c r="R12" s="710" t="s">
        <v>17</v>
      </c>
      <c r="S12" s="711">
        <f t="shared" si="0"/>
        <v>100</v>
      </c>
      <c r="T12" s="710" t="s">
        <v>17</v>
      </c>
      <c r="U12" s="711">
        <f t="shared" si="1"/>
        <v>100</v>
      </c>
      <c r="V12" s="710" t="s">
        <v>17</v>
      </c>
      <c r="W12" s="711">
        <f t="shared" si="2"/>
        <v>100</v>
      </c>
      <c r="X12" s="712"/>
      <c r="Y12" s="3433"/>
      <c r="Z12" s="3234">
        <f t="shared" si="7"/>
        <v>111</v>
      </c>
      <c r="AA12" s="713">
        <f>D12/F12</f>
        <v>1</v>
      </c>
      <c r="AB12" s="713">
        <f>D12/H12</f>
        <v>1</v>
      </c>
      <c r="AC12" s="2096">
        <f>D12/J12</f>
        <v>1</v>
      </c>
    </row>
    <row r="13" spans="1:29" ht="15.75" hidden="1" thickBot="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3"/>
      <c r="Q13" s="3236">
        <f t="shared" si="6"/>
        <v>111</v>
      </c>
      <c r="R13" s="710" t="s">
        <v>17</v>
      </c>
      <c r="S13" s="711">
        <f t="shared" si="0"/>
        <v>100</v>
      </c>
      <c r="T13" s="710" t="s">
        <v>17</v>
      </c>
      <c r="U13" s="711">
        <f t="shared" si="1"/>
        <v>100</v>
      </c>
      <c r="V13" s="710" t="s">
        <v>17</v>
      </c>
      <c r="W13" s="711">
        <f t="shared" si="2"/>
        <v>100</v>
      </c>
      <c r="X13" s="712"/>
      <c r="Y13" s="3433"/>
      <c r="Z13" s="3234">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3"/>
      <c r="Q14" s="3236">
        <f t="shared" si="6"/>
        <v>111</v>
      </c>
      <c r="R14" s="710" t="s">
        <v>17</v>
      </c>
      <c r="S14" s="711">
        <f t="shared" si="0"/>
        <v>100</v>
      </c>
      <c r="T14" s="710" t="s">
        <v>17</v>
      </c>
      <c r="U14" s="711">
        <f t="shared" si="1"/>
        <v>100</v>
      </c>
      <c r="V14" s="710" t="s">
        <v>17</v>
      </c>
      <c r="W14" s="711">
        <f t="shared" si="2"/>
        <v>100</v>
      </c>
      <c r="X14" s="712"/>
      <c r="Y14" s="3433"/>
      <c r="Z14" s="3234">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503" t="s">
        <v>2135</v>
      </c>
      <c r="Q15" s="3256" t="str">
        <f t="shared" si="6"/>
        <v>办公集聚程度</v>
      </c>
      <c r="R15" s="714" t="s">
        <v>17</v>
      </c>
      <c r="S15" s="715">
        <f t="shared" si="0"/>
        <v>100</v>
      </c>
      <c r="T15" s="714" t="s">
        <v>17</v>
      </c>
      <c r="U15" s="715">
        <f t="shared" si="1"/>
        <v>100</v>
      </c>
      <c r="V15" s="714" t="s">
        <v>17</v>
      </c>
      <c r="W15" s="715">
        <f t="shared" si="2"/>
        <v>100</v>
      </c>
      <c r="X15" s="3258"/>
      <c r="Y15" s="3505" t="s">
        <v>2135</v>
      </c>
      <c r="Z15" s="3259" t="str">
        <f t="shared" si="7"/>
        <v>办公集聚程度</v>
      </c>
      <c r="AA15" s="3257">
        <f t="shared" si="3"/>
        <v>1</v>
      </c>
      <c r="AB15" s="3257">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504"/>
      <c r="Q16" s="3256"/>
      <c r="R16" s="714"/>
      <c r="S16" s="715"/>
      <c r="T16" s="714"/>
      <c r="U16" s="715"/>
      <c r="V16" s="714"/>
      <c r="W16" s="715"/>
      <c r="X16" s="3258"/>
      <c r="Y16" s="3506"/>
      <c r="Z16" s="3259"/>
      <c r="AA16" s="3257">
        <v>1</v>
      </c>
      <c r="AB16" s="3257">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504"/>
      <c r="Q17" s="3256" t="str">
        <f>B17</f>
        <v>交通便捷度</v>
      </c>
      <c r="R17" s="714" t="s">
        <v>17</v>
      </c>
      <c r="S17" s="715">
        <f>F17</f>
        <v>100</v>
      </c>
      <c r="T17" s="714" t="s">
        <v>17</v>
      </c>
      <c r="U17" s="715">
        <f>H17</f>
        <v>100</v>
      </c>
      <c r="V17" s="714" t="s">
        <v>17</v>
      </c>
      <c r="W17" s="715">
        <f>J17</f>
        <v>100</v>
      </c>
      <c r="X17" s="3258"/>
      <c r="Y17" s="3506"/>
      <c r="Z17" s="3259" t="str">
        <f>Q17</f>
        <v>交通便捷度</v>
      </c>
      <c r="AA17" s="3257">
        <f t="shared" si="3"/>
        <v>1</v>
      </c>
      <c r="AB17" s="3257">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504"/>
      <c r="Q18" s="3256"/>
      <c r="R18" s="714"/>
      <c r="S18" s="715"/>
      <c r="T18" s="714"/>
      <c r="U18" s="715"/>
      <c r="V18" s="714"/>
      <c r="W18" s="715"/>
      <c r="X18" s="3258"/>
      <c r="Y18" s="3506"/>
      <c r="Z18" s="3259"/>
      <c r="AA18" s="3257">
        <v>1</v>
      </c>
      <c r="AB18" s="3257">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504"/>
      <c r="Q19" s="3256" t="str">
        <f>B19</f>
        <v>公共配套设施</v>
      </c>
      <c r="R19" s="714" t="s">
        <v>17</v>
      </c>
      <c r="S19" s="715">
        <f>F19</f>
        <v>100</v>
      </c>
      <c r="T19" s="714" t="s">
        <v>17</v>
      </c>
      <c r="U19" s="715">
        <f>H19</f>
        <v>100</v>
      </c>
      <c r="V19" s="714" t="s">
        <v>17</v>
      </c>
      <c r="W19" s="715">
        <f>J19</f>
        <v>100</v>
      </c>
      <c r="X19" s="3258"/>
      <c r="Y19" s="3506"/>
      <c r="Z19" s="3259" t="str">
        <f>Q19</f>
        <v>公共配套设施</v>
      </c>
      <c r="AA19" s="3257">
        <f t="shared" si="3"/>
        <v>1</v>
      </c>
      <c r="AB19" s="3257">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504"/>
      <c r="Q20" s="3256"/>
      <c r="R20" s="714"/>
      <c r="S20" s="715"/>
      <c r="T20" s="714"/>
      <c r="U20" s="715"/>
      <c r="V20" s="714"/>
      <c r="W20" s="715"/>
      <c r="X20" s="3258"/>
      <c r="Y20" s="3506"/>
      <c r="Z20" s="3259"/>
      <c r="AA20" s="3257">
        <v>1</v>
      </c>
      <c r="AB20" s="3257">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504"/>
      <c r="Q21" s="3256" t="str">
        <f>B21</f>
        <v>基础设施水平</v>
      </c>
      <c r="R21" s="714" t="s">
        <v>17</v>
      </c>
      <c r="S21" s="715">
        <f>F21</f>
        <v>100</v>
      </c>
      <c r="T21" s="714" t="s">
        <v>17</v>
      </c>
      <c r="U21" s="715">
        <f>H21</f>
        <v>100</v>
      </c>
      <c r="V21" s="714" t="s">
        <v>17</v>
      </c>
      <c r="W21" s="715">
        <f>J21</f>
        <v>100</v>
      </c>
      <c r="X21" s="3258"/>
      <c r="Y21" s="3506"/>
      <c r="Z21" s="3259" t="str">
        <f>Q21</f>
        <v>基础设施水平</v>
      </c>
      <c r="AA21" s="3257">
        <f t="shared" ref="AA21" si="8">D21/F21</f>
        <v>1</v>
      </c>
      <c r="AB21" s="3257">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504"/>
      <c r="Q22" s="3256"/>
      <c r="R22" s="714"/>
      <c r="S22" s="715"/>
      <c r="T22" s="714"/>
      <c r="U22" s="715"/>
      <c r="V22" s="714"/>
      <c r="W22" s="715"/>
      <c r="X22" s="3258"/>
      <c r="Y22" s="3506"/>
      <c r="Z22" s="3259"/>
      <c r="AA22" s="3257">
        <v>1</v>
      </c>
      <c r="AB22" s="3257">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504"/>
      <c r="Q23" s="3256" t="str">
        <f>B23</f>
        <v>环境质量</v>
      </c>
      <c r="R23" s="714" t="s">
        <v>17</v>
      </c>
      <c r="S23" s="715">
        <f>F23</f>
        <v>100</v>
      </c>
      <c r="T23" s="714" t="s">
        <v>17</v>
      </c>
      <c r="U23" s="715">
        <f>H23</f>
        <v>100</v>
      </c>
      <c r="V23" s="714" t="s">
        <v>17</v>
      </c>
      <c r="W23" s="715">
        <f>J23</f>
        <v>100</v>
      </c>
      <c r="X23" s="3258"/>
      <c r="Y23" s="3506"/>
      <c r="Z23" s="3259" t="str">
        <f>Q23</f>
        <v>环境质量</v>
      </c>
      <c r="AA23" s="3257">
        <f t="shared" si="3"/>
        <v>1</v>
      </c>
      <c r="AB23" s="3257">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504"/>
      <c r="Q24" s="3256"/>
      <c r="R24" s="714"/>
      <c r="S24" s="715"/>
      <c r="T24" s="714"/>
      <c r="U24" s="715"/>
      <c r="V24" s="714"/>
      <c r="W24" s="715"/>
      <c r="X24" s="3258"/>
      <c r="Y24" s="3506"/>
      <c r="Z24" s="3259"/>
      <c r="AA24" s="3257">
        <v>1</v>
      </c>
      <c r="AB24" s="3257">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4"/>
      <c r="Q25" s="3256" t="str">
        <f>B25</f>
        <v>毗邻道路的类型与等级</v>
      </c>
      <c r="R25" s="714" t="s">
        <v>17</v>
      </c>
      <c r="S25" s="715">
        <f>F25</f>
        <v>100</v>
      </c>
      <c r="T25" s="714" t="s">
        <v>17</v>
      </c>
      <c r="U25" s="715">
        <f>H25</f>
        <v>100</v>
      </c>
      <c r="V25" s="714" t="s">
        <v>17</v>
      </c>
      <c r="W25" s="715">
        <f>J25</f>
        <v>100</v>
      </c>
      <c r="X25" s="3258"/>
      <c r="Y25" s="3506"/>
      <c r="Z25" s="3259" t="str">
        <f>Q25</f>
        <v>毗邻道路的类型与等级</v>
      </c>
      <c r="AA25" s="3257">
        <f t="shared" si="3"/>
        <v>1</v>
      </c>
      <c r="AB25" s="3257">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504"/>
      <c r="Q26" s="3256"/>
      <c r="R26" s="714"/>
      <c r="S26" s="715"/>
      <c r="T26" s="714"/>
      <c r="U26" s="715"/>
      <c r="V26" s="714"/>
      <c r="W26" s="715"/>
      <c r="X26" s="3258"/>
      <c r="Y26" s="3506"/>
      <c r="Z26" s="3259"/>
      <c r="AA26" s="3257">
        <v>1</v>
      </c>
      <c r="AB26" s="3257">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504"/>
      <c r="Q27" s="3256" t="str">
        <f t="shared" ref="Q27:Q47" si="11">B27</f>
        <v>楼层</v>
      </c>
      <c r="R27" s="714" t="s">
        <v>17</v>
      </c>
      <c r="S27" s="715">
        <f>F27</f>
        <v>102</v>
      </c>
      <c r="T27" s="714" t="s">
        <v>17</v>
      </c>
      <c r="U27" s="715">
        <f>H27</f>
        <v>100</v>
      </c>
      <c r="V27" s="714" t="s">
        <v>17</v>
      </c>
      <c r="W27" s="715">
        <f>J27</f>
        <v>104</v>
      </c>
      <c r="X27" s="3258"/>
      <c r="Y27" s="3506"/>
      <c r="Z27" s="3259" t="str">
        <f>Q27</f>
        <v>楼层</v>
      </c>
      <c r="AA27" s="3257">
        <f t="shared" si="3"/>
        <v>0.98039215686274506</v>
      </c>
      <c r="AB27" s="3257">
        <f t="shared" si="4"/>
        <v>1</v>
      </c>
      <c r="AC27" s="2099">
        <f t="shared" si="5"/>
        <v>0.96153846153846156</v>
      </c>
    </row>
    <row r="28" spans="1:29" s="113" customFormat="1" ht="15.75" hidden="1" thickBot="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4"/>
      <c r="Q28" s="3236" t="str">
        <f t="shared" si="11"/>
        <v>朝向</v>
      </c>
      <c r="R28" s="710" t="s">
        <v>17</v>
      </c>
      <c r="S28" s="711">
        <f>F28</f>
        <v>100</v>
      </c>
      <c r="T28" s="710" t="s">
        <v>17</v>
      </c>
      <c r="U28" s="711">
        <f>H28</f>
        <v>100</v>
      </c>
      <c r="V28" s="710" t="s">
        <v>17</v>
      </c>
      <c r="W28" s="711">
        <f>J28</f>
        <v>100</v>
      </c>
      <c r="X28" s="712"/>
      <c r="Y28" s="3506"/>
      <c r="Z28" s="3234" t="str">
        <f>Q28</f>
        <v>朝向</v>
      </c>
      <c r="AA28" s="3257">
        <f>D28/F28</f>
        <v>1</v>
      </c>
      <c r="AB28" s="3257">
        <f>D28/H28</f>
        <v>1</v>
      </c>
      <c r="AC28" s="2099">
        <f>D28/J28</f>
        <v>1</v>
      </c>
    </row>
    <row r="29" spans="1:29" ht="15.75" hidden="1" thickBot="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4"/>
      <c r="Q29" s="3256">
        <f t="shared" si="11"/>
        <v>111</v>
      </c>
      <c r="R29" s="714" t="s">
        <v>17</v>
      </c>
      <c r="S29" s="715">
        <f t="shared" ref="S29:S47" si="12">F29</f>
        <v>100</v>
      </c>
      <c r="T29" s="714" t="s">
        <v>17</v>
      </c>
      <c r="U29" s="715">
        <f t="shared" ref="U29:U47" si="13">H29</f>
        <v>100</v>
      </c>
      <c r="V29" s="714" t="s">
        <v>17</v>
      </c>
      <c r="W29" s="715">
        <f t="shared" ref="W29:W47" si="14">J29</f>
        <v>100</v>
      </c>
      <c r="X29" s="3258"/>
      <c r="Y29" s="3506"/>
      <c r="Z29" s="3259">
        <f t="shared" ref="Z29:Z47" si="15">Q29</f>
        <v>111</v>
      </c>
      <c r="AA29" s="3257">
        <f t="shared" si="3"/>
        <v>1</v>
      </c>
      <c r="AB29" s="3257">
        <f t="shared" si="4"/>
        <v>1</v>
      </c>
      <c r="AC29" s="2099">
        <f t="shared" si="5"/>
        <v>1</v>
      </c>
    </row>
    <row r="30" spans="1:29" ht="15.75" hidden="1" thickBot="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4"/>
      <c r="Q30" s="3256">
        <f t="shared" si="11"/>
        <v>111</v>
      </c>
      <c r="R30" s="714" t="s">
        <v>17</v>
      </c>
      <c r="S30" s="715">
        <f t="shared" si="12"/>
        <v>100</v>
      </c>
      <c r="T30" s="714" t="s">
        <v>17</v>
      </c>
      <c r="U30" s="715">
        <f t="shared" si="13"/>
        <v>100</v>
      </c>
      <c r="V30" s="714" t="s">
        <v>17</v>
      </c>
      <c r="W30" s="715">
        <f t="shared" si="14"/>
        <v>100</v>
      </c>
      <c r="X30" s="3258"/>
      <c r="Y30" s="3506"/>
      <c r="Z30" s="3259">
        <f t="shared" si="15"/>
        <v>111</v>
      </c>
      <c r="AA30" s="3257">
        <f t="shared" si="3"/>
        <v>1</v>
      </c>
      <c r="AB30" s="3257">
        <f t="shared" si="4"/>
        <v>1</v>
      </c>
      <c r="AC30" s="2099">
        <f t="shared" si="5"/>
        <v>1</v>
      </c>
    </row>
    <row r="31" spans="1:29" ht="15.75" hidden="1" thickBot="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4"/>
      <c r="Q31" s="3256">
        <f t="shared" si="11"/>
        <v>111</v>
      </c>
      <c r="R31" s="714" t="s">
        <v>17</v>
      </c>
      <c r="S31" s="715">
        <f t="shared" si="12"/>
        <v>100</v>
      </c>
      <c r="T31" s="714" t="s">
        <v>17</v>
      </c>
      <c r="U31" s="715">
        <f t="shared" si="13"/>
        <v>100</v>
      </c>
      <c r="V31" s="714" t="s">
        <v>17</v>
      </c>
      <c r="W31" s="715">
        <f t="shared" si="14"/>
        <v>100</v>
      </c>
      <c r="X31" s="3258"/>
      <c r="Y31" s="3506"/>
      <c r="Z31" s="3259">
        <f t="shared" si="15"/>
        <v>111</v>
      </c>
      <c r="AA31" s="3257">
        <f t="shared" si="3"/>
        <v>1</v>
      </c>
      <c r="AB31" s="3257">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4"/>
      <c r="Q32" s="3256">
        <f t="shared" si="11"/>
        <v>111</v>
      </c>
      <c r="R32" s="714" t="s">
        <v>17</v>
      </c>
      <c r="S32" s="715">
        <f t="shared" si="12"/>
        <v>100</v>
      </c>
      <c r="T32" s="714" t="s">
        <v>17</v>
      </c>
      <c r="U32" s="715">
        <f t="shared" si="13"/>
        <v>100</v>
      </c>
      <c r="V32" s="714" t="s">
        <v>17</v>
      </c>
      <c r="W32" s="715">
        <f t="shared" si="14"/>
        <v>100</v>
      </c>
      <c r="X32" s="3258"/>
      <c r="Y32" s="3506"/>
      <c r="Z32" s="3259">
        <f t="shared" si="15"/>
        <v>111</v>
      </c>
      <c r="AA32" s="3257">
        <f t="shared" si="3"/>
        <v>1</v>
      </c>
      <c r="AB32" s="3257">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507" t="s">
        <v>2140</v>
      </c>
      <c r="Q33" s="3256" t="str">
        <f t="shared" si="11"/>
        <v>建筑类型</v>
      </c>
      <c r="R33" s="714" t="s">
        <v>17</v>
      </c>
      <c r="S33" s="715">
        <f t="shared" si="12"/>
        <v>100</v>
      </c>
      <c r="T33" s="714" t="s">
        <v>17</v>
      </c>
      <c r="U33" s="715">
        <f t="shared" si="13"/>
        <v>100</v>
      </c>
      <c r="V33" s="714" t="s">
        <v>17</v>
      </c>
      <c r="W33" s="715">
        <f t="shared" si="14"/>
        <v>100</v>
      </c>
      <c r="X33" s="3258"/>
      <c r="Y33" s="3510" t="s">
        <v>2140</v>
      </c>
      <c r="Z33" s="3259" t="str">
        <f t="shared" si="15"/>
        <v>建筑类型</v>
      </c>
      <c r="AA33" s="3257">
        <f t="shared" si="3"/>
        <v>1</v>
      </c>
      <c r="AB33" s="3257">
        <f t="shared" si="4"/>
        <v>1</v>
      </c>
      <c r="AC33" s="2099">
        <f t="shared" si="5"/>
        <v>1</v>
      </c>
    </row>
    <row r="34" spans="1:29" s="430" customFormat="1" ht="15">
      <c r="A34" s="427"/>
      <c r="B34" s="381" t="s">
        <v>2141</v>
      </c>
      <c r="C34" s="428">
        <f>D3</f>
        <v>147.72</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508"/>
      <c r="Q34" s="716" t="str">
        <f t="shared" si="11"/>
        <v>项目建筑规模</v>
      </c>
      <c r="R34" s="717" t="s">
        <v>17</v>
      </c>
      <c r="S34" s="718">
        <f t="shared" si="12"/>
        <v>102</v>
      </c>
      <c r="T34" s="717" t="s">
        <v>17</v>
      </c>
      <c r="U34" s="718">
        <f t="shared" si="13"/>
        <v>100</v>
      </c>
      <c r="V34" s="717" t="s">
        <v>17</v>
      </c>
      <c r="W34" s="718">
        <f t="shared" si="14"/>
        <v>100</v>
      </c>
      <c r="X34" s="719"/>
      <c r="Y34" s="3510"/>
      <c r="Z34" s="720" t="str">
        <f t="shared" si="15"/>
        <v>项目建筑规模</v>
      </c>
      <c r="AA34" s="3257">
        <f t="shared" si="3"/>
        <v>0.98039215686274506</v>
      </c>
      <c r="AB34" s="3257">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508"/>
      <c r="Q35" s="3256" t="str">
        <f t="shared" si="11"/>
        <v>建筑结构</v>
      </c>
      <c r="R35" s="714" t="s">
        <v>17</v>
      </c>
      <c r="S35" s="715">
        <f t="shared" si="12"/>
        <v>100</v>
      </c>
      <c r="T35" s="714" t="s">
        <v>17</v>
      </c>
      <c r="U35" s="715">
        <f t="shared" si="13"/>
        <v>100</v>
      </c>
      <c r="V35" s="714" t="s">
        <v>17</v>
      </c>
      <c r="W35" s="715">
        <f t="shared" si="14"/>
        <v>100</v>
      </c>
      <c r="X35" s="3258"/>
      <c r="Y35" s="3510"/>
      <c r="Z35" s="3259" t="str">
        <f t="shared" si="15"/>
        <v>建筑结构</v>
      </c>
      <c r="AA35" s="3257">
        <f t="shared" si="3"/>
        <v>1</v>
      </c>
      <c r="AB35" s="3257">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508"/>
      <c r="Q36" s="3256" t="str">
        <f t="shared" si="11"/>
        <v>公共部分装修</v>
      </c>
      <c r="R36" s="714" t="s">
        <v>17</v>
      </c>
      <c r="S36" s="715">
        <f t="shared" si="12"/>
        <v>100</v>
      </c>
      <c r="T36" s="714" t="s">
        <v>17</v>
      </c>
      <c r="U36" s="715">
        <f t="shared" si="13"/>
        <v>100</v>
      </c>
      <c r="V36" s="714" t="s">
        <v>17</v>
      </c>
      <c r="W36" s="715">
        <f t="shared" si="14"/>
        <v>100</v>
      </c>
      <c r="X36" s="3258"/>
      <c r="Y36" s="3510"/>
      <c r="Z36" s="3259" t="str">
        <f t="shared" si="15"/>
        <v>公共部分装修</v>
      </c>
      <c r="AA36" s="3257">
        <f t="shared" si="3"/>
        <v>1</v>
      </c>
      <c r="AB36" s="3257">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508"/>
      <c r="Q37" s="3256" t="str">
        <f t="shared" si="11"/>
        <v>成新度</v>
      </c>
      <c r="R37" s="714" t="s">
        <v>17</v>
      </c>
      <c r="S37" s="715">
        <f t="shared" si="12"/>
        <v>100</v>
      </c>
      <c r="T37" s="714" t="s">
        <v>17</v>
      </c>
      <c r="U37" s="715">
        <f t="shared" si="13"/>
        <v>100</v>
      </c>
      <c r="V37" s="714" t="s">
        <v>17</v>
      </c>
      <c r="W37" s="715">
        <f t="shared" si="14"/>
        <v>100</v>
      </c>
      <c r="X37" s="3258"/>
      <c r="Y37" s="3510"/>
      <c r="Z37" s="3259" t="str">
        <f t="shared" si="15"/>
        <v>成新度</v>
      </c>
      <c r="AA37" s="3257">
        <f t="shared" si="3"/>
        <v>1</v>
      </c>
      <c r="AB37" s="3257">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8"/>
      <c r="Q38" s="3236" t="str">
        <f t="shared" si="11"/>
        <v>写字楼等级</v>
      </c>
      <c r="R38" s="710" t="s">
        <v>17</v>
      </c>
      <c r="S38" s="711">
        <f t="shared" si="12"/>
        <v>100</v>
      </c>
      <c r="T38" s="710" t="s">
        <v>17</v>
      </c>
      <c r="U38" s="711">
        <f t="shared" si="13"/>
        <v>100</v>
      </c>
      <c r="V38" s="710" t="s">
        <v>17</v>
      </c>
      <c r="W38" s="711">
        <f t="shared" si="14"/>
        <v>100</v>
      </c>
      <c r="X38" s="712"/>
      <c r="Y38" s="3510"/>
      <c r="Z38" s="3234"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508" t="s">
        <v>2140</v>
      </c>
      <c r="Q39" s="3256" t="str">
        <f t="shared" si="11"/>
        <v>物业管理</v>
      </c>
      <c r="R39" s="714" t="s">
        <v>17</v>
      </c>
      <c r="S39" s="715">
        <f t="shared" si="12"/>
        <v>100</v>
      </c>
      <c r="T39" s="714" t="s">
        <v>17</v>
      </c>
      <c r="U39" s="715">
        <f t="shared" si="13"/>
        <v>100</v>
      </c>
      <c r="V39" s="714" t="s">
        <v>17</v>
      </c>
      <c r="W39" s="715">
        <f t="shared" si="14"/>
        <v>100</v>
      </c>
      <c r="X39" s="3258"/>
      <c r="Y39" s="3510" t="s">
        <v>2140</v>
      </c>
      <c r="Z39" s="3259" t="str">
        <f t="shared" si="15"/>
        <v>物业管理</v>
      </c>
      <c r="AA39" s="3257">
        <f t="shared" si="3"/>
        <v>1</v>
      </c>
      <c r="AB39" s="3257">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508"/>
      <c r="Q40" s="3256" t="str">
        <f t="shared" si="11"/>
        <v>市政基础设施</v>
      </c>
      <c r="R40" s="714" t="s">
        <v>17</v>
      </c>
      <c r="S40" s="715">
        <f t="shared" si="12"/>
        <v>100</v>
      </c>
      <c r="T40" s="714" t="s">
        <v>17</v>
      </c>
      <c r="U40" s="715">
        <f t="shared" si="13"/>
        <v>100</v>
      </c>
      <c r="V40" s="714" t="s">
        <v>17</v>
      </c>
      <c r="W40" s="715">
        <f t="shared" si="14"/>
        <v>100</v>
      </c>
      <c r="X40" s="3258"/>
      <c r="Y40" s="3510"/>
      <c r="Z40" s="3259" t="str">
        <f t="shared" si="15"/>
        <v>市政基础设施</v>
      </c>
      <c r="AA40" s="3257">
        <f t="shared" si="3"/>
        <v>1</v>
      </c>
      <c r="AB40" s="3257">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508"/>
      <c r="Q41" s="3256" t="str">
        <f t="shared" si="11"/>
        <v>层高</v>
      </c>
      <c r="R41" s="714" t="s">
        <v>17</v>
      </c>
      <c r="S41" s="715">
        <f t="shared" si="12"/>
        <v>100</v>
      </c>
      <c r="T41" s="714" t="s">
        <v>17</v>
      </c>
      <c r="U41" s="715">
        <f t="shared" si="13"/>
        <v>100</v>
      </c>
      <c r="V41" s="714" t="s">
        <v>17</v>
      </c>
      <c r="W41" s="715">
        <f t="shared" si="14"/>
        <v>100</v>
      </c>
      <c r="X41" s="3258"/>
      <c r="Y41" s="3510"/>
      <c r="Z41" s="3259" t="str">
        <f t="shared" si="15"/>
        <v>层高</v>
      </c>
      <c r="AA41" s="3257">
        <f t="shared" si="3"/>
        <v>1</v>
      </c>
      <c r="AB41" s="3257">
        <f t="shared" si="4"/>
        <v>1</v>
      </c>
      <c r="AC41" s="2099">
        <f t="shared" si="5"/>
        <v>1</v>
      </c>
    </row>
    <row r="42" spans="1:29" s="430" customFormat="1" ht="15" hidden="1">
      <c r="A42" s="427"/>
      <c r="B42" s="3255"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8"/>
      <c r="Q42" s="716" t="str">
        <f t="shared" si="11"/>
        <v>单套建筑面积</v>
      </c>
      <c r="R42" s="717" t="s">
        <v>17</v>
      </c>
      <c r="S42" s="718">
        <f t="shared" si="12"/>
        <v>100</v>
      </c>
      <c r="T42" s="717" t="s">
        <v>17</v>
      </c>
      <c r="U42" s="718">
        <f t="shared" si="13"/>
        <v>100</v>
      </c>
      <c r="V42" s="717" t="s">
        <v>17</v>
      </c>
      <c r="W42" s="718">
        <f t="shared" si="14"/>
        <v>100</v>
      </c>
      <c r="X42" s="719"/>
      <c r="Y42" s="3510"/>
      <c r="Z42" s="720" t="str">
        <f t="shared" si="15"/>
        <v>单套建筑面积</v>
      </c>
      <c r="AA42" s="3257">
        <f t="shared" si="3"/>
        <v>1</v>
      </c>
      <c r="AB42" s="3257">
        <f t="shared" si="4"/>
        <v>1</v>
      </c>
      <c r="AC42" s="2099">
        <f t="shared" si="5"/>
        <v>1</v>
      </c>
    </row>
    <row r="43" spans="1:29" ht="15">
      <c r="A43" s="431"/>
      <c r="B43" s="381" t="s">
        <v>2243</v>
      </c>
      <c r="C43" s="419" t="s">
        <v>3220</v>
      </c>
      <c r="D43" s="394">
        <v>100</v>
      </c>
      <c r="E43" s="419" t="s">
        <v>3211</v>
      </c>
      <c r="F43" s="420">
        <f>SUMIF(123:123,E43,124:124)-SUMIF(123:123,C43,124:124)+100</f>
        <v>101</v>
      </c>
      <c r="G43" s="419" t="s">
        <v>3220</v>
      </c>
      <c r="H43" s="394">
        <f>SUMIF(123:123,G43,124:124)-SUMIF(123:123,C43,124:124)+100</f>
        <v>100</v>
      </c>
      <c r="I43" s="419" t="s">
        <v>3220</v>
      </c>
      <c r="J43" s="394">
        <f>SUMIF(123:123,I43,124:124)-SUMIF(123:123,C43,124:124)+100</f>
        <v>100</v>
      </c>
      <c r="K43" s="569">
        <v>1</v>
      </c>
      <c r="L43" s="2901"/>
      <c r="M43" s="2895"/>
      <c r="N43" s="2895"/>
      <c r="O43" s="2895"/>
      <c r="P43" s="3508"/>
      <c r="Q43" s="3256" t="str">
        <f t="shared" si="11"/>
        <v>内部装修</v>
      </c>
      <c r="R43" s="714" t="s">
        <v>17</v>
      </c>
      <c r="S43" s="715">
        <f t="shared" si="12"/>
        <v>101</v>
      </c>
      <c r="T43" s="714" t="s">
        <v>17</v>
      </c>
      <c r="U43" s="715">
        <f t="shared" si="13"/>
        <v>100</v>
      </c>
      <c r="V43" s="714" t="s">
        <v>17</v>
      </c>
      <c r="W43" s="715">
        <f t="shared" si="14"/>
        <v>100</v>
      </c>
      <c r="X43" s="3258"/>
      <c r="Y43" s="3510"/>
      <c r="Z43" s="3259" t="str">
        <f t="shared" si="15"/>
        <v>内部装修</v>
      </c>
      <c r="AA43" s="3257">
        <f t="shared" si="3"/>
        <v>0.99009900990099009</v>
      </c>
      <c r="AB43" s="3257">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508"/>
      <c r="Q44" s="3256" t="str">
        <f t="shared" si="11"/>
        <v>内部装修维护情况</v>
      </c>
      <c r="R44" s="714" t="s">
        <v>17</v>
      </c>
      <c r="S44" s="715">
        <f t="shared" si="12"/>
        <v>100</v>
      </c>
      <c r="T44" s="714" t="s">
        <v>17</v>
      </c>
      <c r="U44" s="715">
        <f t="shared" si="13"/>
        <v>100</v>
      </c>
      <c r="V44" s="714" t="s">
        <v>17</v>
      </c>
      <c r="W44" s="715">
        <f t="shared" si="14"/>
        <v>100</v>
      </c>
      <c r="X44" s="3258"/>
      <c r="Y44" s="3510"/>
      <c r="Z44" s="3259" t="str">
        <f t="shared" si="15"/>
        <v>内部装修维护情况</v>
      </c>
      <c r="AA44" s="3257">
        <f t="shared" si="3"/>
        <v>1</v>
      </c>
      <c r="AB44" s="3257">
        <f t="shared" si="4"/>
        <v>1</v>
      </c>
      <c r="AC44" s="2099">
        <f t="shared" si="5"/>
        <v>1</v>
      </c>
    </row>
    <row r="45" spans="1:29" s="113" customFormat="1" ht="15.75" hidden="1" thickBot="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8"/>
      <c r="Q45" s="3236">
        <f t="shared" si="11"/>
        <v>111</v>
      </c>
      <c r="R45" s="710" t="s">
        <v>17</v>
      </c>
      <c r="S45" s="711">
        <f t="shared" si="12"/>
        <v>100</v>
      </c>
      <c r="T45" s="710" t="s">
        <v>17</v>
      </c>
      <c r="U45" s="711">
        <f t="shared" si="13"/>
        <v>100</v>
      </c>
      <c r="V45" s="710" t="s">
        <v>17</v>
      </c>
      <c r="W45" s="711">
        <f t="shared" si="14"/>
        <v>100</v>
      </c>
      <c r="X45" s="712"/>
      <c r="Y45" s="3510"/>
      <c r="Z45" s="3234">
        <f t="shared" si="15"/>
        <v>111</v>
      </c>
      <c r="AA45" s="713">
        <f t="shared" si="3"/>
        <v>1</v>
      </c>
      <c r="AB45" s="713">
        <f t="shared" si="4"/>
        <v>1</v>
      </c>
      <c r="AC45" s="2096">
        <f t="shared" si="5"/>
        <v>1</v>
      </c>
    </row>
    <row r="46" spans="1:29" ht="15.75" hidden="1" thickBot="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8"/>
      <c r="Q46" s="3256">
        <f t="shared" si="11"/>
        <v>111</v>
      </c>
      <c r="R46" s="714" t="s">
        <v>17</v>
      </c>
      <c r="S46" s="715">
        <f t="shared" si="12"/>
        <v>100</v>
      </c>
      <c r="T46" s="714" t="s">
        <v>17</v>
      </c>
      <c r="U46" s="715">
        <f t="shared" si="13"/>
        <v>100</v>
      </c>
      <c r="V46" s="714" t="s">
        <v>17</v>
      </c>
      <c r="W46" s="715">
        <f t="shared" si="14"/>
        <v>100</v>
      </c>
      <c r="X46" s="3258"/>
      <c r="Y46" s="3510"/>
      <c r="Z46" s="3259">
        <f t="shared" si="15"/>
        <v>111</v>
      </c>
      <c r="AA46" s="3257">
        <f t="shared" si="3"/>
        <v>1</v>
      </c>
      <c r="AB46" s="3257">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9"/>
      <c r="Q47" s="3256">
        <f t="shared" si="11"/>
        <v>111</v>
      </c>
      <c r="R47" s="714" t="s">
        <v>17</v>
      </c>
      <c r="S47" s="715">
        <f t="shared" si="12"/>
        <v>100</v>
      </c>
      <c r="T47" s="714" t="s">
        <v>17</v>
      </c>
      <c r="U47" s="715">
        <f t="shared" si="13"/>
        <v>100</v>
      </c>
      <c r="V47" s="714" t="s">
        <v>17</v>
      </c>
      <c r="W47" s="715">
        <f t="shared" si="14"/>
        <v>100</v>
      </c>
      <c r="X47" s="3258"/>
      <c r="Y47" s="3511"/>
      <c r="Z47" s="3259">
        <f t="shared" si="15"/>
        <v>111</v>
      </c>
      <c r="AA47" s="3257">
        <f t="shared" si="3"/>
        <v>1</v>
      </c>
      <c r="AB47" s="3257">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83" t="str">
        <f>A48</f>
        <v>成交单价（元/平方米）</v>
      </c>
      <c r="Q48" s="3512"/>
      <c r="R48" s="3513">
        <f>E48</f>
        <v>40000</v>
      </c>
      <c r="S48" s="3513"/>
      <c r="T48" s="3513">
        <f>G48</f>
        <v>37976</v>
      </c>
      <c r="U48" s="3513"/>
      <c r="V48" s="3513">
        <f>I48</f>
        <v>37970</v>
      </c>
      <c r="W48" s="3513"/>
      <c r="X48" s="405"/>
      <c r="Y48" s="721"/>
      <c r="Z48" s="405"/>
      <c r="AA48" s="405"/>
      <c r="AB48" s="405"/>
      <c r="AC48" s="586"/>
    </row>
    <row r="49" spans="1:29" ht="15.75" thickBot="1">
      <c r="A49" s="445" t="s">
        <v>2153</v>
      </c>
      <c r="B49" s="446"/>
      <c r="C49" s="1275">
        <f>R50</f>
        <v>37517</v>
      </c>
      <c r="D49" s="2489" t="s">
        <v>2634</v>
      </c>
      <c r="E49" s="1276">
        <f>R49</f>
        <v>38066</v>
      </c>
      <c r="F49" s="2490"/>
      <c r="G49" s="1275">
        <f>T49</f>
        <v>37976</v>
      </c>
      <c r="H49" s="2490"/>
      <c r="I49" s="1276">
        <f>V49</f>
        <v>36510</v>
      </c>
      <c r="J49" s="2490"/>
      <c r="K49" s="2492">
        <f>F49+H49+J49</f>
        <v>0</v>
      </c>
      <c r="L49" s="2903"/>
      <c r="M49" s="2895"/>
      <c r="N49" s="2895"/>
      <c r="O49" s="2895"/>
      <c r="P49" s="3483" t="str">
        <f>A49</f>
        <v>比较价值（元/平方米）</v>
      </c>
      <c r="Q49" s="3512"/>
      <c r="R49" s="3513">
        <f>IF(F1="售价",ROUND(PRODUCT(R48,AA7:AA47),0),ROUND(PRODUCT(R48,AA7:AA47),1))</f>
        <v>38066</v>
      </c>
      <c r="S49" s="3513"/>
      <c r="T49" s="3513">
        <f>IF(F1="售价",ROUND(PRODUCT(T48,AB7:AB47),0),ROUND(PRODUCT(T48,AB7:AB47),1))</f>
        <v>37976</v>
      </c>
      <c r="U49" s="3513"/>
      <c r="V49" s="3513">
        <f>IF(F1="售价",ROUND(PRODUCT(V48,AC7:AC47),0),ROUND(PRODUCT(V48,AC7:AC47),1))</f>
        <v>36510</v>
      </c>
      <c r="W49" s="3513"/>
      <c r="X49" s="405"/>
      <c r="Y49" s="405"/>
      <c r="Z49" s="405"/>
      <c r="AA49" s="405"/>
      <c r="AB49" s="405"/>
      <c r="AC49" s="586"/>
    </row>
    <row r="50" spans="1:29" ht="15.75" thickBot="1">
      <c r="A50" s="449" t="s">
        <v>2245</v>
      </c>
      <c r="B50" s="450"/>
      <c r="C50" s="1278">
        <f>R50</f>
        <v>37517</v>
      </c>
      <c r="D50" s="1278"/>
      <c r="E50" s="1278"/>
      <c r="F50" s="1278"/>
      <c r="G50" s="1278"/>
      <c r="H50" s="1278"/>
      <c r="I50" s="1278"/>
      <c r="J50" s="451"/>
      <c r="K50" s="724"/>
      <c r="L50" s="2903"/>
      <c r="M50" s="2895"/>
      <c r="N50" s="2895"/>
      <c r="O50" s="2895"/>
      <c r="P50" s="3514" t="str">
        <f>A50</f>
        <v>估价对象XX用房的比较价值（楼面单价，元/平方米）</v>
      </c>
      <c r="Q50" s="3515"/>
      <c r="R50" s="3516">
        <f>IF(F1="售价",ROUND(IF(D49="简单平均",AVERAGE(R49:V49),R49*F49+T49*H49+V49*J49),0),ROUND(IF(D49="简单平均",AVERAGE(R49:V49),R49*F49+T49*H49+V49*J49),1))</f>
        <v>37517</v>
      </c>
      <c r="S50" s="3516"/>
      <c r="T50" s="3516"/>
      <c r="U50" s="3516"/>
      <c r="V50" s="3516"/>
      <c r="W50" s="3516"/>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5.0806493984132839E-2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2156</v>
      </c>
      <c r="D54" s="458"/>
      <c r="E54" s="456">
        <f>IF(E49&lt;G49,G49/E49-1,E49/G49-1)</f>
        <v>2.3699178428480128E-3</v>
      </c>
      <c r="F54" s="457" t="str">
        <f>IF(OR(E54&gt;=0.2,E54&lt;=-0.2),"超过20%","")</f>
        <v/>
      </c>
      <c r="G54" s="456">
        <f>IF(G49&lt;I49,I49/G49-1,G49/I49-1)</f>
        <v>4.0153382634894541E-2</v>
      </c>
      <c r="H54" s="457" t="str">
        <f>IF(OR(G54&gt;=0.2,G54&lt;=-0.2),"超过20%","")</f>
        <v/>
      </c>
      <c r="I54" s="456">
        <f>IF(I49&lt;E49,E49/I49-1,I49/E49-1)</f>
        <v>4.2618460695699856E-2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99</v>
      </c>
      <c r="E124" s="501">
        <f t="shared" si="31"/>
        <v>98</v>
      </c>
      <c r="F124" s="501">
        <f t="shared" si="31"/>
        <v>97</v>
      </c>
      <c r="G124" s="501">
        <f t="shared" si="31"/>
        <v>96</v>
      </c>
      <c r="H124" s="501">
        <f t="shared" si="31"/>
        <v>95</v>
      </c>
      <c r="I124" s="501">
        <f t="shared" si="31"/>
        <v>94</v>
      </c>
      <c r="J124" s="501">
        <f t="shared" si="31"/>
        <v>93</v>
      </c>
      <c r="K124" s="501">
        <f t="shared" si="31"/>
        <v>92</v>
      </c>
      <c r="L124" s="501">
        <f t="shared" si="31"/>
        <v>91</v>
      </c>
      <c r="M124" s="502">
        <f t="shared" si="31"/>
        <v>90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44" sqref="N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817</v>
      </c>
      <c r="D1" s="1497" t="s">
        <v>70</v>
      </c>
      <c r="E1" s="1498" t="s">
        <v>1107</v>
      </c>
      <c r="F1" s="1174">
        <f ca="1">J53</f>
        <v>36</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f ca="1">ROUND(D2/10000,0)</f>
        <v>570</v>
      </c>
      <c r="C2" s="1522" t="s">
        <v>1311</v>
      </c>
      <c r="D2" s="1606">
        <f ca="1">C40+J29+L46</f>
        <v>5698881</v>
      </c>
      <c r="E2" s="1523" t="s">
        <v>1312</v>
      </c>
      <c r="F2" s="1524"/>
      <c r="G2" s="2885"/>
      <c r="H2" s="2874"/>
      <c r="I2" s="2874"/>
      <c r="J2" s="2874"/>
      <c r="K2" s="2875"/>
      <c r="L2" s="2874"/>
      <c r="M2" s="2874"/>
    </row>
    <row r="3" spans="1:37" ht="18" customHeight="1" thickBot="1">
      <c r="A3" s="1525" t="s">
        <v>1313</v>
      </c>
      <c r="B3" s="1526">
        <f ca="1">IF(ISERROR(D2/F43),0,ROUND(D2/F43,0))</f>
        <v>38579</v>
      </c>
      <c r="C3" s="1522" t="s">
        <v>1238</v>
      </c>
      <c r="D3" s="1522"/>
      <c r="E3" s="1523"/>
      <c r="F3" s="1524"/>
      <c r="G3" s="2885"/>
      <c r="H3" s="692" t="s">
        <v>1308</v>
      </c>
      <c r="I3" s="1517"/>
      <c r="J3" s="1517"/>
      <c r="K3" s="1518"/>
      <c r="L3" s="1517"/>
      <c r="M3" s="1517"/>
    </row>
    <row r="4" spans="1:37" ht="18" customHeight="1">
      <c r="A4" s="301" t="s">
        <v>1315</v>
      </c>
      <c r="B4" s="302" t="s">
        <v>1316</v>
      </c>
      <c r="C4" s="302" t="s">
        <v>1118</v>
      </c>
      <c r="D4" s="302" t="s">
        <v>1318</v>
      </c>
      <c r="E4" s="303" t="s">
        <v>1120</v>
      </c>
      <c r="F4" s="304"/>
      <c r="G4" s="1519"/>
      <c r="H4" s="301" t="s">
        <v>1315</v>
      </c>
      <c r="I4" s="302" t="s">
        <v>1316</v>
      </c>
      <c r="J4" s="302" t="s">
        <v>1118</v>
      </c>
      <c r="K4" s="302" t="s">
        <v>1318</v>
      </c>
      <c r="L4" s="303" t="s">
        <v>1120</v>
      </c>
      <c r="M4" s="304"/>
    </row>
    <row r="5" spans="1:37" ht="18" customHeight="1">
      <c r="A5" s="305">
        <v>1</v>
      </c>
      <c r="B5" s="306" t="s">
        <v>1320</v>
      </c>
      <c r="C5" s="1183">
        <f ca="1">C6+C10+C12</f>
        <v>340107</v>
      </c>
      <c r="D5" s="1499" t="s">
        <v>1122</v>
      </c>
      <c r="E5" s="1184"/>
      <c r="F5" s="1185"/>
      <c r="G5" s="1519"/>
      <c r="H5" s="305">
        <v>1</v>
      </c>
      <c r="I5" s="306" t="s">
        <v>1320</v>
      </c>
      <c r="J5" s="1183">
        <f ca="1">J6+J10+J12</f>
        <v>0</v>
      </c>
      <c r="K5" s="1499" t="s">
        <v>1122</v>
      </c>
      <c r="L5" s="1184"/>
      <c r="M5" s="1185"/>
    </row>
    <row r="6" spans="1:37" ht="18" customHeight="1">
      <c r="A6" s="1182" t="s">
        <v>822</v>
      </c>
      <c r="B6" s="3462" t="s">
        <v>1123</v>
      </c>
      <c r="C6" s="1187">
        <f ca="1">ROUND(F6*F8*F7*(1-F9),0)</f>
        <v>339682</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3254" t="s">
        <v>1126</v>
      </c>
      <c r="F7" s="309">
        <f ca="1">IF(INDIRECT("'数据-取费表'!ah"&amp;$G$1)="",INDIRECT("'数据-取费表'!k"&amp;$G$1),INDIRECT("'数据-取费表'!ah"&amp;$G$1))</f>
        <v>147.72</v>
      </c>
      <c r="G7" s="1519"/>
      <c r="H7" s="310"/>
      <c r="I7" s="3463"/>
      <c r="J7" s="312"/>
      <c r="K7" s="313"/>
      <c r="L7" s="308" t="s">
        <v>1126</v>
      </c>
      <c r="M7" s="309">
        <f ca="1">F7</f>
        <v>147.72</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425</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796130</v>
      </c>
      <c r="D13" s="3231" t="s">
        <v>1135</v>
      </c>
      <c r="E13" s="3231"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664740</v>
      </c>
      <c r="D14" s="3243" t="s">
        <v>1138</v>
      </c>
      <c r="E14" s="3235"/>
      <c r="F14" s="325"/>
      <c r="G14" s="1519"/>
      <c r="H14" s="1094" t="s">
        <v>822</v>
      </c>
      <c r="I14" s="308" t="s">
        <v>1139</v>
      </c>
      <c r="J14" s="24">
        <f ca="1">C29</f>
        <v>995163</v>
      </c>
      <c r="K14" s="3252"/>
      <c r="L14" s="897"/>
      <c r="M14" s="898"/>
    </row>
    <row r="15" spans="1:37" s="1532" customFormat="1" ht="18" customHeight="1" thickBot="1">
      <c r="A15" s="1094" t="s">
        <v>823</v>
      </c>
      <c r="B15" s="308" t="s">
        <v>1140</v>
      </c>
      <c r="C15" s="24">
        <f ca="1">ROUND(C14*F15,0)</f>
        <v>19942</v>
      </c>
      <c r="D15" s="3232" t="s">
        <v>1141</v>
      </c>
      <c r="E15" s="3232"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22291</v>
      </c>
      <c r="K16" s="1200" t="s">
        <v>1145</v>
      </c>
      <c r="L16" s="3246"/>
      <c r="M16" s="1185"/>
    </row>
    <row r="17" spans="1:37" s="1532" customFormat="1" ht="18" customHeight="1">
      <c r="A17" s="1094" t="s">
        <v>1110</v>
      </c>
      <c r="B17" s="308" t="s">
        <v>1146</v>
      </c>
      <c r="C17" s="24">
        <f ca="1">ROUND(F17*(F43+INDIRECT("'数据-取费表'!S"&amp;$G$1)),0)</f>
        <v>29544</v>
      </c>
      <c r="D17" s="308" t="s">
        <v>1147</v>
      </c>
      <c r="E17" s="308" t="s">
        <v>1148</v>
      </c>
      <c r="F17" s="26">
        <f>'数据-取费表'!B35</f>
        <v>200</v>
      </c>
      <c r="G17" s="1531"/>
      <c r="H17" s="1094" t="s">
        <v>822</v>
      </c>
      <c r="I17" s="308" t="s">
        <v>1149</v>
      </c>
      <c r="J17" s="2485">
        <f ca="1">ROUND(IF(AND(项目基本情况!B11="自然人",项目基本情况!B10="北京市"),J6*M17/(1+'数据-取费表'!C42),J18+J19+J20),0)</f>
        <v>8359</v>
      </c>
      <c r="K17" s="3243" t="s">
        <v>1150</v>
      </c>
      <c r="L17" s="3241"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9971</v>
      </c>
      <c r="D18" s="308" t="s">
        <v>1141</v>
      </c>
      <c r="E18" s="308" t="s">
        <v>1142</v>
      </c>
      <c r="F18" s="328">
        <f>'数据-取费表'!B36</f>
        <v>1.4999999999999999E-2</v>
      </c>
      <c r="G18" s="1531"/>
      <c r="H18" s="1094" t="s">
        <v>821</v>
      </c>
      <c r="I18" s="308" t="s">
        <v>1153</v>
      </c>
      <c r="J18" s="24">
        <f ca="1">ROUND(J6*M18/(1+'数据-取费表'!C42),0)</f>
        <v>0</v>
      </c>
      <c r="K18" s="3241"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724197</v>
      </c>
      <c r="D19" s="136" t="s">
        <v>1156</v>
      </c>
      <c r="E19" s="3262"/>
      <c r="F19" s="26"/>
      <c r="G19" s="1519"/>
      <c r="H19" s="1094" t="s">
        <v>823</v>
      </c>
      <c r="I19" s="308" t="s">
        <v>1157</v>
      </c>
      <c r="J19" s="24">
        <f ca="1">IF(K19="按租金收入计税",ROUND(J6*M19/(1+'数据-取费表'!C42),0),ROUND(C29*M19*0.7,0))</f>
        <v>8359</v>
      </c>
      <c r="K19" s="1505" t="s">
        <v>1158</v>
      </c>
      <c r="L19" s="308" t="s">
        <v>1142</v>
      </c>
      <c r="M19" s="328">
        <f>IF(K19="按租金收入计税",'数据-取费表'!B51,'数据-取费表'!B50)</f>
        <v>1.2E-2</v>
      </c>
    </row>
    <row r="20" spans="1:37" s="1532" customFormat="1" ht="18" customHeight="1">
      <c r="A20" s="1094" t="s">
        <v>826</v>
      </c>
      <c r="B20" s="308" t="s">
        <v>1159</v>
      </c>
      <c r="C20" s="24">
        <f ca="1">ROUND(C19*F20,0)</f>
        <v>14484</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3262"/>
      <c r="F22" s="26"/>
      <c r="G22" s="1519"/>
      <c r="H22" s="1094" t="s">
        <v>826</v>
      </c>
      <c r="I22" s="308" t="s">
        <v>1169</v>
      </c>
      <c r="J22" s="24">
        <f ca="1">ROUND(J14*M22,0)</f>
        <v>13932</v>
      </c>
      <c r="K22" s="3241" t="s">
        <v>1170</v>
      </c>
      <c r="L22" s="308" t="s">
        <v>1142</v>
      </c>
      <c r="M22" s="334">
        <f ca="1">INDIRECT("'数据-取费表'!Ak"&amp;$G$1)</f>
        <v>1.4E-2</v>
      </c>
    </row>
    <row r="23" spans="1:37" s="1532" customFormat="1" ht="18" customHeight="1">
      <c r="A23" s="1094" t="s">
        <v>821</v>
      </c>
      <c r="B23" s="308" t="s">
        <v>1171</v>
      </c>
      <c r="C23" s="24">
        <f ca="1">IF('数据-取费表'!B22&lt;=1,ROUND(C19*F24*F23/2,0)+ROUND(C20*F24*F23/2,0),ROUND(C19*(POWER((1+F24),F23/2)-1),0)+ROUND(C20*(POWER((1+F24),F23/2)-1),0))</f>
        <v>31024</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3241" t="s">
        <v>1174</v>
      </c>
      <c r="L23" s="308" t="s">
        <v>1142</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1112</v>
      </c>
      <c r="I24" s="1203" t="s">
        <v>1159</v>
      </c>
      <c r="J24" s="1204">
        <f ca="1">ROUND(J5*M24,0)</f>
        <v>0</v>
      </c>
      <c r="K24" s="1205" t="s">
        <v>1179</v>
      </c>
      <c r="L24" s="1203" t="s">
        <v>1142</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3262"/>
      <c r="F25" s="26"/>
      <c r="G25" s="1519"/>
      <c r="H25" s="1192" t="s">
        <v>818</v>
      </c>
      <c r="I25" s="1207" t="s">
        <v>1183</v>
      </c>
      <c r="J25" s="316">
        <f ca="1">J5-J16</f>
        <v>-22291</v>
      </c>
      <c r="K25" s="1208" t="s">
        <v>1184</v>
      </c>
      <c r="L25" s="1209"/>
      <c r="M25" s="1210"/>
    </row>
    <row r="26" spans="1:37" ht="18" customHeight="1">
      <c r="A26" s="1094" t="s">
        <v>821</v>
      </c>
      <c r="B26" s="308" t="s">
        <v>1185</v>
      </c>
      <c r="C26" s="24">
        <f ca="1">ROUND((C19+C20)*F26,0)</f>
        <v>147736</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32"/>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995163</v>
      </c>
      <c r="D29" s="1205"/>
      <c r="E29" s="1203"/>
      <c r="F29" s="1206"/>
      <c r="G29" s="1531"/>
      <c r="H29" s="340" t="s">
        <v>820</v>
      </c>
      <c r="I29" s="341" t="s">
        <v>1199</v>
      </c>
      <c r="J29" s="342">
        <f ca="1">ROUND(J26/(1+F40)^F41,0)</f>
        <v>0</v>
      </c>
      <c r="K29" s="343" t="s">
        <v>1200</v>
      </c>
      <c r="L29" s="344"/>
      <c r="M29" s="345">
        <f ca="1">INDIRECT("'数据-取费表'!k"&amp;$G$1)</f>
        <v>147.72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75464</v>
      </c>
      <c r="D30" s="1200" t="s">
        <v>1145</v>
      </c>
      <c r="E30" s="3246"/>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56937</v>
      </c>
      <c r="D31" s="3243" t="s">
        <v>1150</v>
      </c>
      <c r="E31" s="3241"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18116</v>
      </c>
      <c r="D32" s="3241"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38821</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13932</v>
      </c>
      <c r="D36" s="3241" t="s">
        <v>1202</v>
      </c>
      <c r="E36" s="308" t="s">
        <v>1142</v>
      </c>
      <c r="F36" s="334">
        <f ca="1">INDIRECT("'数据-取费表'!Ak"&amp;$G$1)</f>
        <v>1.4E-2</v>
      </c>
      <c r="G36" s="1519"/>
      <c r="H36" s="2879"/>
      <c r="I36" s="1533"/>
      <c r="J36" s="1534"/>
      <c r="K36" s="2720"/>
      <c r="L36" s="2879"/>
      <c r="M36" s="2879"/>
    </row>
    <row r="37" spans="1:18" ht="18" customHeight="1">
      <c r="A37" s="1094" t="s">
        <v>862</v>
      </c>
      <c r="B37" s="308" t="s">
        <v>1173</v>
      </c>
      <c r="C37" s="24">
        <f ca="1">ROUND(C13*F37,0)</f>
        <v>1194</v>
      </c>
      <c r="D37" s="3241" t="s">
        <v>1174</v>
      </c>
      <c r="E37" s="308" t="s">
        <v>1142</v>
      </c>
      <c r="F37" s="336">
        <f ca="1">INDIRECT("'数据-取费表'!Al"&amp;$G$1)</f>
        <v>1.5E-3</v>
      </c>
      <c r="G37" s="1519"/>
      <c r="H37" s="2879"/>
      <c r="I37" s="1533"/>
      <c r="J37" s="1534"/>
      <c r="K37" s="2720"/>
      <c r="L37" s="2879"/>
      <c r="M37" s="2879"/>
    </row>
    <row r="38" spans="1:18" ht="18" customHeight="1" thickBot="1">
      <c r="A38" s="1202" t="s">
        <v>1112</v>
      </c>
      <c r="B38" s="1203" t="s">
        <v>1159</v>
      </c>
      <c r="C38" s="1204">
        <f ca="1">ROUND(C5*F38,1)</f>
        <v>3401.1</v>
      </c>
      <c r="D38" s="1205" t="s">
        <v>1179</v>
      </c>
      <c r="E38" s="1203" t="s">
        <v>1142</v>
      </c>
      <c r="F38" s="1199">
        <f ca="1">INDIRECT("'数据-取费表'!Am"&amp;$G$1)</f>
        <v>0.01</v>
      </c>
      <c r="G38" s="1519"/>
      <c r="H38" s="2879"/>
      <c r="I38" s="1533"/>
      <c r="J38" s="1534"/>
      <c r="K38" s="2883"/>
      <c r="L38" s="2879"/>
      <c r="M38" s="2879"/>
    </row>
    <row r="39" spans="1:18" ht="24.6" customHeight="1" thickTop="1">
      <c r="A39" s="1192" t="s">
        <v>818</v>
      </c>
      <c r="B39" s="1207" t="s">
        <v>1183</v>
      </c>
      <c r="C39" s="316">
        <f ca="1">C5-C30</f>
        <v>264643</v>
      </c>
      <c r="D39" s="1208" t="s">
        <v>1184</v>
      </c>
      <c r="E39" s="1209"/>
      <c r="F39" s="1210"/>
      <c r="G39" s="1519"/>
      <c r="H39" s="2879"/>
      <c r="I39" s="1533"/>
      <c r="J39" s="1534"/>
      <c r="K39" s="2883"/>
      <c r="L39" s="2879"/>
      <c r="M39" s="2879"/>
    </row>
    <row r="40" spans="1:18" ht="18" customHeight="1">
      <c r="A40" s="305" t="s">
        <v>819</v>
      </c>
      <c r="B40" s="306" t="s">
        <v>1205</v>
      </c>
      <c r="C40" s="307">
        <f ca="1">ROUND(C39*(1-((1+F42)/(1+F40))^F41)/(F40-F42),0)</f>
        <v>5698881</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38579</v>
      </c>
      <c r="D43" s="343" t="s">
        <v>1208</v>
      </c>
      <c r="E43" s="344" t="s">
        <v>1209</v>
      </c>
      <c r="F43" s="345">
        <f ca="1">INDIRECT("'数据-取费表'!k"&amp;$G$1)</f>
        <v>147.72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-7824739</v>
      </c>
      <c r="D45" s="1608" t="s">
        <v>1324</v>
      </c>
      <c r="E45" s="1535"/>
      <c r="F45" s="1535"/>
      <c r="O45" s="1538" t="s">
        <v>1239</v>
      </c>
      <c r="P45" s="1596"/>
      <c r="Q45" s="1596"/>
      <c r="R45" s="1596"/>
    </row>
    <row r="46" spans="1:18" s="1519" customFormat="1" ht="13.5" thickBot="1">
      <c r="A46" s="1539" t="s">
        <v>1240</v>
      </c>
      <c r="C46" s="1540">
        <f ca="1">ROUND(C45/10000,0)</f>
        <v>-782</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5698881</v>
      </c>
      <c r="R47" s="1555" t="s">
        <v>1249</v>
      </c>
    </row>
    <row r="48" spans="1:18" s="1519" customFormat="1" ht="28.5" thickBot="1">
      <c r="A48" s="1223" t="s">
        <v>863</v>
      </c>
      <c r="B48" s="306" t="s">
        <v>1121</v>
      </c>
      <c r="C48" s="3261">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995163</v>
      </c>
      <c r="R49" s="1555" t="s">
        <v>1249</v>
      </c>
    </row>
    <row r="50" spans="1:18" s="1519" customFormat="1" ht="13.5" thickBot="1">
      <c r="A50" s="1088"/>
      <c r="B50" s="1091"/>
      <c r="C50" s="1092"/>
      <c r="D50" s="1065"/>
      <c r="E50" s="1168" t="s">
        <v>1126</v>
      </c>
      <c r="F50" s="1169">
        <f ca="1">F7</f>
        <v>147.72</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3632652</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5698881</v>
      </c>
      <c r="R53" s="1555" t="s">
        <v>834</v>
      </c>
    </row>
    <row r="54" spans="1:18" s="1519" customFormat="1" ht="13.5" thickBot="1">
      <c r="A54" s="1087"/>
      <c r="B54" s="1609" t="s">
        <v>1323</v>
      </c>
      <c r="C54" s="1071"/>
      <c r="D54" s="1501"/>
      <c r="E54" s="324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3248"/>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796130</v>
      </c>
      <c r="D56" s="1582"/>
      <c r="E56" s="1583"/>
      <c r="F56" s="1575"/>
      <c r="I56" s="1584" t="s">
        <v>1274</v>
      </c>
      <c r="J56" s="1585" t="s">
        <v>3175</v>
      </c>
      <c r="K56" s="1556" t="s">
        <v>1275</v>
      </c>
      <c r="L56" s="1559" t="str">
        <f ca="1">IF(L48&lt;J51,"——",L48-J51)</f>
        <v>——</v>
      </c>
      <c r="O56" s="1553" t="s">
        <v>827</v>
      </c>
      <c r="P56" s="1554" t="s">
        <v>1248</v>
      </c>
      <c r="Q56" s="1555">
        <f ca="1">C40+J29</f>
        <v>5698881</v>
      </c>
      <c r="R56" s="1555" t="s">
        <v>1249</v>
      </c>
    </row>
    <row r="57" spans="1:18" s="1519" customFormat="1" ht="24.75" thickBot="1">
      <c r="A57" s="1586"/>
      <c r="B57" s="1062" t="s">
        <v>1198</v>
      </c>
      <c r="C57" s="244">
        <f ca="1">C29</f>
        <v>995163</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98720</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83594</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83594</v>
      </c>
      <c r="D61" s="1505" t="s">
        <v>1158</v>
      </c>
      <c r="E61" s="1062" t="s">
        <v>1142</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1162</v>
      </c>
      <c r="E62" s="1062" t="s">
        <v>1218</v>
      </c>
      <c r="F62" s="331">
        <f t="shared" si="0"/>
        <v>0</v>
      </c>
      <c r="I62" s="1597" t="s">
        <v>1290</v>
      </c>
      <c r="J62" s="1598" t="s">
        <v>1291</v>
      </c>
      <c r="K62" s="1598" t="s">
        <v>1292</v>
      </c>
      <c r="L62" s="1598" t="s">
        <v>1293</v>
      </c>
      <c r="M62" s="1599" t="s">
        <v>1294</v>
      </c>
      <c r="O62" s="1553" t="s">
        <v>833</v>
      </c>
      <c r="P62" s="1554" t="s">
        <v>1295</v>
      </c>
      <c r="Q62" s="1555">
        <f ca="1">Q56+Q57</f>
        <v>5698881</v>
      </c>
      <c r="R62" s="1555" t="s">
        <v>834</v>
      </c>
    </row>
    <row r="63" spans="1:18" s="1519" customFormat="1" ht="13.5" thickBot="1">
      <c r="A63" s="332"/>
      <c r="B63" s="1068"/>
      <c r="C63" s="29"/>
      <c r="D63" s="1078"/>
      <c r="E63" s="1062" t="s">
        <v>1167</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13932</v>
      </c>
      <c r="D64" s="1076" t="s">
        <v>1202</v>
      </c>
      <c r="E64" s="1062" t="s">
        <v>1142</v>
      </c>
      <c r="F64" s="334">
        <f t="shared" ca="1" si="0"/>
        <v>1.4E-2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1194</v>
      </c>
      <c r="D65" s="1076" t="s">
        <v>1174</v>
      </c>
      <c r="E65" s="1062" t="s">
        <v>1142</v>
      </c>
      <c r="F65" s="336">
        <f t="shared" ca="1" si="0"/>
        <v>1.5E-3</v>
      </c>
      <c r="I65" s="1597" t="s">
        <v>1299</v>
      </c>
      <c r="J65" s="1598">
        <v>40</v>
      </c>
      <c r="K65" s="1598">
        <v>30</v>
      </c>
      <c r="L65" s="1598">
        <v>50</v>
      </c>
      <c r="M65" s="1600">
        <v>0.02</v>
      </c>
      <c r="O65" s="1553" t="s">
        <v>827</v>
      </c>
      <c r="P65" s="1554" t="s">
        <v>1300</v>
      </c>
      <c r="Q65" s="1555">
        <f ca="1">C40+J29</f>
        <v>5698881</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-98720</v>
      </c>
      <c r="D67" s="1075" t="s">
        <v>1184</v>
      </c>
      <c r="E67" s="1080"/>
      <c r="F67" s="1081"/>
      <c r="O67" s="1563" t="s">
        <v>829</v>
      </c>
      <c r="P67" s="1554" t="s">
        <v>1282</v>
      </c>
      <c r="Q67" s="1601">
        <f ca="1">L51</f>
        <v>3632652</v>
      </c>
      <c r="R67" s="1555" t="s">
        <v>1302</v>
      </c>
    </row>
    <row r="68" spans="1:18" s="1519" customFormat="1" ht="16.5" thickBot="1">
      <c r="A68" s="1059" t="s">
        <v>819</v>
      </c>
      <c r="B68" s="1060" t="s">
        <v>1205</v>
      </c>
      <c r="C68" s="307">
        <f ca="1">ROUND(C67*(1-((1+F70)/(1+F68))^F69)/(F68-F70),0)</f>
        <v>-2125858</v>
      </c>
      <c r="D68" s="1077" t="s">
        <v>1189</v>
      </c>
      <c r="E68" s="1062" t="s">
        <v>1190</v>
      </c>
      <c r="F68" s="318">
        <f ca="1">F40</f>
        <v>5.5E-2</v>
      </c>
      <c r="O68" s="1563" t="s">
        <v>830</v>
      </c>
      <c r="P68" s="1602" t="s">
        <v>1303</v>
      </c>
      <c r="Q68" s="1555">
        <f ca="1">ROUND(Q69-Q70*Q71,0)</f>
        <v>200953</v>
      </c>
      <c r="R68" s="1555" t="s">
        <v>838</v>
      </c>
    </row>
    <row r="69" spans="1:18" s="1519" customFormat="1" ht="13.5" thickBot="1">
      <c r="A69" s="1063"/>
      <c r="B69" s="1064"/>
      <c r="C69" s="312"/>
      <c r="D69" s="1082" t="s">
        <v>1193</v>
      </c>
      <c r="E69" s="1062" t="s">
        <v>1194</v>
      </c>
      <c r="F69" s="339">
        <f ca="1">F41</f>
        <v>36</v>
      </c>
      <c r="O69" s="1563" t="s">
        <v>835</v>
      </c>
      <c r="P69" s="1602" t="s">
        <v>1304</v>
      </c>
      <c r="Q69" s="1555">
        <f ca="1">C39</f>
        <v>264643</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796130</v>
      </c>
      <c r="R70" s="1555" t="s">
        <v>1249</v>
      </c>
    </row>
    <row r="71" spans="1:18" s="1519" customFormat="1" ht="13.5" thickBot="1">
      <c r="A71" s="1083" t="s">
        <v>820</v>
      </c>
      <c r="B71" s="1084" t="s">
        <v>1207</v>
      </c>
      <c r="C71" s="342">
        <f ca="1">ROUND(C68/F71,0)</f>
        <v>-14391</v>
      </c>
      <c r="D71" s="1085" t="s">
        <v>1208</v>
      </c>
      <c r="E71" s="1086" t="s">
        <v>1209</v>
      </c>
      <c r="F71" s="345">
        <f ca="1">F43</f>
        <v>147.72</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63690</v>
      </c>
      <c r="D75" s="1519"/>
      <c r="E75" s="1519"/>
      <c r="F75" s="1519"/>
      <c r="K75" s="1537"/>
      <c r="L75" s="1519"/>
      <c r="O75" s="1553" t="s">
        <v>833</v>
      </c>
      <c r="P75" s="1554" t="s">
        <v>1269</v>
      </c>
      <c r="Q75" s="1555">
        <f ca="1">Q65+Q66</f>
        <v>5698881</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0.75900000000000001</v>
      </c>
    </row>
    <row r="80" spans="1:18">
      <c r="B80" s="346" t="s">
        <v>1231</v>
      </c>
      <c r="C80" s="280">
        <f ca="1">ROUND(C75/C39,3)</f>
        <v>0.24099999999999999</v>
      </c>
    </row>
    <row r="81" spans="2:3">
      <c r="B81" s="276" t="s">
        <v>1232</v>
      </c>
      <c r="C81" s="244"/>
    </row>
    <row r="82" spans="2:3">
      <c r="B82" s="279" t="s">
        <v>1233</v>
      </c>
      <c r="C82" s="281">
        <f ca="1">1-C83</f>
        <v>0.86</v>
      </c>
    </row>
    <row r="83" spans="2:3">
      <c r="B83" s="279" t="s">
        <v>1234</v>
      </c>
      <c r="C83" s="280">
        <f ca="1">ROUND(C13/C40,3)</f>
        <v>0.14000000000000001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8" sqref="A58:XFD20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2935</v>
      </c>
      <c r="B1" s="3013"/>
      <c r="C1" s="3025"/>
      <c r="D1" s="3025"/>
      <c r="E1" s="3014"/>
      <c r="F1" s="3015"/>
      <c r="G1" s="3016"/>
      <c r="J1" s="3019" t="s">
        <v>2814</v>
      </c>
      <c r="K1" s="3020"/>
      <c r="L1" s="3020"/>
      <c r="M1" s="3020"/>
      <c r="N1" s="3020"/>
      <c r="O1" s="3020"/>
      <c r="P1" s="3020"/>
      <c r="Q1" s="3020"/>
      <c r="R1" s="3021"/>
      <c r="S1" s="3022"/>
      <c r="T1" s="3022"/>
      <c r="U1" s="3022"/>
    </row>
    <row r="2" spans="1:22" s="3034" customFormat="1" ht="13.15" customHeight="1">
      <c r="A2" s="1520" t="s">
        <v>2815</v>
      </c>
      <c r="B2" s="3024" t="e">
        <f>C40</f>
        <v>#DIV/0!</v>
      </c>
      <c r="C2" s="3025" t="s">
        <v>2816</v>
      </c>
      <c r="D2" s="3025"/>
      <c r="E2" s="3026"/>
      <c r="F2" s="3027"/>
      <c r="G2" s="3028"/>
      <c r="H2" s="3029"/>
      <c r="I2" s="3030"/>
      <c r="J2" s="3517" t="s">
        <v>2817</v>
      </c>
      <c r="K2" s="3518"/>
      <c r="L2" s="3031" t="s">
        <v>2818</v>
      </c>
      <c r="M2" s="3031" t="s">
        <v>2819</v>
      </c>
      <c r="N2" s="3031" t="s">
        <v>2820</v>
      </c>
      <c r="O2" s="3031" t="s">
        <v>2821</v>
      </c>
      <c r="P2" s="3031" t="s">
        <v>2822</v>
      </c>
      <c r="Q2" s="3032" t="s">
        <v>2823</v>
      </c>
      <c r="R2" s="3033" t="s">
        <v>2824</v>
      </c>
      <c r="S2" s="3022"/>
      <c r="T2" s="3022"/>
      <c r="U2" s="3022"/>
      <c r="V2" s="3030"/>
    </row>
    <row r="3" spans="1:22" s="3034" customFormat="1" ht="13.15" customHeight="1">
      <c r="A3" s="3035" t="s">
        <v>2825</v>
      </c>
      <c r="B3" s="3036" t="e">
        <f>ROUND(B2*10000/B4,0)</f>
        <v>#DIV/0!</v>
      </c>
      <c r="C3" s="3025" t="s">
        <v>2826</v>
      </c>
      <c r="D3" s="3025"/>
      <c r="E3" s="3026"/>
      <c r="F3" s="3027"/>
      <c r="G3" s="3028"/>
      <c r="H3" s="3029"/>
      <c r="I3" s="3030"/>
      <c r="J3" s="3519" t="s">
        <v>2827</v>
      </c>
      <c r="K3" s="3520"/>
      <c r="L3" s="3037"/>
      <c r="M3" s="3037"/>
      <c r="N3" s="3037"/>
      <c r="O3" s="3037"/>
      <c r="P3" s="3037"/>
      <c r="Q3" s="3038"/>
      <c r="R3" s="3039">
        <f>SUM(L3:Q3)</f>
        <v>0</v>
      </c>
      <c r="S3" s="3022"/>
      <c r="T3" s="3022"/>
      <c r="U3" s="3022"/>
      <c r="V3" s="3030"/>
    </row>
    <row r="4" spans="1:22" s="3034" customFormat="1" ht="13.15" customHeight="1">
      <c r="A4" s="3040" t="s">
        <v>2828</v>
      </c>
      <c r="B4" s="3041"/>
      <c r="C4" s="3025"/>
      <c r="D4" s="3025"/>
      <c r="E4" s="3026"/>
      <c r="F4" s="3027"/>
      <c r="G4" s="3028"/>
      <c r="H4" s="3029"/>
      <c r="I4" s="3030"/>
      <c r="J4" s="3519" t="s">
        <v>2829</v>
      </c>
      <c r="K4" s="3520"/>
      <c r="L4" s="3042"/>
      <c r="M4" s="3042"/>
      <c r="N4" s="3042"/>
      <c r="O4" s="3042"/>
      <c r="P4" s="3042"/>
      <c r="Q4" s="3043"/>
      <c r="R4" s="3044">
        <f>SUM(L4:Q4)</f>
        <v>0</v>
      </c>
      <c r="S4" s="3022"/>
      <c r="T4" s="3022"/>
      <c r="U4" s="3022"/>
      <c r="V4" s="3030"/>
    </row>
    <row r="5" spans="1:22" s="3034" customFormat="1" ht="13.15" customHeight="1" thickBot="1">
      <c r="A5" s="3045" t="s">
        <v>2830</v>
      </c>
      <c r="B5" s="3046"/>
      <c r="C5" s="3025"/>
      <c r="D5" s="3047"/>
      <c r="E5" s="3027"/>
      <c r="F5" s="3027"/>
      <c r="G5" s="3028"/>
      <c r="H5" s="3029"/>
      <c r="I5" s="3030"/>
      <c r="J5" s="3048" t="s">
        <v>2831</v>
      </c>
      <c r="K5" s="3049"/>
      <c r="L5" s="3049"/>
      <c r="M5" s="3050"/>
      <c r="N5" s="3050"/>
      <c r="O5" s="3050"/>
      <c r="P5" s="3050"/>
      <c r="Q5" s="3050"/>
      <c r="R5" s="3033">
        <f>SUM(R14,R19,R24,R25,R27,R28)</f>
        <v>0</v>
      </c>
      <c r="S5" s="3022"/>
      <c r="T5" s="3022" t="s">
        <v>2832</v>
      </c>
      <c r="U5" s="3022" t="e">
        <f>ROUND(R5*10000/365/R3,1)</f>
        <v>#DIV/0!</v>
      </c>
      <c r="V5" s="3030"/>
    </row>
    <row r="6" spans="1:22" s="3034" customFormat="1" ht="13.15" customHeight="1" thickBot="1">
      <c r="A6" s="3521" t="s">
        <v>2833</v>
      </c>
      <c r="B6" s="3522"/>
      <c r="C6" s="3523"/>
      <c r="D6" s="3051"/>
      <c r="E6" s="3052"/>
      <c r="F6" s="3053"/>
      <c r="G6" s="3054"/>
      <c r="H6" s="3029"/>
      <c r="I6" s="3030"/>
      <c r="J6" s="3524">
        <v>1</v>
      </c>
      <c r="K6" s="3525" t="s">
        <v>2834</v>
      </c>
      <c r="L6" s="3055" t="s">
        <v>2835</v>
      </c>
      <c r="M6" s="3056" t="s">
        <v>2836</v>
      </c>
      <c r="N6" s="3056" t="s">
        <v>2837</v>
      </c>
      <c r="O6" s="3056" t="s">
        <v>2838</v>
      </c>
      <c r="P6" s="3056" t="s">
        <v>2839</v>
      </c>
      <c r="Q6" s="3056" t="s">
        <v>2840</v>
      </c>
      <c r="R6" s="3039" t="s">
        <v>2841</v>
      </c>
      <c r="S6" s="3022"/>
      <c r="T6" s="3022" t="s">
        <v>2842</v>
      </c>
      <c r="U6" s="3022"/>
      <c r="V6" s="3030"/>
    </row>
    <row r="7" spans="1:22" s="3034" customFormat="1" ht="13.15" customHeight="1">
      <c r="A7" s="3057" t="s">
        <v>2843</v>
      </c>
      <c r="B7" s="3058"/>
      <c r="C7" s="3059"/>
      <c r="D7" s="3060">
        <f>SUM(D9,D10,D11,D17,0)</f>
        <v>0</v>
      </c>
      <c r="E7" s="3061" t="e">
        <f>E9+E10+E11+E17</f>
        <v>#DIV/0!</v>
      </c>
      <c r="F7" s="3062"/>
      <c r="G7" s="3063"/>
      <c r="H7" s="3029"/>
      <c r="I7" s="3030"/>
      <c r="J7" s="3524"/>
      <c r="K7" s="3526"/>
      <c r="L7" s="3064" t="s">
        <v>2844</v>
      </c>
      <c r="M7" s="3065"/>
      <c r="N7" s="3041"/>
      <c r="O7" s="3066"/>
      <c r="P7" s="3066"/>
      <c r="Q7" s="3067">
        <v>365</v>
      </c>
      <c r="R7" s="3068">
        <f>ROUND(M7*N7*O7*P7*Q7/10000,0)</f>
        <v>0</v>
      </c>
      <c r="S7" s="3022"/>
      <c r="T7" s="3022" t="s">
        <v>2845</v>
      </c>
      <c r="U7" s="3022"/>
      <c r="V7" s="3030"/>
    </row>
    <row r="8" spans="1:22" s="3034" customFormat="1" ht="13.15" customHeight="1">
      <c r="A8" s="3069" t="s">
        <v>2846</v>
      </c>
      <c r="B8" s="3528" t="s">
        <v>2847</v>
      </c>
      <c r="C8" s="3529"/>
      <c r="D8" s="3070" t="s">
        <v>2848</v>
      </c>
      <c r="E8" s="3071" t="s">
        <v>2849</v>
      </c>
      <c r="F8" s="3072" t="s">
        <v>2850</v>
      </c>
      <c r="G8" s="3073"/>
      <c r="H8" s="3029"/>
      <c r="I8" s="3030"/>
      <c r="J8" s="3524"/>
      <c r="K8" s="3526"/>
      <c r="L8" s="3064" t="s">
        <v>2851</v>
      </c>
      <c r="M8" s="3065"/>
      <c r="N8" s="3041"/>
      <c r="O8" s="3066"/>
      <c r="P8" s="3066"/>
      <c r="Q8" s="3067">
        <v>365</v>
      </c>
      <c r="R8" s="3068">
        <f t="shared" ref="R8:R13" si="0">ROUND(M8*N8*O8*P8*Q8/10000,0)</f>
        <v>0</v>
      </c>
      <c r="S8" s="3022"/>
      <c r="T8" s="3022" t="s">
        <v>2852</v>
      </c>
      <c r="U8" s="3022"/>
      <c r="V8" s="3030"/>
    </row>
    <row r="9" spans="1:22" s="3034" customFormat="1" ht="13.15" customHeight="1">
      <c r="A9" s="3069">
        <v>1</v>
      </c>
      <c r="B9" s="3528" t="s">
        <v>2853</v>
      </c>
      <c r="C9" s="3529"/>
      <c r="D9" s="3070">
        <f>ROUND(D6*E9,0)</f>
        <v>0</v>
      </c>
      <c r="E9" s="3074"/>
      <c r="F9" s="3075" t="s">
        <v>2854</v>
      </c>
      <c r="G9" s="3054"/>
      <c r="H9" s="3029"/>
      <c r="I9" s="3030"/>
      <c r="J9" s="3524"/>
      <c r="K9" s="3526"/>
      <c r="L9" s="3064" t="s">
        <v>2855</v>
      </c>
      <c r="M9" s="3065"/>
      <c r="N9" s="3041"/>
      <c r="O9" s="3066"/>
      <c r="P9" s="3066"/>
      <c r="Q9" s="3067">
        <v>365</v>
      </c>
      <c r="R9" s="3068">
        <f t="shared" si="0"/>
        <v>0</v>
      </c>
      <c r="S9" s="3022"/>
      <c r="T9" s="3022"/>
      <c r="U9" s="3022"/>
      <c r="V9" s="3030"/>
    </row>
    <row r="10" spans="1:22" s="3034" customFormat="1" ht="13.15" customHeight="1">
      <c r="A10" s="3069">
        <v>2</v>
      </c>
      <c r="B10" s="3528" t="s">
        <v>2856</v>
      </c>
      <c r="C10" s="3529"/>
      <c r="D10" s="3070">
        <f>ROUND(D6*E10,0)</f>
        <v>0</v>
      </c>
      <c r="E10" s="3074"/>
      <c r="F10" s="3075" t="s">
        <v>2857</v>
      </c>
      <c r="G10" s="3054"/>
      <c r="H10" s="3029"/>
      <c r="I10" s="3030"/>
      <c r="J10" s="3524"/>
      <c r="K10" s="3526"/>
      <c r="L10" s="3064" t="s">
        <v>2858</v>
      </c>
      <c r="M10" s="3065"/>
      <c r="N10" s="3041"/>
      <c r="O10" s="3066"/>
      <c r="P10" s="3066"/>
      <c r="Q10" s="3067">
        <v>365</v>
      </c>
      <c r="R10" s="3068">
        <f t="shared" si="0"/>
        <v>0</v>
      </c>
      <c r="S10" s="3022"/>
      <c r="T10" s="3022"/>
      <c r="U10" s="3022"/>
      <c r="V10" s="3030"/>
    </row>
    <row r="11" spans="1:22" s="3034" customFormat="1" ht="13.15" customHeight="1">
      <c r="A11" s="3069">
        <v>3</v>
      </c>
      <c r="B11" s="3528" t="s">
        <v>2859</v>
      </c>
      <c r="C11" s="3529"/>
      <c r="D11" s="3070">
        <f>D12+D14+D15+D16</f>
        <v>0</v>
      </c>
      <c r="E11" s="3076" t="e">
        <f>D11/D6</f>
        <v>#DIV/0!</v>
      </c>
      <c r="F11" s="3072"/>
      <c r="G11" s="3073"/>
      <c r="H11" s="3029"/>
      <c r="I11" s="3030"/>
      <c r="J11" s="3524"/>
      <c r="K11" s="3526"/>
      <c r="L11" s="3064" t="s">
        <v>2860</v>
      </c>
      <c r="M11" s="3065"/>
      <c r="N11" s="3041"/>
      <c r="O11" s="3066"/>
      <c r="P11" s="3066"/>
      <c r="Q11" s="3067">
        <v>365</v>
      </c>
      <c r="R11" s="3068">
        <f t="shared" si="0"/>
        <v>0</v>
      </c>
      <c r="S11" s="3022"/>
      <c r="T11" s="3022"/>
      <c r="U11" s="3022"/>
      <c r="V11" s="3030"/>
    </row>
    <row r="12" spans="1:22" s="3034" customFormat="1" ht="13.15" customHeight="1">
      <c r="A12" s="3077" t="s">
        <v>2861</v>
      </c>
      <c r="B12" s="3530" t="s">
        <v>2862</v>
      </c>
      <c r="C12" s="3531"/>
      <c r="D12" s="3078">
        <f>ROUND(D13*1.2%*(1-30%),0)</f>
        <v>0</v>
      </c>
      <c r="E12" s="3079">
        <v>1.2E-2</v>
      </c>
      <c r="F12" s="3072" t="s">
        <v>2863</v>
      </c>
      <c r="G12" s="3073"/>
      <c r="H12" s="3029"/>
      <c r="I12" s="3030"/>
      <c r="J12" s="3524"/>
      <c r="K12" s="3526"/>
      <c r="L12" s="3064" t="s">
        <v>2864</v>
      </c>
      <c r="M12" s="3065"/>
      <c r="N12" s="3041"/>
      <c r="O12" s="3066"/>
      <c r="P12" s="3066"/>
      <c r="Q12" s="3067">
        <v>365</v>
      </c>
      <c r="R12" s="3068">
        <f t="shared" si="0"/>
        <v>0</v>
      </c>
      <c r="S12" s="3022"/>
      <c r="T12" s="3022"/>
      <c r="U12" s="3022"/>
      <c r="V12" s="3030"/>
    </row>
    <row r="13" spans="1:22" s="3034" customFormat="1" ht="13.15" customHeight="1">
      <c r="A13" s="3077"/>
      <c r="B13" s="3080"/>
      <c r="C13" s="3081" t="s">
        <v>2865</v>
      </c>
      <c r="D13" s="3082"/>
      <c r="E13" s="3083"/>
      <c r="F13" s="3072"/>
      <c r="G13" s="3073"/>
      <c r="H13" s="3029"/>
      <c r="I13" s="3030"/>
      <c r="J13" s="3524"/>
      <c r="K13" s="3526"/>
      <c r="L13" s="3064" t="s">
        <v>2866</v>
      </c>
      <c r="M13" s="3065"/>
      <c r="N13" s="3041"/>
      <c r="O13" s="3066"/>
      <c r="P13" s="3066"/>
      <c r="Q13" s="3067">
        <v>365</v>
      </c>
      <c r="R13" s="3068">
        <f t="shared" si="0"/>
        <v>0</v>
      </c>
      <c r="S13" s="3022"/>
      <c r="T13" s="3022"/>
      <c r="U13" s="3022"/>
      <c r="V13" s="3030"/>
    </row>
    <row r="14" spans="1:22" s="3034" customFormat="1" ht="13.15" customHeight="1">
      <c r="A14" s="3077" t="s">
        <v>2867</v>
      </c>
      <c r="B14" s="3530" t="s">
        <v>2868</v>
      </c>
      <c r="C14" s="3531"/>
      <c r="D14" s="3078">
        <f>ROUND(E14*B5/10000,0)</f>
        <v>0</v>
      </c>
      <c r="E14" s="3067"/>
      <c r="F14" s="3072" t="s">
        <v>2869</v>
      </c>
      <c r="G14" s="3073"/>
      <c r="H14" s="3029"/>
      <c r="I14" s="3030"/>
      <c r="J14" s="3524"/>
      <c r="K14" s="3527"/>
      <c r="L14" s="3084" t="s">
        <v>2870</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2871</v>
      </c>
      <c r="B15" s="3530" t="s">
        <v>2872</v>
      </c>
      <c r="C15" s="3531"/>
      <c r="D15" s="3078">
        <f>ROUND(D6*E15,0)</f>
        <v>0</v>
      </c>
      <c r="E15" s="3079">
        <v>5.5E-2</v>
      </c>
      <c r="F15" s="3072" t="s">
        <v>2873</v>
      </c>
      <c r="G15" s="3054"/>
      <c r="H15" s="3029"/>
      <c r="I15" s="3030"/>
      <c r="J15" s="3524">
        <v>2</v>
      </c>
      <c r="K15" s="3525" t="s">
        <v>2874</v>
      </c>
      <c r="L15" s="3064" t="s">
        <v>2875</v>
      </c>
      <c r="M15" s="3065" t="s">
        <v>2876</v>
      </c>
      <c r="N15" s="3065" t="s">
        <v>2877</v>
      </c>
      <c r="O15" s="3066" t="s">
        <v>2878</v>
      </c>
      <c r="P15" s="3066" t="s">
        <v>2840</v>
      </c>
      <c r="Q15" s="3041" t="s">
        <v>2879</v>
      </c>
      <c r="R15" s="3088" t="s">
        <v>2841</v>
      </c>
      <c r="S15" s="3022"/>
      <c r="T15" s="3022"/>
      <c r="U15" s="3022"/>
      <c r="V15" s="3030"/>
    </row>
    <row r="16" spans="1:22" s="3034" customFormat="1" ht="13.15" customHeight="1">
      <c r="A16" s="3077" t="s">
        <v>2880</v>
      </c>
      <c r="B16" s="3530" t="s">
        <v>2881</v>
      </c>
      <c r="C16" s="3531"/>
      <c r="D16" s="3089">
        <f>D6*E16</f>
        <v>0</v>
      </c>
      <c r="E16" s="3090"/>
      <c r="F16" s="3075" t="s">
        <v>2882</v>
      </c>
      <c r="G16" s="3054"/>
      <c r="H16" s="3029"/>
      <c r="I16" s="3030"/>
      <c r="J16" s="3524"/>
      <c r="K16" s="3526"/>
      <c r="L16" s="3064" t="s">
        <v>2883</v>
      </c>
      <c r="M16" s="3065"/>
      <c r="N16" s="3065"/>
      <c r="O16" s="3066"/>
      <c r="P16" s="3067">
        <v>365</v>
      </c>
      <c r="Q16" s="3041"/>
      <c r="R16" s="3088">
        <f>ROUND(M16*N16*O16*P16/10000,0)</f>
        <v>0</v>
      </c>
      <c r="S16" s="3022"/>
      <c r="T16" s="3022"/>
      <c r="U16" s="3022"/>
      <c r="V16" s="3030"/>
    </row>
    <row r="17" spans="1:22" s="3034" customFormat="1" ht="13.15" customHeight="1" thickBot="1">
      <c r="A17" s="3091">
        <v>4</v>
      </c>
      <c r="B17" s="3532" t="s">
        <v>2884</v>
      </c>
      <c r="C17" s="3533"/>
      <c r="D17" s="3092">
        <f>ROUND(D6*E17,0)</f>
        <v>0</v>
      </c>
      <c r="E17" s="3093"/>
      <c r="F17" s="3094" t="s">
        <v>2885</v>
      </c>
      <c r="G17" s="3054"/>
      <c r="H17" s="3029"/>
      <c r="I17" s="3030"/>
      <c r="J17" s="3524"/>
      <c r="K17" s="3526"/>
      <c r="L17" s="3064" t="s">
        <v>2886</v>
      </c>
      <c r="M17" s="3065"/>
      <c r="N17" s="3065"/>
      <c r="O17" s="3066"/>
      <c r="P17" s="3067">
        <v>365</v>
      </c>
      <c r="Q17" s="3041"/>
      <c r="R17" s="3088">
        <f>ROUND(M17*N17*O17*P17/10000,0)</f>
        <v>0</v>
      </c>
      <c r="S17" s="3022"/>
      <c r="T17" s="3022"/>
      <c r="U17" s="3022"/>
      <c r="V17" s="3030"/>
    </row>
    <row r="18" spans="1:22" s="3034" customFormat="1" ht="13.15" customHeight="1" thickBot="1">
      <c r="A18" s="3057" t="s">
        <v>2887</v>
      </c>
      <c r="B18" s="3058"/>
      <c r="C18" s="3058"/>
      <c r="D18" s="3095">
        <f>ROUND(D6*E18,0)</f>
        <v>0</v>
      </c>
      <c r="E18" s="3096"/>
      <c r="F18" s="3097" t="s">
        <v>2888</v>
      </c>
      <c r="G18" s="3054"/>
      <c r="H18" s="3029"/>
      <c r="I18" s="3030"/>
      <c r="J18" s="3524"/>
      <c r="K18" s="3526"/>
      <c r="L18" s="3064" t="s">
        <v>2889</v>
      </c>
      <c r="M18" s="3065"/>
      <c r="N18" s="3065"/>
      <c r="O18" s="3066"/>
      <c r="P18" s="3067">
        <v>365</v>
      </c>
      <c r="Q18" s="3041"/>
      <c r="R18" s="3088">
        <f>ROUND(M18*N18*O18*P18/10000,0)</f>
        <v>0</v>
      </c>
      <c r="S18" s="3022"/>
      <c r="T18" s="3022"/>
      <c r="U18" s="3022"/>
      <c r="V18" s="3030"/>
    </row>
    <row r="19" spans="1:22" s="3034" customFormat="1" ht="13.15" customHeight="1" thickBot="1">
      <c r="A19" s="3098" t="s">
        <v>2890</v>
      </c>
      <c r="B19" s="3052"/>
      <c r="C19" s="3052"/>
      <c r="D19" s="3052"/>
      <c r="E19" s="3052"/>
      <c r="F19" s="3053"/>
      <c r="G19" s="3073"/>
      <c r="H19" s="3029"/>
      <c r="I19" s="3030"/>
      <c r="J19" s="3524"/>
      <c r="K19" s="3527"/>
      <c r="L19" s="3084" t="s">
        <v>2870</v>
      </c>
      <c r="M19" s="3085"/>
      <c r="N19" s="3085">
        <f>SUM(N16:N18)</f>
        <v>0</v>
      </c>
      <c r="O19" s="3086"/>
      <c r="P19" s="3099" t="s">
        <v>2934</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24">
        <v>3</v>
      </c>
      <c r="K20" s="3525" t="s">
        <v>2891</v>
      </c>
      <c r="L20" s="3064" t="s">
        <v>2892</v>
      </c>
      <c r="M20" s="3065" t="s">
        <v>2893</v>
      </c>
      <c r="N20" s="3102" t="s">
        <v>2894</v>
      </c>
      <c r="O20" s="3066" t="s">
        <v>2895</v>
      </c>
      <c r="P20" s="3067" t="s">
        <v>2896</v>
      </c>
      <c r="Q20" s="3041" t="s">
        <v>2897</v>
      </c>
      <c r="R20" s="3088" t="s">
        <v>2898</v>
      </c>
      <c r="S20" s="3103"/>
      <c r="T20" s="3103"/>
      <c r="U20" s="3103"/>
      <c r="V20" s="3030"/>
    </row>
    <row r="21" spans="1:22" s="3034" customFormat="1" ht="13.15" customHeight="1">
      <c r="A21" s="3057"/>
      <c r="B21" s="3058"/>
      <c r="C21" s="3104" t="s">
        <v>2899</v>
      </c>
      <c r="D21" s="3105" t="s">
        <v>2900</v>
      </c>
      <c r="E21" s="3106" t="s">
        <v>2901</v>
      </c>
      <c r="F21" s="3101"/>
      <c r="G21" s="3073"/>
      <c r="H21" s="3029"/>
      <c r="I21" s="3030"/>
      <c r="J21" s="3524"/>
      <c r="K21" s="3526"/>
      <c r="L21" s="3064" t="s">
        <v>2902</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2903</v>
      </c>
      <c r="D22" s="3109" t="s">
        <v>2904</v>
      </c>
      <c r="E22" s="3110" t="s">
        <v>2905</v>
      </c>
      <c r="F22" s="3101"/>
      <c r="G22" s="3111"/>
      <c r="H22" s="3029"/>
      <c r="I22" s="3030"/>
      <c r="J22" s="3524"/>
      <c r="K22" s="3526"/>
      <c r="L22" s="3064" t="s">
        <v>2906</v>
      </c>
      <c r="M22" s="3065"/>
      <c r="N22" s="3065"/>
      <c r="O22" s="3066"/>
      <c r="P22" s="3067">
        <v>365</v>
      </c>
      <c r="Q22" s="3041"/>
      <c r="R22" s="3107">
        <f>ROUND(M22*N22*O22*P22/10000,0)</f>
        <v>0</v>
      </c>
      <c r="S22" s="3103"/>
      <c r="T22" s="3103"/>
      <c r="U22" s="3103"/>
      <c r="V22" s="3030"/>
    </row>
    <row r="23" spans="1:22" s="3034" customFormat="1" ht="13.15" customHeight="1">
      <c r="A23" s="3112">
        <v>1</v>
      </c>
      <c r="B23" s="3113" t="s">
        <v>2907</v>
      </c>
      <c r="C23" s="3114">
        <f>D6</f>
        <v>0</v>
      </c>
      <c r="D23" s="3115">
        <f>C23*(1+D24)</f>
        <v>0</v>
      </c>
      <c r="E23" s="3116">
        <f>D23*(1+E24)</f>
        <v>0</v>
      </c>
      <c r="F23" s="3117"/>
      <c r="G23" s="3118"/>
      <c r="H23" s="3029"/>
      <c r="I23" s="3030"/>
      <c r="J23" s="3524"/>
      <c r="K23" s="3526"/>
      <c r="L23" s="3064" t="s">
        <v>2908</v>
      </c>
      <c r="M23" s="3065"/>
      <c r="N23" s="3065"/>
      <c r="O23" s="3066"/>
      <c r="P23" s="3067">
        <v>365</v>
      </c>
      <c r="Q23" s="3041"/>
      <c r="R23" s="3107">
        <f>ROUND(M23*N23*O23*P23/10000,0)</f>
        <v>0</v>
      </c>
      <c r="S23" s="3022"/>
      <c r="T23" s="3022"/>
      <c r="U23" s="3022"/>
      <c r="V23" s="3030"/>
    </row>
    <row r="24" spans="1:22" s="3034" customFormat="1" ht="13.15" customHeight="1">
      <c r="A24" s="3119"/>
      <c r="B24" s="3120" t="s">
        <v>2909</v>
      </c>
      <c r="C24" s="3121"/>
      <c r="D24" s="3122"/>
      <c r="E24" s="3123"/>
      <c r="F24" s="3124"/>
      <c r="G24" s="3118"/>
      <c r="H24" s="3029"/>
      <c r="I24" s="3030"/>
      <c r="J24" s="3524"/>
      <c r="K24" s="3527"/>
      <c r="L24" s="3084" t="s">
        <v>2870</v>
      </c>
      <c r="M24" s="3085">
        <f>SUM(M21:M23)</f>
        <v>0</v>
      </c>
      <c r="N24" s="3085"/>
      <c r="O24" s="3086"/>
      <c r="P24" s="3099" t="s">
        <v>2934</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2910</v>
      </c>
      <c r="L25" s="3127"/>
      <c r="M25" s="3127"/>
      <c r="N25" s="3127"/>
      <c r="O25" s="3127"/>
      <c r="P25" s="3128"/>
      <c r="Q25" s="3129">
        <v>0</v>
      </c>
      <c r="R25" s="3100">
        <f>ROUND(R14*Q25,0)</f>
        <v>0</v>
      </c>
      <c r="S25" s="3022"/>
      <c r="T25" s="3022"/>
      <c r="U25" s="3022"/>
      <c r="V25" s="3130"/>
    </row>
    <row r="26" spans="1:22" s="3131" customFormat="1" ht="13.15" customHeight="1">
      <c r="A26" s="3112">
        <v>2</v>
      </c>
      <c r="B26" s="3113" t="s">
        <v>2911</v>
      </c>
      <c r="C26" s="3114">
        <f>D7</f>
        <v>0</v>
      </c>
      <c r="D26" s="3115">
        <f>D23*D27</f>
        <v>0</v>
      </c>
      <c r="E26" s="3116">
        <f>E23*E27</f>
        <v>0</v>
      </c>
      <c r="F26" s="3117"/>
      <c r="G26" s="3118"/>
      <c r="H26" s="3029"/>
      <c r="I26" s="3030"/>
      <c r="J26" s="3534">
        <v>5</v>
      </c>
      <c r="K26" s="3132" t="s">
        <v>2912</v>
      </c>
      <c r="L26" s="3133"/>
      <c r="M26" s="3134"/>
      <c r="N26" s="3135" t="s">
        <v>2913</v>
      </c>
      <c r="O26" s="3135" t="s">
        <v>2914</v>
      </c>
      <c r="P26" s="3136" t="s">
        <v>2915</v>
      </c>
      <c r="Q26" s="3136" t="s">
        <v>2916</v>
      </c>
      <c r="R26" s="3039" t="s">
        <v>2841</v>
      </c>
      <c r="S26" s="3137"/>
      <c r="T26" s="3137"/>
      <c r="U26" s="3137"/>
      <c r="V26" s="3130"/>
    </row>
    <row r="27" spans="1:22" s="3034" customFormat="1" ht="13.15" customHeight="1">
      <c r="A27" s="3119"/>
      <c r="B27" s="3120" t="s">
        <v>2917</v>
      </c>
      <c r="C27" s="3138" t="e">
        <f>E7</f>
        <v>#DIV/0!</v>
      </c>
      <c r="D27" s="3122"/>
      <c r="E27" s="3123"/>
      <c r="F27" s="3124"/>
      <c r="G27" s="3118"/>
      <c r="H27" s="3139"/>
      <c r="I27" s="3130"/>
      <c r="J27" s="3535"/>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2918</v>
      </c>
      <c r="F28" s="3124"/>
      <c r="G28" s="3111"/>
      <c r="H28" s="3139"/>
      <c r="I28" s="3130"/>
      <c r="J28" s="3145">
        <v>6</v>
      </c>
      <c r="K28" s="3146" t="s">
        <v>2919</v>
      </c>
      <c r="L28" s="3147" t="s">
        <v>2920</v>
      </c>
      <c r="M28" s="3148"/>
      <c r="N28" s="3147" t="s">
        <v>2921</v>
      </c>
      <c r="O28" s="3149"/>
      <c r="P28" s="3147" t="s">
        <v>2922</v>
      </c>
      <c r="Q28" s="3150">
        <v>1.4999999999999999E-2</v>
      </c>
      <c r="R28" s="3151"/>
      <c r="S28" s="3103"/>
      <c r="T28" s="3103"/>
      <c r="U28" s="3103"/>
      <c r="V28" s="3130"/>
    </row>
    <row r="29" spans="1:22" s="3131" customFormat="1" ht="13.15" customHeight="1">
      <c r="A29" s="3112">
        <v>3</v>
      </c>
      <c r="B29" s="3113" t="s">
        <v>2923</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2917</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2924</v>
      </c>
      <c r="K31" s="3020"/>
      <c r="L31" s="3020"/>
      <c r="M31" s="3020"/>
      <c r="N31" s="3020"/>
      <c r="O31" s="3020"/>
      <c r="P31" s="3020"/>
      <c r="Q31" s="3020"/>
      <c r="R31" s="3021"/>
      <c r="S31" s="3103"/>
      <c r="T31" s="3022"/>
      <c r="U31" s="3022"/>
      <c r="V31" s="3130"/>
    </row>
    <row r="32" spans="1:22" s="3131" customFormat="1" ht="13.15" customHeight="1">
      <c r="A32" s="3112">
        <v>4</v>
      </c>
      <c r="B32" s="3113" t="s">
        <v>2925</v>
      </c>
      <c r="C32" s="3114">
        <f>C23-C26-C29</f>
        <v>0</v>
      </c>
      <c r="D32" s="3115">
        <f>D23-D26-D29</f>
        <v>0</v>
      </c>
      <c r="E32" s="3116">
        <f>E23-E26-E29</f>
        <v>0</v>
      </c>
      <c r="F32" s="3117"/>
      <c r="G32" s="3111"/>
      <c r="H32" s="3029"/>
      <c r="I32" s="3030"/>
      <c r="J32" s="3517" t="s">
        <v>2817</v>
      </c>
      <c r="K32" s="3518"/>
      <c r="L32" s="3031" t="s">
        <v>2818</v>
      </c>
      <c r="M32" s="3031" t="s">
        <v>2819</v>
      </c>
      <c r="N32" s="3031" t="s">
        <v>2820</v>
      </c>
      <c r="O32" s="3031" t="s">
        <v>2821</v>
      </c>
      <c r="P32" s="3031" t="s">
        <v>2822</v>
      </c>
      <c r="Q32" s="3032" t="s">
        <v>2823</v>
      </c>
      <c r="R32" s="3154" t="s">
        <v>2824</v>
      </c>
      <c r="S32" s="3103"/>
      <c r="T32" s="3022"/>
      <c r="U32" s="3022"/>
      <c r="V32" s="3130"/>
    </row>
    <row r="33" spans="1:23" s="3034" customFormat="1" ht="13.15" customHeight="1">
      <c r="A33" s="3112"/>
      <c r="B33" s="3113"/>
      <c r="C33" s="3114"/>
      <c r="D33" s="3155"/>
      <c r="E33" s="3156"/>
      <c r="F33" s="3117"/>
      <c r="G33" s="3111"/>
      <c r="H33" s="3139"/>
      <c r="I33" s="3130"/>
      <c r="J33" s="3519" t="s">
        <v>2827</v>
      </c>
      <c r="K33" s="3520"/>
      <c r="L33" s="3037"/>
      <c r="M33" s="3037"/>
      <c r="N33" s="3037"/>
      <c r="O33" s="3037"/>
      <c r="P33" s="3037"/>
      <c r="Q33" s="3038"/>
      <c r="R33" s="3157">
        <f>SUM(L33:Q33)</f>
        <v>0</v>
      </c>
      <c r="S33" s="3103"/>
      <c r="T33" s="3022"/>
      <c r="U33" s="3022"/>
      <c r="V33" s="3030"/>
    </row>
    <row r="34" spans="1:23" s="3034" customFormat="1" ht="13.15" customHeight="1">
      <c r="A34" s="3112">
        <v>5</v>
      </c>
      <c r="B34" s="3113" t="s">
        <v>2926</v>
      </c>
      <c r="C34" s="3158"/>
      <c r="D34" s="3159"/>
      <c r="E34" s="3160"/>
      <c r="F34" s="3117"/>
      <c r="G34" s="3111"/>
      <c r="H34" s="3139"/>
      <c r="I34" s="3130"/>
      <c r="J34" s="3519" t="s">
        <v>2829</v>
      </c>
      <c r="K34" s="3520"/>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2927</v>
      </c>
      <c r="C35" s="3162"/>
      <c r="D35" s="3163"/>
      <c r="E35" s="3164"/>
      <c r="F35" s="3117"/>
      <c r="G35" s="3165"/>
      <c r="H35" s="3029"/>
      <c r="I35" s="3130"/>
      <c r="J35" s="3048" t="s">
        <v>2831</v>
      </c>
      <c r="K35" s="3049"/>
      <c r="L35" s="3049"/>
      <c r="M35" s="3050"/>
      <c r="N35" s="3050"/>
      <c r="O35" s="3050"/>
      <c r="P35" s="3050"/>
      <c r="Q35" s="3050"/>
      <c r="R35" s="3166">
        <f>R40+R41+R43</f>
        <v>0</v>
      </c>
      <c r="S35" s="3103"/>
      <c r="T35" s="3022" t="s">
        <v>2832</v>
      </c>
      <c r="U35" s="3022"/>
      <c r="V35" s="3030"/>
    </row>
    <row r="36" spans="1:23" s="3034" customFormat="1" ht="13.15" customHeight="1" thickBot="1">
      <c r="A36" s="3112">
        <v>7</v>
      </c>
      <c r="B36" s="3167" t="s">
        <v>2928</v>
      </c>
      <c r="C36" s="3168"/>
      <c r="D36" s="3169"/>
      <c r="E36" s="3170"/>
      <c r="F36" s="3171">
        <f>C36+D36+E36</f>
        <v>0</v>
      </c>
      <c r="G36" s="3111"/>
      <c r="H36" s="3029"/>
      <c r="I36" s="3030"/>
      <c r="J36" s="3524">
        <v>1</v>
      </c>
      <c r="K36" s="3525" t="s">
        <v>2929</v>
      </c>
      <c r="L36" s="3055"/>
      <c r="M36" s="3056"/>
      <c r="N36" s="3056"/>
      <c r="O36" s="3056"/>
      <c r="P36" s="3056"/>
      <c r="Q36" s="3056"/>
      <c r="R36" s="3039" t="s">
        <v>2841</v>
      </c>
      <c r="S36" s="3103"/>
      <c r="T36" s="3022" t="s">
        <v>2842</v>
      </c>
      <c r="U36" s="3022"/>
      <c r="V36" s="3030"/>
    </row>
    <row r="37" spans="1:23" s="3034" customFormat="1" ht="13.15" customHeight="1">
      <c r="A37" s="3112"/>
      <c r="B37" s="3113"/>
      <c r="C37" s="3113"/>
      <c r="D37" s="3113"/>
      <c r="E37" s="3113"/>
      <c r="F37" s="3117"/>
      <c r="G37" s="3111"/>
      <c r="H37" s="3029"/>
      <c r="I37" s="3030"/>
      <c r="J37" s="3524"/>
      <c r="K37" s="3526"/>
      <c r="L37" s="3064"/>
      <c r="M37" s="3065"/>
      <c r="N37" s="3041"/>
      <c r="O37" s="3066"/>
      <c r="P37" s="3066"/>
      <c r="Q37" s="3067"/>
      <c r="R37" s="3068"/>
      <c r="S37" s="3103"/>
      <c r="T37" s="3022" t="s">
        <v>2845</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24"/>
      <c r="K38" s="3526"/>
      <c r="L38" s="3064"/>
      <c r="M38" s="3065"/>
      <c r="N38" s="3041"/>
      <c r="O38" s="3066"/>
      <c r="P38" s="3066"/>
      <c r="Q38" s="3067"/>
      <c r="R38" s="3068"/>
      <c r="S38" s="3103"/>
      <c r="T38" s="3022" t="s">
        <v>2852</v>
      </c>
      <c r="U38" s="3022"/>
      <c r="V38" s="3030"/>
    </row>
    <row r="39" spans="1:23" s="3034" customFormat="1" ht="13.15" customHeight="1">
      <c r="A39" s="3112">
        <v>9</v>
      </c>
      <c r="B39" s="3113" t="s">
        <v>2930</v>
      </c>
      <c r="C39" s="3078" t="e">
        <f>C38</f>
        <v>#DIV/0!</v>
      </c>
      <c r="D39" s="3113">
        <f>D38/(1+D34)^C36</f>
        <v>0</v>
      </c>
      <c r="E39" s="3113">
        <f>E38/(1+E34)^(C36+D36)</f>
        <v>0</v>
      </c>
      <c r="F39" s="3117"/>
      <c r="G39" s="3172"/>
      <c r="H39" s="3029"/>
      <c r="I39" s="3030"/>
      <c r="J39" s="3524"/>
      <c r="K39" s="3526"/>
      <c r="L39" s="3064"/>
      <c r="M39" s="3065"/>
      <c r="N39" s="3041"/>
      <c r="O39" s="3066"/>
      <c r="P39" s="3066"/>
      <c r="Q39" s="3067"/>
      <c r="R39" s="3068"/>
      <c r="S39" s="3103"/>
      <c r="T39" s="3022"/>
      <c r="U39" s="3022"/>
      <c r="V39" s="3030"/>
    </row>
    <row r="40" spans="1:23" s="3034" customFormat="1" ht="13.15" customHeight="1">
      <c r="A40" s="3173">
        <v>10</v>
      </c>
      <c r="B40" s="3113" t="s">
        <v>2931</v>
      </c>
      <c r="C40" s="3174" t="e">
        <f>C39+D39+E39</f>
        <v>#DIV/0!</v>
      </c>
      <c r="D40" s="3175"/>
      <c r="E40" s="3175"/>
      <c r="F40" s="3176"/>
      <c r="G40" s="3111"/>
      <c r="H40" s="3029"/>
      <c r="I40" s="3030"/>
      <c r="J40" s="3524"/>
      <c r="K40" s="3527"/>
      <c r="L40" s="3084" t="s">
        <v>2870</v>
      </c>
      <c r="M40" s="3085"/>
      <c r="N40" s="3085"/>
      <c r="O40" s="3086"/>
      <c r="P40" s="3086"/>
      <c r="Q40" s="3087"/>
      <c r="R40" s="3033">
        <f>SUM(R37:R39)</f>
        <v>0</v>
      </c>
      <c r="S40" s="3103"/>
      <c r="T40" s="3022"/>
      <c r="U40" s="3022"/>
      <c r="V40" s="3030"/>
    </row>
    <row r="41" spans="1:23" s="3034" customFormat="1" ht="13.15" customHeight="1" thickBot="1">
      <c r="A41" s="3177">
        <v>11</v>
      </c>
      <c r="B41" s="3178" t="s">
        <v>2932</v>
      </c>
      <c r="C41" s="3178" t="e">
        <f>ROUND(C40*10000/B4,0)</f>
        <v>#DIV/0!</v>
      </c>
      <c r="D41" s="3179"/>
      <c r="E41" s="3179"/>
      <c r="F41" s="3180"/>
      <c r="G41" s="3181"/>
      <c r="H41" s="3029"/>
      <c r="I41" s="3030"/>
      <c r="J41" s="3125">
        <v>2</v>
      </c>
      <c r="K41" s="3126" t="s">
        <v>2910</v>
      </c>
      <c r="L41" s="3127"/>
      <c r="M41" s="3127"/>
      <c r="N41" s="3127"/>
      <c r="O41" s="3127"/>
      <c r="P41" s="3128"/>
      <c r="Q41" s="3129"/>
      <c r="R41" s="3100">
        <f>ROUND(R40*Q41,0)</f>
        <v>0</v>
      </c>
      <c r="S41" s="3103"/>
      <c r="T41" s="3022"/>
      <c r="U41" s="3137"/>
      <c r="V41" s="3030"/>
    </row>
    <row r="42" spans="1:23" s="3034" customFormat="1" ht="13.15" customHeight="1">
      <c r="G42" s="3181"/>
      <c r="H42" s="3029"/>
      <c r="I42" s="3030"/>
      <c r="J42" s="3534">
        <v>3</v>
      </c>
      <c r="K42" s="3132" t="s">
        <v>2912</v>
      </c>
      <c r="L42" s="3133"/>
      <c r="M42" s="3134"/>
      <c r="N42" s="3135" t="s">
        <v>2913</v>
      </c>
      <c r="O42" s="3135" t="s">
        <v>2914</v>
      </c>
      <c r="P42" s="3136" t="s">
        <v>2915</v>
      </c>
      <c r="Q42" s="3136" t="s">
        <v>2916</v>
      </c>
      <c r="R42" s="3039" t="s">
        <v>2841</v>
      </c>
      <c r="S42" s="3137"/>
      <c r="T42" s="3137"/>
      <c r="U42" s="3022"/>
      <c r="V42" s="3030"/>
    </row>
    <row r="43" spans="1:23" ht="13.15" customHeight="1">
      <c r="A43" s="3034"/>
      <c r="B43" s="3034"/>
      <c r="C43" s="3034"/>
      <c r="D43" s="3034"/>
      <c r="E43" s="3034"/>
      <c r="F43" s="3034"/>
      <c r="I43" s="3017"/>
      <c r="J43" s="3535"/>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2919</v>
      </c>
      <c r="L44" s="3185" t="s">
        <v>2920</v>
      </c>
      <c r="M44" s="3148"/>
      <c r="N44" s="3185" t="s">
        <v>2921</v>
      </c>
      <c r="O44" s="3148"/>
      <c r="P44" s="3185" t="s">
        <v>2922</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2101</v>
      </c>
      <c r="B1" s="2005"/>
      <c r="C1" s="2005"/>
      <c r="D1" s="2005"/>
      <c r="E1" s="2006"/>
      <c r="F1" s="2886"/>
      <c r="G1" s="1625"/>
      <c r="H1" s="1625"/>
      <c r="I1" s="1625"/>
      <c r="J1" s="1625"/>
      <c r="K1" s="1625"/>
      <c r="L1" s="1625"/>
      <c r="M1" s="1625"/>
      <c r="N1" s="1625"/>
      <c r="O1" s="1625"/>
      <c r="P1" s="1625"/>
      <c r="Q1" s="1625"/>
      <c r="R1" s="1625"/>
      <c r="S1" s="1625"/>
    </row>
    <row r="2" spans="1:22" ht="15.75">
      <c r="A2" s="2007" t="s">
        <v>1902</v>
      </c>
      <c r="B2" s="2008">
        <f ca="1">SUMIF(B6:B13,"&lt;&gt;#ref!",B6:B13)</f>
        <v>1442</v>
      </c>
      <c r="C2" s="2009" t="s">
        <v>2094</v>
      </c>
      <c r="D2" s="2010" t="s">
        <v>2095</v>
      </c>
      <c r="E2" s="2783">
        <f>SUM(E6:E13)</f>
        <v>373.88</v>
      </c>
      <c r="F2" s="2886"/>
      <c r="G2" s="1625"/>
      <c r="H2" s="1625"/>
      <c r="I2" s="1625"/>
      <c r="J2" s="1625"/>
      <c r="K2" s="1625"/>
      <c r="L2" s="1625"/>
      <c r="M2" s="1625"/>
      <c r="N2" s="1625"/>
      <c r="O2" s="1625"/>
      <c r="P2" s="1625"/>
      <c r="Q2" s="1625"/>
      <c r="R2" s="1625"/>
      <c r="S2" s="1625"/>
    </row>
    <row r="3" spans="1:22" ht="15.75">
      <c r="A3" s="2007" t="s">
        <v>1115</v>
      </c>
      <c r="B3" s="2777">
        <f ca="1">ROUND(B2*10000/E2,0)</f>
        <v>38569</v>
      </c>
      <c r="C3" s="2009" t="s">
        <v>2102</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2096</v>
      </c>
      <c r="B5" s="3536" t="s">
        <v>2097</v>
      </c>
      <c r="C5" s="3537"/>
      <c r="D5" s="2887"/>
      <c r="E5" s="2011" t="s">
        <v>2098</v>
      </c>
      <c r="F5" s="2012" t="s">
        <v>2099</v>
      </c>
      <c r="G5" s="1625"/>
      <c r="H5" s="1625"/>
      <c r="I5" s="1625"/>
      <c r="J5" s="1625"/>
      <c r="K5" s="1625"/>
      <c r="L5" s="1625"/>
      <c r="M5" s="1625"/>
      <c r="N5" s="1625"/>
      <c r="O5" s="1625"/>
      <c r="P5" s="1625"/>
      <c r="Q5" s="1625"/>
      <c r="R5" s="1625"/>
      <c r="S5" s="1625"/>
    </row>
    <row r="6" spans="1:22">
      <c r="A6" s="2780" t="str">
        <f>'数据-取费表'!AN6</f>
        <v>收益法 (元)816</v>
      </c>
      <c r="B6" s="2778">
        <f ca="1">IF(F6="是",'数据-取费表'!AO6,0)</f>
        <v>872</v>
      </c>
      <c r="C6" s="2009" t="s">
        <v>2094</v>
      </c>
      <c r="D6" s="2888"/>
      <c r="E6" s="2782">
        <f>IF(OR(A6=0,F6="否"),0,'数据-取费表'!K6+'数据-取费表'!S6)</f>
        <v>226.16</v>
      </c>
      <c r="F6" s="2013" t="s">
        <v>2100</v>
      </c>
      <c r="G6" s="1625"/>
      <c r="H6" s="1625"/>
      <c r="I6" s="1625"/>
      <c r="J6" s="1625"/>
      <c r="K6" s="1625"/>
      <c r="L6" s="1625"/>
      <c r="M6" s="1625"/>
      <c r="N6" s="1625"/>
      <c r="O6" s="1625"/>
      <c r="P6" s="1625"/>
      <c r="Q6" s="1625"/>
      <c r="R6" s="1625"/>
      <c r="S6" s="1625"/>
    </row>
    <row r="7" spans="1:22">
      <c r="A7" s="2780" t="str">
        <f>'数据-取费表'!AN7</f>
        <v>收益法 (元)817</v>
      </c>
      <c r="B7" s="2778">
        <f ca="1">IF(F7="是",'数据-取费表'!AO7,0)</f>
        <v>570</v>
      </c>
      <c r="C7" s="2009" t="s">
        <v>2094</v>
      </c>
      <c r="D7" s="2888"/>
      <c r="E7" s="2782">
        <f>IF(OR(A7=0,F7="否"),0,'数据-取费表'!K7+'数据-取费表'!S7)</f>
        <v>147.72</v>
      </c>
      <c r="F7" s="2013" t="s">
        <v>2100</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2094</v>
      </c>
      <c r="D8" s="2888"/>
      <c r="E8" s="2782">
        <f>IF(OR(A8=0,F8="否"),0,'数据-取费表'!K8+'数据-取费表'!S8)</f>
        <v>0</v>
      </c>
      <c r="F8" s="2013" t="s">
        <v>2100</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2094</v>
      </c>
      <c r="D9" s="2888"/>
      <c r="E9" s="2782">
        <f>IF(OR(A9=0,F9="否"),0,'数据-取费表'!K9+'数据-取费表'!S9)</f>
        <v>0</v>
      </c>
      <c r="F9" s="2013" t="s">
        <v>2100</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2094</v>
      </c>
      <c r="D10" s="2888"/>
      <c r="E10" s="2782">
        <f>IF(OR(A10=0,F10="否"),0,'数据-取费表'!K10+'数据-取费表'!S10)</f>
        <v>0</v>
      </c>
      <c r="F10" s="2013" t="s">
        <v>2100</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2094</v>
      </c>
      <c r="D11" s="2888"/>
      <c r="E11" s="2782">
        <f>IF(OR(A11=0,F11="否"),0,'数据-取费表'!K11+'数据-取费表'!S11)</f>
        <v>0</v>
      </c>
      <c r="F11" s="2013" t="s">
        <v>2100</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2094</v>
      </c>
      <c r="D12" s="2888"/>
      <c r="E12" s="2782">
        <f>IF(OR(A12=0,F12="否"),0,'数据-取费表'!K12+'数据-取费表'!S12)</f>
        <v>0</v>
      </c>
      <c r="F12" s="2013" t="s">
        <v>2100</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2094</v>
      </c>
      <c r="D13" s="2889"/>
      <c r="E13" s="2782">
        <f>IF(OR(A13=0,F13="否"),0,'数据-取费表'!K13+'数据-取费表'!S13)</f>
        <v>0</v>
      </c>
      <c r="F13" s="2013"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1331</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1332</v>
      </c>
    </row>
    <row r="6" spans="1:1" ht="18.75">
      <c r="A6" s="1618" t="s">
        <v>1333</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估价对象为北京市房地产，为所有。根据《国有土地使用证》[]，估价对象（分摊）出让国有建设用地使用权面积为0平方米，建筑面积为373.88平方米。</v>
      </c>
    </row>
    <row r="8" spans="1:1" ht="57.75">
      <c r="A8" s="1619" t="s">
        <v>1334</v>
      </c>
    </row>
    <row r="9" spans="1:1" ht="18.75">
      <c r="A9" s="1618" t="s">
        <v>1335</v>
      </c>
    </row>
    <row r="10" spans="1:1" ht="54">
      <c r="A10" s="1616" t="str">
        <f>"估价对象为"&amp;项目基本情况!S2&amp;IF(结果表816!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估价对象为北京市房地产,属开发建设的，该项目尚在开发建设中。根据《国有土地使用证》[]，估价对象（分摊）出让国有建设用地使用权面积为0平方米，规划建筑面积为373.88平方米。</v>
      </c>
    </row>
    <row r="11" spans="1:1" ht="76.5">
      <c r="A11" s="1619" t="s">
        <v>1336</v>
      </c>
    </row>
    <row r="12" spans="1:1" ht="18.75">
      <c r="A12" s="1617" t="s">
        <v>1337</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1338</v>
      </c>
    </row>
    <row r="15" spans="1:1" ht="18">
      <c r="A15" s="1622" t="str">
        <f>TEXT(项目基本情况!D3,"yyyy年m月d日;;")&amp;IF(项目基本情况!D3=项目基本情况!B3,"（评估专业人员实地查勘之日）","")</f>
        <v>2022年6月21日（评估专业人员实地查勘之日）</v>
      </c>
    </row>
    <row r="16" spans="1:1" ht="18.75">
      <c r="A16" s="1621" t="s">
        <v>1339</v>
      </c>
    </row>
    <row r="17" spans="1:1" ht="75">
      <c r="A17" s="1616" t="s">
        <v>1340</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1329</v>
      </c>
    </row>
    <row r="24" spans="1:1" ht="18">
      <c r="A24" s="1623" t="str">
        <f>"本次评估采用的主估价方法为"&amp;结果表816!K4&amp;"和"&amp;结果表816!L4&amp;"。"</f>
        <v>本次评估采用的主估价方法为比较法和收益法。</v>
      </c>
    </row>
    <row r="25" spans="1:1" ht="18">
      <c r="A25" s="1623"/>
    </row>
    <row r="26" spans="1:1" ht="18.75">
      <c r="A26" s="1624" t="s">
        <v>1330</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2104</v>
      </c>
      <c r="C1" s="1359" t="s">
        <v>2105</v>
      </c>
      <c r="D1" s="1346"/>
      <c r="E1" s="2495"/>
      <c r="F1" s="2016" t="s">
        <v>2106</v>
      </c>
      <c r="G1" s="1356" t="s">
        <v>2107</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1114</v>
      </c>
      <c r="B2" s="1279" t="e">
        <f ca="1">IF(C2="——",ROUND(C49*D3/10000,0),ROUND(C49*D3/10000,0)-D2)</f>
        <v>#DIV/0!</v>
      </c>
      <c r="C2" s="2018"/>
      <c r="D2" s="1228" t="e">
        <f ca="1">SUMIF(INDIRECT("'"&amp;F2&amp;"'"&amp;"!A:A"),"承租人权益价值",INDIRECT("'"&amp;F2&amp;"'"&amp;"!c:c"))</f>
        <v>#REF!</v>
      </c>
      <c r="E2" s="2019" t="s">
        <v>2108</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1115</v>
      </c>
      <c r="B3" s="359" t="e">
        <f ca="1">IF(C2="——",C49,ROUND(B2*10000/D3,0))</f>
        <v>#DIV/0!</v>
      </c>
      <c r="C3" s="360" t="s">
        <v>2109</v>
      </c>
      <c r="D3" s="359">
        <f>IF(D1="",'数据-汇总表'!E3,SUMIF('数据-汇总表'!$C19:$C33,D1,'数据-汇总表'!$E19:$E33))</f>
        <v>373.88</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2110</v>
      </c>
      <c r="B4" s="362"/>
      <c r="C4" s="3487" t="s">
        <v>2111</v>
      </c>
      <c r="D4" s="3488"/>
      <c r="E4" s="3489" t="s">
        <v>2112</v>
      </c>
      <c r="F4" s="3490"/>
      <c r="G4" s="3487" t="s">
        <v>2113</v>
      </c>
      <c r="H4" s="3488"/>
      <c r="I4" s="3487" t="s">
        <v>2114</v>
      </c>
      <c r="J4" s="3488"/>
      <c r="K4" s="2026" t="s">
        <v>2115</v>
      </c>
      <c r="L4" s="2894"/>
      <c r="M4" s="2895"/>
      <c r="N4" s="2895"/>
      <c r="O4" s="2895"/>
      <c r="P4" s="3541" t="s">
        <v>2116</v>
      </c>
      <c r="Q4" s="3542"/>
      <c r="R4" s="3539" t="s">
        <v>2112</v>
      </c>
      <c r="S4" s="3540"/>
      <c r="T4" s="3539" t="s">
        <v>2113</v>
      </c>
      <c r="U4" s="3540"/>
      <c r="V4" s="3500" t="s">
        <v>2114</v>
      </c>
      <c r="W4" s="3500"/>
      <c r="X4" s="1490"/>
      <c r="Y4" s="3539" t="s">
        <v>2116</v>
      </c>
      <c r="Z4" s="3540"/>
      <c r="AA4" s="3538" t="s">
        <v>2112</v>
      </c>
      <c r="AB4" s="3538" t="s">
        <v>2113</v>
      </c>
      <c r="AC4" s="3538" t="s">
        <v>2114</v>
      </c>
    </row>
    <row r="5" spans="1:29" ht="15">
      <c r="A5" s="364"/>
      <c r="B5" s="365"/>
      <c r="C5" s="3480" t="s">
        <v>2117</v>
      </c>
      <c r="D5" s="3477"/>
      <c r="E5" s="3474" t="s">
        <v>2118</v>
      </c>
      <c r="F5" s="3475"/>
      <c r="G5" s="3480" t="s">
        <v>2119</v>
      </c>
      <c r="H5" s="3477"/>
      <c r="I5" s="3480" t="s">
        <v>2120</v>
      </c>
      <c r="J5" s="3477"/>
      <c r="K5" s="2027"/>
      <c r="L5" s="2894"/>
      <c r="M5" s="2895"/>
      <c r="N5" s="2895"/>
      <c r="O5" s="2895"/>
      <c r="P5" s="3543"/>
      <c r="Q5" s="3494"/>
      <c r="R5" s="3472"/>
      <c r="S5" s="3473"/>
      <c r="T5" s="3472"/>
      <c r="U5" s="3473"/>
      <c r="V5" s="3500"/>
      <c r="W5" s="3500"/>
      <c r="X5" s="1490"/>
      <c r="Y5" s="3472"/>
      <c r="Z5" s="3473"/>
      <c r="AA5" s="3466"/>
      <c r="AB5" s="3466"/>
      <c r="AC5" s="3466"/>
    </row>
    <row r="6" spans="1:29" ht="15.75" thickBot="1">
      <c r="A6" s="366"/>
      <c r="B6" s="367"/>
      <c r="C6" s="3478" t="s">
        <v>2121</v>
      </c>
      <c r="D6" s="3479"/>
      <c r="E6" s="3481" t="s">
        <v>2121</v>
      </c>
      <c r="F6" s="3482"/>
      <c r="G6" s="3478" t="s">
        <v>2121</v>
      </c>
      <c r="H6" s="3479"/>
      <c r="I6" s="3478" t="s">
        <v>2121</v>
      </c>
      <c r="J6" s="3479"/>
      <c r="K6" s="2027" t="s">
        <v>2122</v>
      </c>
      <c r="L6" s="2894"/>
      <c r="M6" s="2895"/>
      <c r="N6" s="2895"/>
      <c r="O6" s="2895"/>
      <c r="P6" s="3544"/>
      <c r="Q6" s="3496"/>
      <c r="R6" s="3472"/>
      <c r="S6" s="3473"/>
      <c r="T6" s="3497"/>
      <c r="U6" s="3498"/>
      <c r="V6" s="3500"/>
      <c r="W6" s="3500"/>
      <c r="X6" s="1490"/>
      <c r="Y6" s="3497"/>
      <c r="Z6" s="3498"/>
      <c r="AA6" s="3467"/>
      <c r="AB6" s="3467"/>
      <c r="AC6" s="3467"/>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68" t="s">
        <v>2124</v>
      </c>
      <c r="Q7" s="3502"/>
      <c r="R7" s="710" t="s">
        <v>23</v>
      </c>
      <c r="S7" s="711">
        <f t="shared" ref="S7:S15" si="0">F7</f>
        <v>0</v>
      </c>
      <c r="T7" s="710" t="s">
        <v>23</v>
      </c>
      <c r="U7" s="711">
        <f t="shared" ref="U7:U15" si="1">H7</f>
        <v>0</v>
      </c>
      <c r="V7" s="710" t="s">
        <v>23</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68" t="s">
        <v>2127</v>
      </c>
      <c r="Q8" s="3469"/>
      <c r="R8" s="710" t="s">
        <v>23</v>
      </c>
      <c r="S8" s="711">
        <f t="shared" si="0"/>
        <v>0</v>
      </c>
      <c r="T8" s="710" t="s">
        <v>23</v>
      </c>
      <c r="U8" s="711">
        <f t="shared" si="1"/>
        <v>0</v>
      </c>
      <c r="V8" s="710" t="s">
        <v>23</v>
      </c>
      <c r="W8" s="711">
        <f t="shared" si="2"/>
        <v>0</v>
      </c>
      <c r="X8" s="712"/>
      <c r="Y8" s="3468" t="s">
        <v>2127</v>
      </c>
      <c r="Z8" s="3469"/>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83"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83"/>
      <c r="Q11" s="1478" t="str">
        <f t="shared" si="6"/>
        <v>容积率</v>
      </c>
      <c r="R11" s="710" t="s">
        <v>21</v>
      </c>
      <c r="S11" s="711" t="e">
        <f t="shared" si="0"/>
        <v>#N/A</v>
      </c>
      <c r="T11" s="710" t="s">
        <v>21</v>
      </c>
      <c r="U11" s="711" t="e">
        <f t="shared" si="1"/>
        <v>#N/A</v>
      </c>
      <c r="V11" s="710" t="s">
        <v>21</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83"/>
      <c r="Q12" s="1478">
        <f t="shared" si="6"/>
        <v>111</v>
      </c>
      <c r="R12" s="710" t="s">
        <v>21</v>
      </c>
      <c r="S12" s="711">
        <f t="shared" si="0"/>
        <v>100</v>
      </c>
      <c r="T12" s="710" t="s">
        <v>21</v>
      </c>
      <c r="U12" s="711">
        <f t="shared" si="1"/>
        <v>100</v>
      </c>
      <c r="V12" s="710" t="s">
        <v>21</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83"/>
      <c r="Q13" s="1478">
        <f t="shared" si="6"/>
        <v>111</v>
      </c>
      <c r="R13" s="710" t="s">
        <v>21</v>
      </c>
      <c r="S13" s="711">
        <f t="shared" si="0"/>
        <v>100</v>
      </c>
      <c r="T13" s="710" t="s">
        <v>21</v>
      </c>
      <c r="U13" s="711">
        <f t="shared" si="1"/>
        <v>100</v>
      </c>
      <c r="V13" s="710" t="s">
        <v>21</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83"/>
      <c r="Q14" s="1478">
        <f t="shared" si="6"/>
        <v>111</v>
      </c>
      <c r="R14" s="710" t="s">
        <v>21</v>
      </c>
      <c r="S14" s="711">
        <f t="shared" si="0"/>
        <v>100</v>
      </c>
      <c r="T14" s="710" t="s">
        <v>21</v>
      </c>
      <c r="U14" s="711">
        <f t="shared" si="1"/>
        <v>100</v>
      </c>
      <c r="V14" s="710" t="s">
        <v>21</v>
      </c>
      <c r="W14" s="711">
        <f t="shared" si="2"/>
        <v>100</v>
      </c>
      <c r="X14" s="712"/>
      <c r="Y14" s="3433"/>
      <c r="Z14" s="55">
        <f t="shared" si="7"/>
        <v>111</v>
      </c>
      <c r="AA14" s="713">
        <f t="shared" si="3"/>
        <v>1</v>
      </c>
      <c r="AB14" s="713">
        <f t="shared" si="4"/>
        <v>1</v>
      </c>
      <c r="AC14" s="713">
        <f t="shared" si="5"/>
        <v>1</v>
      </c>
    </row>
    <row r="15" spans="1:29" ht="99.75">
      <c r="A15" s="399" t="s">
        <v>2134</v>
      </c>
      <c r="B15" s="65" t="s">
        <v>1697</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3" t="s">
        <v>2135</v>
      </c>
      <c r="Q15" s="1487" t="str">
        <f t="shared" si="6"/>
        <v>居住社区成熟度</v>
      </c>
      <c r="R15" s="714" t="s">
        <v>21</v>
      </c>
      <c r="S15" s="715">
        <f t="shared" si="0"/>
        <v>100</v>
      </c>
      <c r="T15" s="714" t="s">
        <v>21</v>
      </c>
      <c r="U15" s="715">
        <f t="shared" si="1"/>
        <v>100</v>
      </c>
      <c r="V15" s="714" t="s">
        <v>21</v>
      </c>
      <c r="W15" s="715">
        <f t="shared" si="2"/>
        <v>100</v>
      </c>
      <c r="X15" s="1490"/>
      <c r="Y15" s="3505" t="s">
        <v>2135</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4"/>
      <c r="Q16" s="1487"/>
      <c r="R16" s="714"/>
      <c r="S16" s="715"/>
      <c r="T16" s="714"/>
      <c r="U16" s="715"/>
      <c r="V16" s="714"/>
      <c r="W16" s="715"/>
      <c r="X16" s="1490"/>
      <c r="Y16" s="3506"/>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4"/>
      <c r="Q17" s="1487" t="str">
        <f>B17</f>
        <v>交通便捷度</v>
      </c>
      <c r="R17" s="714" t="s">
        <v>21</v>
      </c>
      <c r="S17" s="715">
        <f>F17</f>
        <v>100</v>
      </c>
      <c r="T17" s="714" t="s">
        <v>21</v>
      </c>
      <c r="U17" s="715">
        <f>H17</f>
        <v>100</v>
      </c>
      <c r="V17" s="714" t="s">
        <v>21</v>
      </c>
      <c r="W17" s="715">
        <f>J17</f>
        <v>100</v>
      </c>
      <c r="X17" s="1490"/>
      <c r="Y17" s="350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4"/>
      <c r="Q18" s="1487"/>
      <c r="R18" s="714"/>
      <c r="S18" s="715"/>
      <c r="T18" s="714"/>
      <c r="U18" s="715"/>
      <c r="V18" s="714"/>
      <c r="W18" s="715"/>
      <c r="X18" s="1490"/>
      <c r="Y18" s="3506"/>
      <c r="Z18" s="1491"/>
      <c r="AA18" s="1488">
        <v>1</v>
      </c>
      <c r="AB18" s="1488">
        <v>1</v>
      </c>
      <c r="AC18" s="1488">
        <v>1</v>
      </c>
    </row>
    <row r="19" spans="1:29" ht="42.75">
      <c r="A19" s="387"/>
      <c r="B19" s="410" t="s">
        <v>1698</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4"/>
      <c r="Q19" s="1487" t="str">
        <f>B19</f>
        <v>公共配套设施</v>
      </c>
      <c r="R19" s="714" t="s">
        <v>21</v>
      </c>
      <c r="S19" s="715">
        <f>F19</f>
        <v>100</v>
      </c>
      <c r="T19" s="714" t="s">
        <v>21</v>
      </c>
      <c r="U19" s="715">
        <f>H19</f>
        <v>100</v>
      </c>
      <c r="V19" s="714" t="s">
        <v>21</v>
      </c>
      <c r="W19" s="715">
        <f>J19</f>
        <v>100</v>
      </c>
      <c r="X19" s="1490"/>
      <c r="Y19" s="350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4"/>
      <c r="Q20" s="1487"/>
      <c r="R20" s="714"/>
      <c r="S20" s="715"/>
      <c r="T20" s="714"/>
      <c r="U20" s="715"/>
      <c r="V20" s="714"/>
      <c r="W20" s="715"/>
      <c r="X20" s="1490"/>
      <c r="Y20" s="3506"/>
      <c r="Z20" s="1491"/>
      <c r="AA20" s="1488">
        <v>1</v>
      </c>
      <c r="AB20" s="1488">
        <v>1</v>
      </c>
      <c r="AC20" s="1488">
        <v>1</v>
      </c>
    </row>
    <row r="21" spans="1:29" ht="28.5">
      <c r="A21" s="387"/>
      <c r="B21" s="1246" t="s">
        <v>1700</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4"/>
      <c r="Q21" s="1487" t="str">
        <f>B21</f>
        <v>基础设施水平</v>
      </c>
      <c r="R21" s="714" t="s">
        <v>17</v>
      </c>
      <c r="S21" s="715">
        <f>F21</f>
        <v>100</v>
      </c>
      <c r="T21" s="714" t="s">
        <v>17</v>
      </c>
      <c r="U21" s="715">
        <f>H21</f>
        <v>100</v>
      </c>
      <c r="V21" s="714" t="s">
        <v>17</v>
      </c>
      <c r="W21" s="715">
        <f>J21</f>
        <v>100</v>
      </c>
      <c r="X21" s="1490"/>
      <c r="Y21" s="350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4"/>
      <c r="Q22" s="1487"/>
      <c r="R22" s="714"/>
      <c r="S22" s="715"/>
      <c r="T22" s="714"/>
      <c r="U22" s="715"/>
      <c r="V22" s="714"/>
      <c r="W22" s="715"/>
      <c r="X22" s="1490"/>
      <c r="Y22" s="3506"/>
      <c r="Z22" s="1491"/>
      <c r="AA22" s="1488">
        <v>1</v>
      </c>
      <c r="AB22" s="1488">
        <v>1</v>
      </c>
      <c r="AC22" s="1488">
        <v>1</v>
      </c>
    </row>
    <row r="23" spans="1:29" ht="57">
      <c r="A23" s="387"/>
      <c r="B23" s="410" t="s">
        <v>1701</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4"/>
      <c r="Q23" s="1487" t="str">
        <f>B23</f>
        <v>自然及人文环境</v>
      </c>
      <c r="R23" s="714" t="s">
        <v>21</v>
      </c>
      <c r="S23" s="715">
        <f>F23</f>
        <v>100</v>
      </c>
      <c r="T23" s="714" t="s">
        <v>21</v>
      </c>
      <c r="U23" s="715">
        <f>H23</f>
        <v>100</v>
      </c>
      <c r="V23" s="714" t="s">
        <v>21</v>
      </c>
      <c r="W23" s="715">
        <f>J23</f>
        <v>100</v>
      </c>
      <c r="X23" s="1490"/>
      <c r="Y23" s="350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4"/>
      <c r="Q24" s="1487"/>
      <c r="R24" s="714"/>
      <c r="S24" s="715"/>
      <c r="T24" s="714"/>
      <c r="U24" s="715"/>
      <c r="V24" s="714"/>
      <c r="W24" s="715"/>
      <c r="X24" s="1490"/>
      <c r="Y24" s="3506"/>
      <c r="Z24" s="1491"/>
      <c r="AA24" s="1488">
        <v>1</v>
      </c>
      <c r="AB24" s="1488">
        <v>1</v>
      </c>
      <c r="AC24" s="1488">
        <v>1</v>
      </c>
    </row>
    <row r="25" spans="1:29" ht="15">
      <c r="A25" s="387"/>
      <c r="B25" s="381" t="s">
        <v>2136</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6"/>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4"/>
      <c r="Q26" s="1487" t="str">
        <f t="shared" si="11"/>
        <v>朝向</v>
      </c>
      <c r="R26" s="714" t="s">
        <v>21</v>
      </c>
      <c r="S26" s="715">
        <f t="shared" si="12"/>
        <v>100</v>
      </c>
      <c r="T26" s="714" t="s">
        <v>21</v>
      </c>
      <c r="U26" s="715">
        <f t="shared" si="13"/>
        <v>100</v>
      </c>
      <c r="V26" s="714" t="s">
        <v>21</v>
      </c>
      <c r="W26" s="715">
        <f t="shared" si="14"/>
        <v>100</v>
      </c>
      <c r="X26" s="1490"/>
      <c r="Y26" s="350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4"/>
      <c r="Q27" s="1478">
        <f t="shared" si="11"/>
        <v>111</v>
      </c>
      <c r="R27" s="710" t="s">
        <v>21</v>
      </c>
      <c r="S27" s="711">
        <f t="shared" si="12"/>
        <v>100</v>
      </c>
      <c r="T27" s="710" t="s">
        <v>21</v>
      </c>
      <c r="U27" s="711">
        <f t="shared" si="13"/>
        <v>100</v>
      </c>
      <c r="V27" s="710" t="s">
        <v>21</v>
      </c>
      <c r="W27" s="711">
        <f t="shared" si="14"/>
        <v>100</v>
      </c>
      <c r="X27" s="712"/>
      <c r="Y27" s="350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4"/>
      <c r="Q28" s="1487">
        <f t="shared" si="11"/>
        <v>111</v>
      </c>
      <c r="R28" s="714" t="s">
        <v>21</v>
      </c>
      <c r="S28" s="715">
        <f t="shared" si="12"/>
        <v>100</v>
      </c>
      <c r="T28" s="714" t="s">
        <v>21</v>
      </c>
      <c r="U28" s="715">
        <f t="shared" si="13"/>
        <v>100</v>
      </c>
      <c r="V28" s="714" t="s">
        <v>21</v>
      </c>
      <c r="W28" s="715">
        <f t="shared" si="14"/>
        <v>100</v>
      </c>
      <c r="X28" s="1490"/>
      <c r="Y28" s="350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4"/>
      <c r="Q29" s="1487">
        <f t="shared" si="11"/>
        <v>111</v>
      </c>
      <c r="R29" s="714" t="s">
        <v>21</v>
      </c>
      <c r="S29" s="715">
        <f t="shared" si="12"/>
        <v>100</v>
      </c>
      <c r="T29" s="714" t="s">
        <v>21</v>
      </c>
      <c r="U29" s="715">
        <f t="shared" si="13"/>
        <v>100</v>
      </c>
      <c r="V29" s="714" t="s">
        <v>21</v>
      </c>
      <c r="W29" s="715">
        <f t="shared" si="14"/>
        <v>100</v>
      </c>
      <c r="X29" s="1490"/>
      <c r="Y29" s="350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4"/>
      <c r="Q30" s="1487">
        <f t="shared" si="11"/>
        <v>111</v>
      </c>
      <c r="R30" s="714" t="s">
        <v>21</v>
      </c>
      <c r="S30" s="715">
        <f t="shared" si="12"/>
        <v>100</v>
      </c>
      <c r="T30" s="714" t="s">
        <v>21</v>
      </c>
      <c r="U30" s="715">
        <f t="shared" si="13"/>
        <v>100</v>
      </c>
      <c r="V30" s="714" t="s">
        <v>21</v>
      </c>
      <c r="W30" s="715">
        <f t="shared" si="14"/>
        <v>100</v>
      </c>
      <c r="X30" s="1490"/>
      <c r="Y30" s="350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4"/>
      <c r="Q31" s="1487">
        <f t="shared" si="11"/>
        <v>111</v>
      </c>
      <c r="R31" s="714" t="s">
        <v>21</v>
      </c>
      <c r="S31" s="715">
        <f t="shared" si="12"/>
        <v>100</v>
      </c>
      <c r="T31" s="714" t="s">
        <v>21</v>
      </c>
      <c r="U31" s="715">
        <f t="shared" si="13"/>
        <v>100</v>
      </c>
      <c r="V31" s="714" t="s">
        <v>21</v>
      </c>
      <c r="W31" s="715">
        <f t="shared" si="14"/>
        <v>100</v>
      </c>
      <c r="X31" s="1490"/>
      <c r="Y31" s="3506"/>
      <c r="Z31" s="1491">
        <f t="shared" si="18"/>
        <v>111</v>
      </c>
      <c r="AA31" s="1488">
        <f t="shared" si="15"/>
        <v>1</v>
      </c>
      <c r="AB31" s="1488">
        <f t="shared" si="16"/>
        <v>1</v>
      </c>
      <c r="AC31" s="1488">
        <f t="shared" si="17"/>
        <v>1</v>
      </c>
    </row>
    <row r="32" spans="1:29" ht="15">
      <c r="A32" s="399" t="s">
        <v>2138</v>
      </c>
      <c r="B32" s="67" t="s">
        <v>2139</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07" t="s">
        <v>2140</v>
      </c>
      <c r="Q32" s="1487" t="str">
        <f t="shared" si="11"/>
        <v>建筑类型</v>
      </c>
      <c r="R32" s="714" t="s">
        <v>21</v>
      </c>
      <c r="S32" s="715">
        <f t="shared" si="12"/>
        <v>100</v>
      </c>
      <c r="T32" s="714" t="s">
        <v>21</v>
      </c>
      <c r="U32" s="715">
        <f t="shared" si="13"/>
        <v>100</v>
      </c>
      <c r="V32" s="714" t="s">
        <v>21</v>
      </c>
      <c r="W32" s="715">
        <f t="shared" si="14"/>
        <v>100</v>
      </c>
      <c r="X32" s="1490"/>
      <c r="Y32" s="3510"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08"/>
      <c r="Q33" s="716" t="str">
        <f t="shared" si="11"/>
        <v>项目建筑规模</v>
      </c>
      <c r="R33" s="717" t="s">
        <v>21</v>
      </c>
      <c r="S33" s="718" t="e">
        <f t="shared" si="12"/>
        <v>#N/A</v>
      </c>
      <c r="T33" s="717" t="s">
        <v>21</v>
      </c>
      <c r="U33" s="718" t="e">
        <f t="shared" si="13"/>
        <v>#N/A</v>
      </c>
      <c r="V33" s="717" t="s">
        <v>21</v>
      </c>
      <c r="W33" s="718" t="e">
        <f t="shared" si="14"/>
        <v>#N/A</v>
      </c>
      <c r="X33" s="719"/>
      <c r="Y33" s="3510"/>
      <c r="Z33" s="720" t="str">
        <f t="shared" si="18"/>
        <v>项目建筑规模</v>
      </c>
      <c r="AA33" s="1488" t="e">
        <f t="shared" si="15"/>
        <v>#N/A</v>
      </c>
      <c r="AB33" s="1488" t="e">
        <f t="shared" si="16"/>
        <v>#N/A</v>
      </c>
      <c r="AC33" s="1488" t="e">
        <f t="shared" si="17"/>
        <v>#N/A</v>
      </c>
    </row>
    <row r="34" spans="1:29" ht="15">
      <c r="A34" s="431"/>
      <c r="B34" s="381" t="s">
        <v>2142</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08"/>
      <c r="Q34" s="1487" t="str">
        <f t="shared" si="11"/>
        <v>建筑结构</v>
      </c>
      <c r="R34" s="714" t="s">
        <v>21</v>
      </c>
      <c r="S34" s="715">
        <f t="shared" si="12"/>
        <v>100</v>
      </c>
      <c r="T34" s="714" t="s">
        <v>21</v>
      </c>
      <c r="U34" s="715">
        <f t="shared" si="13"/>
        <v>100</v>
      </c>
      <c r="V34" s="714" t="s">
        <v>21</v>
      </c>
      <c r="W34" s="715">
        <f t="shared" si="14"/>
        <v>100</v>
      </c>
      <c r="X34" s="1490"/>
      <c r="Y34" s="3510"/>
      <c r="Z34" s="1491" t="str">
        <f t="shared" si="18"/>
        <v>建筑结构</v>
      </c>
      <c r="AA34" s="1488">
        <f t="shared" si="15"/>
        <v>1</v>
      </c>
      <c r="AB34" s="1488">
        <f t="shared" si="16"/>
        <v>1</v>
      </c>
      <c r="AC34" s="1488">
        <f t="shared" si="17"/>
        <v>1</v>
      </c>
    </row>
    <row r="35" spans="1:29" ht="15">
      <c r="A35" s="431"/>
      <c r="B35" s="381" t="s">
        <v>2143</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08"/>
      <c r="Q35" s="1487" t="str">
        <f t="shared" si="11"/>
        <v>建筑品质</v>
      </c>
      <c r="R35" s="714" t="s">
        <v>21</v>
      </c>
      <c r="S35" s="715">
        <f t="shared" si="12"/>
        <v>100</v>
      </c>
      <c r="T35" s="714" t="s">
        <v>21</v>
      </c>
      <c r="U35" s="715">
        <f t="shared" si="13"/>
        <v>100</v>
      </c>
      <c r="V35" s="714" t="s">
        <v>21</v>
      </c>
      <c r="W35" s="715">
        <f t="shared" si="14"/>
        <v>100</v>
      </c>
      <c r="X35" s="1490"/>
      <c r="Y35" s="3510"/>
      <c r="Z35" s="1491" t="str">
        <f t="shared" si="18"/>
        <v>建筑品质</v>
      </c>
      <c r="AA35" s="1488">
        <f t="shared" si="15"/>
        <v>1</v>
      </c>
      <c r="AB35" s="1488">
        <f t="shared" si="16"/>
        <v>1</v>
      </c>
      <c r="AC35" s="1488">
        <f t="shared" si="17"/>
        <v>1</v>
      </c>
    </row>
    <row r="36" spans="1:29" ht="15">
      <c r="A36" s="431"/>
      <c r="B36" s="381" t="s">
        <v>2144</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08"/>
      <c r="Q36" s="1487" t="str">
        <f t="shared" si="11"/>
        <v>公共部分装修</v>
      </c>
      <c r="R36" s="714" t="s">
        <v>21</v>
      </c>
      <c r="S36" s="715">
        <f t="shared" si="12"/>
        <v>100</v>
      </c>
      <c r="T36" s="714" t="s">
        <v>21</v>
      </c>
      <c r="U36" s="715">
        <f t="shared" si="13"/>
        <v>100</v>
      </c>
      <c r="V36" s="714" t="s">
        <v>21</v>
      </c>
      <c r="W36" s="715">
        <f t="shared" si="14"/>
        <v>100</v>
      </c>
      <c r="X36" s="1490"/>
      <c r="Y36" s="3510"/>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08"/>
      <c r="Q37" s="1478" t="str">
        <f t="shared" si="11"/>
        <v>成新度</v>
      </c>
      <c r="R37" s="710" t="s">
        <v>21</v>
      </c>
      <c r="S37" s="711" t="e">
        <f t="shared" si="12"/>
        <v>#N/A</v>
      </c>
      <c r="T37" s="710" t="s">
        <v>21</v>
      </c>
      <c r="U37" s="711" t="e">
        <f t="shared" si="13"/>
        <v>#N/A</v>
      </c>
      <c r="V37" s="710" t="s">
        <v>21</v>
      </c>
      <c r="W37" s="711" t="e">
        <f t="shared" si="14"/>
        <v>#N/A</v>
      </c>
      <c r="X37" s="712"/>
      <c r="Y37" s="3510"/>
      <c r="Z37" s="55" t="str">
        <f t="shared" si="18"/>
        <v>成新度</v>
      </c>
      <c r="AA37" s="713" t="e">
        <f t="shared" si="15"/>
        <v>#N/A</v>
      </c>
      <c r="AB37" s="713" t="e">
        <f t="shared" si="16"/>
        <v>#N/A</v>
      </c>
      <c r="AC37" s="713" t="e">
        <f t="shared" si="17"/>
        <v>#N/A</v>
      </c>
    </row>
    <row r="38" spans="1:29" ht="15">
      <c r="A38" s="431"/>
      <c r="B38" s="381" t="s">
        <v>2146</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08" t="s">
        <v>2140</v>
      </c>
      <c r="Q38" s="1487" t="str">
        <f t="shared" si="11"/>
        <v>物业管理</v>
      </c>
      <c r="R38" s="714" t="s">
        <v>21</v>
      </c>
      <c r="S38" s="715">
        <f t="shared" si="12"/>
        <v>100</v>
      </c>
      <c r="T38" s="714" t="s">
        <v>21</v>
      </c>
      <c r="U38" s="715">
        <f t="shared" si="13"/>
        <v>100</v>
      </c>
      <c r="V38" s="714" t="s">
        <v>21</v>
      </c>
      <c r="W38" s="715">
        <f t="shared" si="14"/>
        <v>100</v>
      </c>
      <c r="X38" s="1490"/>
      <c r="Y38" s="3510" t="s">
        <v>2140</v>
      </c>
      <c r="Z38" s="1491" t="str">
        <f t="shared" si="18"/>
        <v>物业管理</v>
      </c>
      <c r="AA38" s="1488">
        <f t="shared" si="15"/>
        <v>1</v>
      </c>
      <c r="AB38" s="1488">
        <f t="shared" si="16"/>
        <v>1</v>
      </c>
      <c r="AC38" s="1488">
        <f t="shared" si="17"/>
        <v>1</v>
      </c>
    </row>
    <row r="39" spans="1:29" ht="15">
      <c r="A39" s="431"/>
      <c r="B39" s="381" t="s">
        <v>2147</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08"/>
      <c r="Q39" s="1487" t="str">
        <f t="shared" si="11"/>
        <v>市政基础设施</v>
      </c>
      <c r="R39" s="714" t="s">
        <v>21</v>
      </c>
      <c r="S39" s="715">
        <f t="shared" si="12"/>
        <v>100</v>
      </c>
      <c r="T39" s="714" t="s">
        <v>21</v>
      </c>
      <c r="U39" s="715">
        <f t="shared" si="13"/>
        <v>100</v>
      </c>
      <c r="V39" s="714" t="s">
        <v>21</v>
      </c>
      <c r="W39" s="715">
        <f t="shared" si="14"/>
        <v>100</v>
      </c>
      <c r="X39" s="1490"/>
      <c r="Y39" s="3510"/>
      <c r="Z39" s="1491" t="str">
        <f t="shared" si="18"/>
        <v>市政基础设施</v>
      </c>
      <c r="AA39" s="1488">
        <f t="shared" si="15"/>
        <v>1</v>
      </c>
      <c r="AB39" s="1488">
        <f t="shared" si="16"/>
        <v>1</v>
      </c>
      <c r="AC39" s="1488">
        <f t="shared" si="17"/>
        <v>1</v>
      </c>
    </row>
    <row r="40" spans="1:29" ht="15">
      <c r="A40" s="431"/>
      <c r="B40" s="381" t="s">
        <v>2148</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08"/>
      <c r="Q40" s="1487" t="str">
        <f t="shared" si="11"/>
        <v>房型</v>
      </c>
      <c r="R40" s="714" t="s">
        <v>21</v>
      </c>
      <c r="S40" s="715">
        <f t="shared" si="12"/>
        <v>100</v>
      </c>
      <c r="T40" s="714" t="s">
        <v>21</v>
      </c>
      <c r="U40" s="715">
        <f t="shared" si="13"/>
        <v>100</v>
      </c>
      <c r="V40" s="714" t="s">
        <v>21</v>
      </c>
      <c r="W40" s="715">
        <f t="shared" si="14"/>
        <v>100</v>
      </c>
      <c r="X40" s="1490"/>
      <c r="Y40" s="3510"/>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08"/>
      <c r="Q41" s="716" t="str">
        <f t="shared" si="11"/>
        <v>单套/主力户型建筑面积</v>
      </c>
      <c r="R41" s="717" t="s">
        <v>21</v>
      </c>
      <c r="S41" s="718">
        <f t="shared" si="12"/>
        <v>100</v>
      </c>
      <c r="T41" s="717" t="s">
        <v>21</v>
      </c>
      <c r="U41" s="718">
        <f t="shared" si="13"/>
        <v>100</v>
      </c>
      <c r="V41" s="717" t="s">
        <v>21</v>
      </c>
      <c r="W41" s="718">
        <f t="shared" si="14"/>
        <v>100</v>
      </c>
      <c r="X41" s="719"/>
      <c r="Y41" s="3510"/>
      <c r="Z41" s="720" t="str">
        <f t="shared" si="18"/>
        <v>单套/主力户型建筑面积</v>
      </c>
      <c r="AA41" s="1488">
        <f t="shared" si="15"/>
        <v>1</v>
      </c>
      <c r="AB41" s="1488">
        <f t="shared" si="16"/>
        <v>1</v>
      </c>
      <c r="AC41" s="1488">
        <f t="shared" si="17"/>
        <v>1</v>
      </c>
    </row>
    <row r="42" spans="1:29" ht="15">
      <c r="A42" s="431"/>
      <c r="B42" s="381" t="s">
        <v>2150</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08"/>
      <c r="Q42" s="1487" t="str">
        <f t="shared" si="11"/>
        <v>内部装修</v>
      </c>
      <c r="R42" s="714" t="s">
        <v>21</v>
      </c>
      <c r="S42" s="715">
        <f t="shared" si="12"/>
        <v>100</v>
      </c>
      <c r="T42" s="714" t="s">
        <v>21</v>
      </c>
      <c r="U42" s="715">
        <f t="shared" si="13"/>
        <v>100</v>
      </c>
      <c r="V42" s="714" t="s">
        <v>21</v>
      </c>
      <c r="W42" s="715">
        <f t="shared" si="14"/>
        <v>100</v>
      </c>
      <c r="X42" s="1490"/>
      <c r="Y42" s="3510"/>
      <c r="Z42" s="1491" t="str">
        <f t="shared" si="18"/>
        <v>内部装修</v>
      </c>
      <c r="AA42" s="1488">
        <f t="shared" si="15"/>
        <v>1</v>
      </c>
      <c r="AB42" s="1488">
        <f t="shared" si="16"/>
        <v>1</v>
      </c>
      <c r="AC42" s="1488">
        <f t="shared" si="17"/>
        <v>1</v>
      </c>
    </row>
    <row r="43" spans="1:29" ht="15">
      <c r="A43" s="431"/>
      <c r="B43" s="381" t="s">
        <v>2151</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08"/>
      <c r="Q43" s="1487" t="str">
        <f t="shared" si="11"/>
        <v>内部装修维护情况</v>
      </c>
      <c r="R43" s="714" t="s">
        <v>21</v>
      </c>
      <c r="S43" s="715">
        <f t="shared" si="12"/>
        <v>100</v>
      </c>
      <c r="T43" s="714" t="s">
        <v>21</v>
      </c>
      <c r="U43" s="715">
        <f t="shared" si="13"/>
        <v>100</v>
      </c>
      <c r="V43" s="714" t="s">
        <v>21</v>
      </c>
      <c r="W43" s="715">
        <f t="shared" si="14"/>
        <v>100</v>
      </c>
      <c r="X43" s="1490"/>
      <c r="Y43" s="351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08"/>
      <c r="Q44" s="1478">
        <f t="shared" si="11"/>
        <v>111</v>
      </c>
      <c r="R44" s="710" t="s">
        <v>21</v>
      </c>
      <c r="S44" s="711">
        <f t="shared" si="12"/>
        <v>100</v>
      </c>
      <c r="T44" s="710" t="s">
        <v>21</v>
      </c>
      <c r="U44" s="711">
        <f t="shared" si="13"/>
        <v>100</v>
      </c>
      <c r="V44" s="710" t="s">
        <v>21</v>
      </c>
      <c r="W44" s="711">
        <f t="shared" si="14"/>
        <v>100</v>
      </c>
      <c r="X44" s="712"/>
      <c r="Y44" s="351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08"/>
      <c r="Q45" s="1487">
        <f t="shared" si="11"/>
        <v>111</v>
      </c>
      <c r="R45" s="714" t="s">
        <v>21</v>
      </c>
      <c r="S45" s="715">
        <f t="shared" si="12"/>
        <v>100</v>
      </c>
      <c r="T45" s="714" t="s">
        <v>21</v>
      </c>
      <c r="U45" s="715">
        <f t="shared" si="13"/>
        <v>100</v>
      </c>
      <c r="V45" s="714" t="s">
        <v>21</v>
      </c>
      <c r="W45" s="715">
        <f t="shared" si="14"/>
        <v>100</v>
      </c>
      <c r="X45" s="1490"/>
      <c r="Y45" s="3510"/>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09"/>
      <c r="Q46" s="1487">
        <f t="shared" si="11"/>
        <v>111</v>
      </c>
      <c r="R46" s="714" t="s">
        <v>20</v>
      </c>
      <c r="S46" s="715">
        <f t="shared" si="12"/>
        <v>100</v>
      </c>
      <c r="T46" s="714" t="s">
        <v>20</v>
      </c>
      <c r="U46" s="715">
        <f t="shared" si="13"/>
        <v>100</v>
      </c>
      <c r="V46" s="714" t="s">
        <v>20</v>
      </c>
      <c r="W46" s="715">
        <f t="shared" si="14"/>
        <v>100</v>
      </c>
      <c r="X46" s="1490"/>
      <c r="Y46" s="3511"/>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1"/>
      <c r="L47" s="2903"/>
      <c r="M47" s="2904"/>
      <c r="N47" s="2895"/>
      <c r="O47" s="2904"/>
      <c r="P47" s="3512" t="str">
        <f>A47</f>
        <v>成交单价（元/平方米）</v>
      </c>
      <c r="Q47" s="3512"/>
      <c r="R47" s="3513">
        <f>E47</f>
        <v>0</v>
      </c>
      <c r="S47" s="3513"/>
      <c r="T47" s="3513">
        <f>G47</f>
        <v>0</v>
      </c>
      <c r="U47" s="3513"/>
      <c r="V47" s="3513">
        <f>I47</f>
        <v>0</v>
      </c>
      <c r="W47" s="3513"/>
      <c r="X47" s="699"/>
      <c r="Y47" s="721"/>
      <c r="Z47" s="699"/>
      <c r="AA47" s="699"/>
      <c r="AB47" s="699"/>
      <c r="AC47" s="699"/>
    </row>
    <row r="48" spans="1:29" ht="15.75" thickBot="1">
      <c r="A48" s="445" t="s">
        <v>2153</v>
      </c>
      <c r="B48" s="446"/>
      <c r="C48" s="1275" t="e">
        <f>R49</f>
        <v>#DIV/0!</v>
      </c>
      <c r="D48" s="2489" t="s">
        <v>2634</v>
      </c>
      <c r="E48" s="1276" t="e">
        <f>R48</f>
        <v>#DIV/0!</v>
      </c>
      <c r="F48" s="2490"/>
      <c r="G48" s="1275" t="e">
        <f>T48</f>
        <v>#DIV/0!</v>
      </c>
      <c r="H48" s="2490"/>
      <c r="I48" s="1276" t="e">
        <f>V48</f>
        <v>#DIV/0!</v>
      </c>
      <c r="J48" s="2490"/>
      <c r="K48" s="2491">
        <f>F48+H48+J48</f>
        <v>0</v>
      </c>
      <c r="L48" s="2903"/>
      <c r="M48" s="2904"/>
      <c r="N48" s="2904"/>
      <c r="O48" s="2904"/>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2"/>
      <c r="L49" s="2903"/>
      <c r="M49" s="2904"/>
      <c r="N49" s="2904"/>
      <c r="O49" s="2904"/>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2158</v>
      </c>
      <c r="B57" s="699"/>
      <c r="C57" s="704"/>
      <c r="D57" s="704"/>
      <c r="E57" s="704"/>
      <c r="F57" s="705"/>
      <c r="G57" s="705"/>
      <c r="H57" s="704"/>
      <c r="I57" s="704"/>
      <c r="J57" s="704"/>
      <c r="K57" s="1053"/>
      <c r="L57" s="1054"/>
      <c r="M57" s="1052"/>
      <c r="N57" s="1052"/>
      <c r="O57" s="1052"/>
      <c r="P57" s="2055"/>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2160</v>
      </c>
      <c r="B60" s="473"/>
      <c r="C60" s="474"/>
      <c r="D60" s="475"/>
      <c r="E60" s="475"/>
      <c r="F60" s="475"/>
      <c r="G60" s="475"/>
      <c r="H60" s="475"/>
      <c r="I60" s="475"/>
      <c r="J60" s="475"/>
      <c r="K60" s="475"/>
      <c r="L60" s="475"/>
      <c r="M60" s="476"/>
      <c r="N60" s="475"/>
      <c r="O60" s="476"/>
      <c r="P60" s="2057"/>
      <c r="Q60" s="461"/>
    </row>
    <row r="61" spans="1:29" s="113" customFormat="1" ht="15">
      <c r="A61" s="478" t="s">
        <v>2161</v>
      </c>
      <c r="B61" s="467"/>
      <c r="C61" s="479" t="s">
        <v>2162</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2163</v>
      </c>
      <c r="B63" s="485" t="s">
        <v>2129</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1700</v>
      </c>
      <c r="C82" s="496" t="s">
        <v>2179</v>
      </c>
      <c r="D82" s="496" t="s">
        <v>2180</v>
      </c>
      <c r="E82" s="496" t="s">
        <v>2181</v>
      </c>
      <c r="F82" s="496" t="s">
        <v>2182</v>
      </c>
      <c r="G82" s="496" t="s">
        <v>2183</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2185</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2186</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2138</v>
      </c>
      <c r="B100" s="485" t="s">
        <v>2187</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2189</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2190</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2191</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1630</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2192</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2193</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2194</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2195</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2197</v>
      </c>
    </row>
    <row r="137" spans="1:17" ht="15">
      <c r="B137" s="2067" t="s">
        <v>2198</v>
      </c>
      <c r="C137" s="2068"/>
      <c r="D137" s="2068"/>
      <c r="E137" s="2068"/>
      <c r="F137" s="2068"/>
      <c r="G137" s="2069"/>
      <c r="H137" s="2070"/>
      <c r="I137" s="2071" t="s">
        <v>2199</v>
      </c>
      <c r="J137" s="2068"/>
      <c r="K137" s="2072"/>
    </row>
    <row r="138" spans="1:17" ht="15">
      <c r="B138" s="2073"/>
      <c r="C138" s="142" t="s">
        <v>2200</v>
      </c>
      <c r="D138" s="142" t="s">
        <v>2201</v>
      </c>
      <c r="E138" s="2074" t="s">
        <v>2202</v>
      </c>
      <c r="F138" s="2075" t="s">
        <v>2203</v>
      </c>
      <c r="G138" s="142" t="s">
        <v>2201</v>
      </c>
      <c r="H138" s="143" t="s">
        <v>2202</v>
      </c>
      <c r="I138" s="2076"/>
      <c r="J138" s="142" t="s">
        <v>2204</v>
      </c>
      <c r="K138" s="143" t="s">
        <v>2205</v>
      </c>
    </row>
    <row r="139" spans="1:17" ht="15">
      <c r="B139" s="979">
        <v>6</v>
      </c>
      <c r="C139" s="980">
        <v>96</v>
      </c>
      <c r="D139" s="2077" t="s">
        <v>2206</v>
      </c>
      <c r="E139" s="981">
        <v>100</v>
      </c>
      <c r="F139" s="982">
        <v>102.5</v>
      </c>
      <c r="G139" s="2077" t="s">
        <v>2206</v>
      </c>
      <c r="H139" s="983">
        <v>105</v>
      </c>
      <c r="I139" s="2078" t="s">
        <v>2207</v>
      </c>
      <c r="J139" s="980">
        <v>20</v>
      </c>
      <c r="K139" s="984">
        <f>C145/(J139-2)</f>
        <v>4.0555555555555553E-3</v>
      </c>
    </row>
    <row r="140" spans="1:17" ht="15">
      <c r="B140" s="985">
        <v>5</v>
      </c>
      <c r="C140" s="986">
        <v>100</v>
      </c>
      <c r="D140" s="986"/>
      <c r="E140" s="987"/>
      <c r="F140" s="988">
        <v>102</v>
      </c>
      <c r="G140" s="986"/>
      <c r="H140" s="989"/>
      <c r="I140" s="2079" t="s">
        <v>2208</v>
      </c>
      <c r="J140" s="277">
        <f>ROUNDUP((J139-1)/2,0)</f>
        <v>10</v>
      </c>
      <c r="K140" s="990">
        <v>100</v>
      </c>
    </row>
    <row r="141" spans="1:17" ht="15">
      <c r="B141" s="985">
        <v>4</v>
      </c>
      <c r="C141" s="986">
        <v>102</v>
      </c>
      <c r="D141" s="986"/>
      <c r="E141" s="987"/>
      <c r="F141" s="988">
        <v>101.5</v>
      </c>
      <c r="G141" s="986"/>
      <c r="H141" s="989"/>
      <c r="I141" s="2079" t="s">
        <v>2209</v>
      </c>
      <c r="J141" s="277">
        <v>1</v>
      </c>
      <c r="K141" s="991">
        <f>ROUND(100+(J141-J140)*K139*100,1)</f>
        <v>96.4</v>
      </c>
    </row>
    <row r="142" spans="1:17" ht="15">
      <c r="B142" s="985">
        <v>3</v>
      </c>
      <c r="C142" s="986">
        <v>103</v>
      </c>
      <c r="D142" s="986"/>
      <c r="E142" s="987"/>
      <c r="F142" s="988">
        <v>101</v>
      </c>
      <c r="G142" s="986"/>
      <c r="H142" s="989"/>
      <c r="I142" s="2079" t="s">
        <v>2210</v>
      </c>
      <c r="J142" s="277">
        <f>J139</f>
        <v>20</v>
      </c>
      <c r="K142" s="992">
        <v>95</v>
      </c>
    </row>
    <row r="143" spans="1:17" ht="15">
      <c r="B143" s="985">
        <v>2</v>
      </c>
      <c r="C143" s="986">
        <v>100</v>
      </c>
      <c r="D143" s="986"/>
      <c r="E143" s="987"/>
      <c r="F143" s="988">
        <v>100.5</v>
      </c>
      <c r="G143" s="986"/>
      <c r="H143" s="989"/>
      <c r="I143" s="2079" t="s">
        <v>2211</v>
      </c>
      <c r="J143" s="986">
        <v>15</v>
      </c>
      <c r="K143" s="991">
        <f>ROUND(100+(J143-J140)*K139*100,1)</f>
        <v>102</v>
      </c>
    </row>
    <row r="144" spans="1:17" ht="15">
      <c r="B144" s="985">
        <v>1</v>
      </c>
      <c r="C144" s="986">
        <v>98</v>
      </c>
      <c r="D144" s="2080" t="s">
        <v>2212</v>
      </c>
      <c r="E144" s="987">
        <v>102</v>
      </c>
      <c r="F144" s="993">
        <v>100</v>
      </c>
      <c r="G144" s="2080" t="s">
        <v>2212</v>
      </c>
      <c r="H144" s="989">
        <v>105</v>
      </c>
      <c r="I144" s="2079" t="s">
        <v>2211</v>
      </c>
      <c r="J144" s="986">
        <v>18</v>
      </c>
      <c r="K144" s="991">
        <f>ROUND(100+(J144-J140)*K139*100,1)</f>
        <v>103.2</v>
      </c>
    </row>
    <row r="145" spans="2:11" ht="15.75" thickBot="1">
      <c r="B145" s="2081" t="s">
        <v>2213</v>
      </c>
      <c r="C145" s="994">
        <f>ROUND(MAX(C139:C144)/MIN(C139:C144)-1,3)</f>
        <v>7.2999999999999995E-2</v>
      </c>
      <c r="D145" s="995"/>
      <c r="E145" s="995"/>
      <c r="F145" s="2082" t="s">
        <v>2214</v>
      </c>
      <c r="G145" s="2083"/>
      <c r="H145" s="2084"/>
      <c r="I145" s="2085" t="s">
        <v>2211</v>
      </c>
      <c r="J145" s="996">
        <v>8</v>
      </c>
      <c r="K145" s="997">
        <f>ROUND(100+(J145-J140)*K139*100,1)</f>
        <v>99.2</v>
      </c>
    </row>
    <row r="147" spans="2:11">
      <c r="B147" s="2066" t="s">
        <v>2215</v>
      </c>
    </row>
    <row r="148" spans="2:11">
      <c r="B148" s="2066"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2217</v>
      </c>
      <c r="C1" s="1359" t="s">
        <v>2105</v>
      </c>
      <c r="D1" s="1346"/>
      <c r="E1" s="2494"/>
      <c r="F1" s="2016"/>
      <c r="G1" s="1356" t="s">
        <v>2218</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1902</v>
      </c>
      <c r="B2" s="1279" t="e">
        <f ca="1">IF(C2="——",ROUND(C49*D3/10000,0),ROUND(C49*D3/10000,0)-D2)</f>
        <v>#DIV/0!</v>
      </c>
      <c r="C2" s="2018"/>
      <c r="D2" s="1228" t="e">
        <f ca="1">SUMIF(INDIRECT("'"&amp;F2&amp;"'"&amp;"!A:A"),"承租人权益价值",INDIRECT("'"&amp;F2&amp;"'"&amp;"!c:c"))</f>
        <v>#REF!</v>
      </c>
      <c r="E2" s="2019" t="s">
        <v>1903</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1904</v>
      </c>
      <c r="B3" s="566" t="e">
        <f ca="1">IF(C2="——",C49,ROUND(B2*10000/D3,0))</f>
        <v>#DIV/0!</v>
      </c>
      <c r="C3" s="360" t="s">
        <v>2219</v>
      </c>
      <c r="D3" s="359">
        <f>IF(D1="",'数据-汇总表'!E3,SUMIF('数据-汇总表'!$C19:$C33,D1,'数据-汇总表'!$E19:$E33))</f>
        <v>373.88</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2220</v>
      </c>
      <c r="B4" s="362"/>
      <c r="C4" s="3487" t="s">
        <v>2221</v>
      </c>
      <c r="D4" s="3488"/>
      <c r="E4" s="3489" t="s">
        <v>2222</v>
      </c>
      <c r="F4" s="3490"/>
      <c r="G4" s="3487" t="s">
        <v>2223</v>
      </c>
      <c r="H4" s="3488"/>
      <c r="I4" s="3487" t="s">
        <v>2224</v>
      </c>
      <c r="J4" s="3488"/>
      <c r="K4" s="567" t="s">
        <v>2225</v>
      </c>
      <c r="L4" s="2894"/>
      <c r="M4" s="2895"/>
      <c r="N4" s="2895"/>
      <c r="O4" s="2895"/>
      <c r="P4" s="3541" t="s">
        <v>2226</v>
      </c>
      <c r="Q4" s="3542"/>
      <c r="R4" s="3539" t="s">
        <v>2222</v>
      </c>
      <c r="S4" s="3540"/>
      <c r="T4" s="3539" t="s">
        <v>2223</v>
      </c>
      <c r="U4" s="3540"/>
      <c r="V4" s="3500" t="s">
        <v>2224</v>
      </c>
      <c r="W4" s="3500"/>
      <c r="X4" s="1490"/>
      <c r="Y4" s="3539" t="s">
        <v>2226</v>
      </c>
      <c r="Z4" s="3540"/>
      <c r="AA4" s="3538" t="s">
        <v>2222</v>
      </c>
      <c r="AB4" s="3500" t="s">
        <v>2223</v>
      </c>
      <c r="AC4" s="3538" t="s">
        <v>2224</v>
      </c>
    </row>
    <row r="5" spans="1:29" ht="15">
      <c r="A5" s="364"/>
      <c r="B5" s="365"/>
      <c r="C5" s="3480" t="s">
        <v>2117</v>
      </c>
      <c r="D5" s="3477"/>
      <c r="E5" s="3474" t="s">
        <v>2118</v>
      </c>
      <c r="F5" s="3475"/>
      <c r="G5" s="3480" t="s">
        <v>2119</v>
      </c>
      <c r="H5" s="3477"/>
      <c r="I5" s="3480" t="s">
        <v>2120</v>
      </c>
      <c r="J5" s="3477"/>
      <c r="K5" s="567"/>
      <c r="L5" s="2894"/>
      <c r="M5" s="2895"/>
      <c r="N5" s="2895"/>
      <c r="O5" s="2895"/>
      <c r="P5" s="3543"/>
      <c r="Q5" s="3494"/>
      <c r="R5" s="3472"/>
      <c r="S5" s="3473"/>
      <c r="T5" s="3472"/>
      <c r="U5" s="3473"/>
      <c r="V5" s="3500"/>
      <c r="W5" s="3500"/>
      <c r="X5" s="1490"/>
      <c r="Y5" s="3472"/>
      <c r="Z5" s="3473"/>
      <c r="AA5" s="3466"/>
      <c r="AB5" s="3500"/>
      <c r="AC5" s="3466"/>
    </row>
    <row r="6" spans="1:29" ht="15.75" thickBot="1">
      <c r="A6" s="366"/>
      <c r="B6" s="367"/>
      <c r="C6" s="3478" t="s">
        <v>2121</v>
      </c>
      <c r="D6" s="3479"/>
      <c r="E6" s="3481" t="s">
        <v>2121</v>
      </c>
      <c r="F6" s="3482"/>
      <c r="G6" s="3478" t="s">
        <v>2121</v>
      </c>
      <c r="H6" s="3479"/>
      <c r="I6" s="3478" t="s">
        <v>2121</v>
      </c>
      <c r="J6" s="3479"/>
      <c r="K6" s="567" t="s">
        <v>2122</v>
      </c>
      <c r="L6" s="2894"/>
      <c r="M6" s="2895"/>
      <c r="N6" s="2895"/>
      <c r="O6" s="2895"/>
      <c r="P6" s="3544"/>
      <c r="Q6" s="3496"/>
      <c r="R6" s="3472"/>
      <c r="S6" s="3473"/>
      <c r="T6" s="3497"/>
      <c r="U6" s="3498"/>
      <c r="V6" s="3500"/>
      <c r="W6" s="3500"/>
      <c r="X6" s="1490"/>
      <c r="Y6" s="3497"/>
      <c r="Z6" s="3498"/>
      <c r="AA6" s="3467"/>
      <c r="AB6" s="3500"/>
      <c r="AC6" s="3467"/>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68" t="s">
        <v>2124</v>
      </c>
      <c r="Q7" s="3502"/>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83"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83"/>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71.25">
      <c r="A15" s="399" t="s">
        <v>2134</v>
      </c>
      <c r="B15" s="65" t="s">
        <v>2228</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3" t="s">
        <v>2135</v>
      </c>
      <c r="Q15" s="1487" t="str">
        <f t="shared" si="6"/>
        <v>商业繁华度</v>
      </c>
      <c r="R15" s="714" t="s">
        <v>17</v>
      </c>
      <c r="S15" s="715">
        <f t="shared" si="0"/>
        <v>100</v>
      </c>
      <c r="T15" s="714" t="s">
        <v>17</v>
      </c>
      <c r="U15" s="715">
        <f t="shared" si="1"/>
        <v>100</v>
      </c>
      <c r="V15" s="714" t="s">
        <v>17</v>
      </c>
      <c r="W15" s="715">
        <f t="shared" si="2"/>
        <v>100</v>
      </c>
      <c r="X15" s="1490"/>
      <c r="Y15" s="3505" t="s">
        <v>2135</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4"/>
      <c r="Q16" s="1487"/>
      <c r="R16" s="714"/>
      <c r="S16" s="715"/>
      <c r="T16" s="714"/>
      <c r="U16" s="715"/>
      <c r="V16" s="714"/>
      <c r="W16" s="715"/>
      <c r="X16" s="1490"/>
      <c r="Y16" s="3506"/>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4"/>
      <c r="Q17" s="1487" t="str">
        <f>B17</f>
        <v>交通便捷度</v>
      </c>
      <c r="R17" s="714" t="s">
        <v>17</v>
      </c>
      <c r="S17" s="715">
        <f>F17</f>
        <v>100</v>
      </c>
      <c r="T17" s="714" t="s">
        <v>17</v>
      </c>
      <c r="U17" s="715">
        <f>H17</f>
        <v>100</v>
      </c>
      <c r="V17" s="714" t="s">
        <v>17</v>
      </c>
      <c r="W17" s="715">
        <f>J17</f>
        <v>100</v>
      </c>
      <c r="X17" s="1490"/>
      <c r="Y17" s="350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4"/>
      <c r="Q18" s="1487"/>
      <c r="R18" s="714"/>
      <c r="S18" s="715"/>
      <c r="T18" s="714"/>
      <c r="U18" s="715"/>
      <c r="V18" s="714"/>
      <c r="W18" s="715"/>
      <c r="X18" s="1490"/>
      <c r="Y18" s="3506"/>
      <c r="Z18" s="1491"/>
      <c r="AA18" s="1488">
        <v>1</v>
      </c>
      <c r="AB18" s="1488">
        <v>1</v>
      </c>
      <c r="AC18" s="1488">
        <v>1</v>
      </c>
    </row>
    <row r="19" spans="1:29" ht="42.75">
      <c r="A19" s="387"/>
      <c r="B19" s="410" t="s">
        <v>2229</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4"/>
      <c r="Q19" s="1487" t="str">
        <f>B19</f>
        <v>公共配套设施</v>
      </c>
      <c r="R19" s="714" t="s">
        <v>17</v>
      </c>
      <c r="S19" s="715">
        <f>F19</f>
        <v>100</v>
      </c>
      <c r="T19" s="714" t="s">
        <v>17</v>
      </c>
      <c r="U19" s="715">
        <f>H19</f>
        <v>100</v>
      </c>
      <c r="V19" s="714" t="s">
        <v>17</v>
      </c>
      <c r="W19" s="715">
        <f>J19</f>
        <v>100</v>
      </c>
      <c r="X19" s="1490"/>
      <c r="Y19" s="350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4"/>
      <c r="Q20" s="1487"/>
      <c r="R20" s="714"/>
      <c r="S20" s="715"/>
      <c r="T20" s="714"/>
      <c r="U20" s="715"/>
      <c r="V20" s="714"/>
      <c r="W20" s="715"/>
      <c r="X20" s="1490"/>
      <c r="Y20" s="3506"/>
      <c r="Z20" s="1491"/>
      <c r="AA20" s="1488">
        <v>1</v>
      </c>
      <c r="AB20" s="1488">
        <v>1</v>
      </c>
      <c r="AC20" s="1488">
        <v>1</v>
      </c>
    </row>
    <row r="21" spans="1:29" ht="28.5">
      <c r="A21" s="387"/>
      <c r="B21" s="1246" t="s">
        <v>2230</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4"/>
      <c r="Q21" s="1487" t="str">
        <f>B21</f>
        <v>基础设施水平</v>
      </c>
      <c r="R21" s="714" t="s">
        <v>17</v>
      </c>
      <c r="S21" s="715">
        <f>F21</f>
        <v>100</v>
      </c>
      <c r="T21" s="714" t="s">
        <v>17</v>
      </c>
      <c r="U21" s="715">
        <f>H21</f>
        <v>100</v>
      </c>
      <c r="V21" s="714" t="s">
        <v>17</v>
      </c>
      <c r="W21" s="715">
        <f>J21</f>
        <v>100</v>
      </c>
      <c r="X21" s="1490"/>
      <c r="Y21" s="350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4"/>
      <c r="Q22" s="1487"/>
      <c r="R22" s="714"/>
      <c r="S22" s="715"/>
      <c r="T22" s="714"/>
      <c r="U22" s="715"/>
      <c r="V22" s="714"/>
      <c r="W22" s="715"/>
      <c r="X22" s="1490"/>
      <c r="Y22" s="3506"/>
      <c r="Z22" s="1491"/>
      <c r="AA22" s="1488">
        <v>1</v>
      </c>
      <c r="AB22" s="1488">
        <v>1</v>
      </c>
      <c r="AC22" s="1488">
        <v>1</v>
      </c>
    </row>
    <row r="23" spans="1:29" ht="57">
      <c r="A23" s="387"/>
      <c r="B23" s="410" t="s">
        <v>1701</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4"/>
      <c r="Q23" s="1487" t="str">
        <f>B23</f>
        <v>自然及人文环境</v>
      </c>
      <c r="R23" s="714" t="s">
        <v>17</v>
      </c>
      <c r="S23" s="715">
        <f>F23</f>
        <v>100</v>
      </c>
      <c r="T23" s="714" t="s">
        <v>17</v>
      </c>
      <c r="U23" s="715">
        <f>H23</f>
        <v>100</v>
      </c>
      <c r="V23" s="714" t="s">
        <v>17</v>
      </c>
      <c r="W23" s="715">
        <f>J23</f>
        <v>100</v>
      </c>
      <c r="X23" s="1490"/>
      <c r="Y23" s="350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4"/>
      <c r="Q24" s="1487"/>
      <c r="R24" s="714"/>
      <c r="S24" s="715"/>
      <c r="T24" s="714"/>
      <c r="U24" s="715"/>
      <c r="V24" s="714"/>
      <c r="W24" s="715"/>
      <c r="X24" s="1490"/>
      <c r="Y24" s="3506"/>
      <c r="Z24" s="1491"/>
      <c r="AA24" s="1488">
        <v>1</v>
      </c>
      <c r="AB24" s="1488">
        <v>1</v>
      </c>
      <c r="AC24" s="1488">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4"/>
      <c r="Q25" s="1487" t="str">
        <f t="shared" ref="Q25:Q46" si="11">B25</f>
        <v>临街状况</v>
      </c>
      <c r="R25" s="714" t="s">
        <v>17</v>
      </c>
      <c r="S25" s="715">
        <f>F25</f>
        <v>100</v>
      </c>
      <c r="T25" s="714" t="s">
        <v>17</v>
      </c>
      <c r="U25" s="715">
        <f>H25</f>
        <v>100</v>
      </c>
      <c r="V25" s="714" t="s">
        <v>17</v>
      </c>
      <c r="W25" s="715">
        <f>J25</f>
        <v>100</v>
      </c>
      <c r="X25" s="1490"/>
      <c r="Y25" s="3506"/>
      <c r="Z25" s="1491" t="str">
        <f>Q25</f>
        <v>临街状况</v>
      </c>
      <c r="AA25" s="1488">
        <f t="shared" si="3"/>
        <v>1</v>
      </c>
      <c r="AB25" s="1488">
        <f t="shared" si="4"/>
        <v>1</v>
      </c>
      <c r="AC25" s="1488">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4"/>
      <c r="Q26" s="1487" t="str">
        <f t="shared" si="11"/>
        <v>平面位置/可视性</v>
      </c>
      <c r="R26" s="714" t="s">
        <v>17</v>
      </c>
      <c r="S26" s="715">
        <f>F26</f>
        <v>100</v>
      </c>
      <c r="T26" s="714" t="s">
        <v>17</v>
      </c>
      <c r="U26" s="715">
        <f>H26</f>
        <v>100</v>
      </c>
      <c r="V26" s="714" t="s">
        <v>17</v>
      </c>
      <c r="W26" s="715">
        <f>J26</f>
        <v>100</v>
      </c>
      <c r="X26" s="1490"/>
      <c r="Y26" s="3506"/>
      <c r="Z26" s="1491" t="str">
        <f>Q26</f>
        <v>平面位置/可视性</v>
      </c>
      <c r="AA26" s="1488">
        <f t="shared" si="3"/>
        <v>1</v>
      </c>
      <c r="AB26" s="1488">
        <f t="shared" si="4"/>
        <v>1</v>
      </c>
      <c r="AC26" s="1488">
        <f t="shared" si="5"/>
        <v>1</v>
      </c>
    </row>
    <row r="27" spans="1:29" s="113" customFormat="1" ht="15">
      <c r="A27" s="390"/>
      <c r="B27" s="410" t="s">
        <v>2233</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4"/>
      <c r="Q27" s="1478" t="str">
        <f t="shared" si="11"/>
        <v>人流量</v>
      </c>
      <c r="R27" s="710" t="s">
        <v>17</v>
      </c>
      <c r="S27" s="711">
        <f>F27</f>
        <v>100</v>
      </c>
      <c r="T27" s="710" t="s">
        <v>17</v>
      </c>
      <c r="U27" s="711">
        <f>H27</f>
        <v>100</v>
      </c>
      <c r="V27" s="710" t="s">
        <v>17</v>
      </c>
      <c r="W27" s="711">
        <f>J27</f>
        <v>100</v>
      </c>
      <c r="X27" s="712"/>
      <c r="Y27" s="3506"/>
      <c r="Z27" s="55" t="str">
        <f>Q27</f>
        <v>人流量</v>
      </c>
      <c r="AA27" s="1488">
        <f>D27/F27</f>
        <v>1</v>
      </c>
      <c r="AB27" s="1488">
        <f>D27/H27</f>
        <v>1</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4"/>
      <c r="Q29" s="1487">
        <f t="shared" si="11"/>
        <v>111</v>
      </c>
      <c r="R29" s="714" t="s">
        <v>17</v>
      </c>
      <c r="S29" s="715">
        <f t="shared" si="12"/>
        <v>100</v>
      </c>
      <c r="T29" s="714" t="s">
        <v>17</v>
      </c>
      <c r="U29" s="715">
        <f t="shared" si="13"/>
        <v>100</v>
      </c>
      <c r="V29" s="714" t="s">
        <v>17</v>
      </c>
      <c r="W29" s="715">
        <f t="shared" si="14"/>
        <v>100</v>
      </c>
      <c r="X29" s="1490"/>
      <c r="Y29" s="350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4"/>
      <c r="Q30" s="1487">
        <f t="shared" si="11"/>
        <v>111</v>
      </c>
      <c r="R30" s="714" t="s">
        <v>17</v>
      </c>
      <c r="S30" s="715">
        <f t="shared" si="12"/>
        <v>100</v>
      </c>
      <c r="T30" s="714" t="s">
        <v>17</v>
      </c>
      <c r="U30" s="715">
        <f t="shared" si="13"/>
        <v>100</v>
      </c>
      <c r="V30" s="714" t="s">
        <v>17</v>
      </c>
      <c r="W30" s="715">
        <f t="shared" si="14"/>
        <v>100</v>
      </c>
      <c r="X30" s="1490"/>
      <c r="Y30" s="350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4"/>
      <c r="Q31" s="1487">
        <f t="shared" si="11"/>
        <v>111</v>
      </c>
      <c r="R31" s="714" t="s">
        <v>17</v>
      </c>
      <c r="S31" s="715">
        <f t="shared" si="12"/>
        <v>100</v>
      </c>
      <c r="T31" s="714" t="s">
        <v>17</v>
      </c>
      <c r="U31" s="715">
        <f t="shared" si="13"/>
        <v>100</v>
      </c>
      <c r="V31" s="714" t="s">
        <v>17</v>
      </c>
      <c r="W31" s="715">
        <f t="shared" si="14"/>
        <v>100</v>
      </c>
      <c r="X31" s="1490"/>
      <c r="Y31" s="3506"/>
      <c r="Z31" s="1491">
        <f t="shared" si="15"/>
        <v>111</v>
      </c>
      <c r="AA31" s="1488">
        <f t="shared" si="3"/>
        <v>1</v>
      </c>
      <c r="AB31" s="1488">
        <f t="shared" si="4"/>
        <v>1</v>
      </c>
      <c r="AC31" s="1488">
        <f t="shared" si="5"/>
        <v>1</v>
      </c>
    </row>
    <row r="32" spans="1:29" ht="15">
      <c r="A32" s="399" t="s">
        <v>2138</v>
      </c>
      <c r="B32" s="67" t="s">
        <v>2235</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07" t="s">
        <v>2140</v>
      </c>
      <c r="Q32" s="1487" t="str">
        <f t="shared" si="11"/>
        <v>商业类型</v>
      </c>
      <c r="R32" s="714" t="s">
        <v>17</v>
      </c>
      <c r="S32" s="715">
        <f t="shared" si="12"/>
        <v>100</v>
      </c>
      <c r="T32" s="714" t="s">
        <v>17</v>
      </c>
      <c r="U32" s="715">
        <f t="shared" si="13"/>
        <v>100</v>
      </c>
      <c r="V32" s="714" t="s">
        <v>17</v>
      </c>
      <c r="W32" s="715">
        <f t="shared" si="14"/>
        <v>100</v>
      </c>
      <c r="X32" s="1490"/>
      <c r="Y32" s="3510" t="s">
        <v>2140</v>
      </c>
      <c r="Z32" s="1491" t="str">
        <f t="shared" si="15"/>
        <v>商业类型</v>
      </c>
      <c r="AA32" s="1488">
        <f t="shared" si="3"/>
        <v>1</v>
      </c>
      <c r="AB32" s="1488">
        <f t="shared" si="4"/>
        <v>1</v>
      </c>
      <c r="AC32" s="1488">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08"/>
      <c r="Q33" s="716" t="str">
        <f t="shared" si="11"/>
        <v>项目建筑规模</v>
      </c>
      <c r="R33" s="717" t="s">
        <v>17</v>
      </c>
      <c r="S33" s="718" t="e">
        <f t="shared" si="12"/>
        <v>#N/A</v>
      </c>
      <c r="T33" s="717" t="s">
        <v>17</v>
      </c>
      <c r="U33" s="718" t="e">
        <f t="shared" si="13"/>
        <v>#N/A</v>
      </c>
      <c r="V33" s="717" t="s">
        <v>17</v>
      </c>
      <c r="W33" s="718" t="e">
        <f t="shared" si="14"/>
        <v>#N/A</v>
      </c>
      <c r="X33" s="719"/>
      <c r="Y33" s="3510"/>
      <c r="Z33" s="720" t="str">
        <f t="shared" si="15"/>
        <v>项目建筑规模</v>
      </c>
      <c r="AA33" s="1488" t="e">
        <f t="shared" si="3"/>
        <v>#N/A</v>
      </c>
      <c r="AB33" s="1488" t="e">
        <f t="shared" si="4"/>
        <v>#N/A</v>
      </c>
      <c r="AC33" s="1488" t="e">
        <f t="shared" si="5"/>
        <v>#N/A</v>
      </c>
    </row>
    <row r="34" spans="1:29" ht="15">
      <c r="A34" s="431"/>
      <c r="B34" s="381" t="s">
        <v>2142</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08"/>
      <c r="Q34" s="1487" t="str">
        <f t="shared" si="11"/>
        <v>建筑结构</v>
      </c>
      <c r="R34" s="714" t="s">
        <v>17</v>
      </c>
      <c r="S34" s="715">
        <f t="shared" si="12"/>
        <v>100</v>
      </c>
      <c r="T34" s="714" t="s">
        <v>17</v>
      </c>
      <c r="U34" s="715">
        <f t="shared" si="13"/>
        <v>100</v>
      </c>
      <c r="V34" s="714" t="s">
        <v>17</v>
      </c>
      <c r="W34" s="715">
        <f t="shared" si="14"/>
        <v>100</v>
      </c>
      <c r="X34" s="1490"/>
      <c r="Y34" s="3510"/>
      <c r="Z34" s="1491" t="str">
        <f t="shared" si="15"/>
        <v>建筑结构</v>
      </c>
      <c r="AA34" s="1488">
        <f t="shared" si="3"/>
        <v>1</v>
      </c>
      <c r="AB34" s="1488">
        <f t="shared" si="4"/>
        <v>1</v>
      </c>
      <c r="AC34" s="1488">
        <f t="shared" si="5"/>
        <v>1</v>
      </c>
    </row>
    <row r="35" spans="1:29" ht="15">
      <c r="A35" s="431"/>
      <c r="B35" s="381" t="s">
        <v>2236</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08"/>
      <c r="Q35" s="1487" t="str">
        <f t="shared" si="11"/>
        <v>公共部分装修</v>
      </c>
      <c r="R35" s="714" t="s">
        <v>17</v>
      </c>
      <c r="S35" s="715">
        <f t="shared" si="12"/>
        <v>100</v>
      </c>
      <c r="T35" s="714" t="s">
        <v>17</v>
      </c>
      <c r="U35" s="715">
        <f t="shared" si="13"/>
        <v>100</v>
      </c>
      <c r="V35" s="714" t="s">
        <v>17</v>
      </c>
      <c r="W35" s="715">
        <f t="shared" si="14"/>
        <v>100</v>
      </c>
      <c r="X35" s="1490"/>
      <c r="Y35" s="3510"/>
      <c r="Z35" s="1491" t="str">
        <f t="shared" si="15"/>
        <v>公共部分装修</v>
      </c>
      <c r="AA35" s="1488">
        <f t="shared" si="3"/>
        <v>1</v>
      </c>
      <c r="AB35" s="1488">
        <f t="shared" si="4"/>
        <v>1</v>
      </c>
      <c r="AC35" s="1488">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08"/>
      <c r="Q36" s="1487" t="str">
        <f t="shared" si="11"/>
        <v>成新度</v>
      </c>
      <c r="R36" s="714" t="s">
        <v>17</v>
      </c>
      <c r="S36" s="715" t="e">
        <f t="shared" si="12"/>
        <v>#N/A</v>
      </c>
      <c r="T36" s="714" t="s">
        <v>17</v>
      </c>
      <c r="U36" s="715" t="e">
        <f t="shared" si="13"/>
        <v>#N/A</v>
      </c>
      <c r="V36" s="714" t="s">
        <v>17</v>
      </c>
      <c r="W36" s="715" t="e">
        <f t="shared" si="14"/>
        <v>#N/A</v>
      </c>
      <c r="X36" s="1490"/>
      <c r="Y36" s="3510"/>
      <c r="Z36" s="1491" t="str">
        <f t="shared" si="15"/>
        <v>成新度</v>
      </c>
      <c r="AA36" s="1488" t="e">
        <f t="shared" si="3"/>
        <v>#N/A</v>
      </c>
      <c r="AB36" s="1488" t="e">
        <f t="shared" si="4"/>
        <v>#N/A</v>
      </c>
      <c r="AC36" s="1488" t="e">
        <f t="shared" si="5"/>
        <v>#N/A</v>
      </c>
    </row>
    <row r="37" spans="1:29" s="113" customFormat="1" ht="15">
      <c r="A37" s="432"/>
      <c r="B37" s="381" t="s">
        <v>2238</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08"/>
      <c r="Q37" s="1478" t="str">
        <f t="shared" si="11"/>
        <v>市政基础设施</v>
      </c>
      <c r="R37" s="710" t="s">
        <v>17</v>
      </c>
      <c r="S37" s="711">
        <f t="shared" si="12"/>
        <v>100</v>
      </c>
      <c r="T37" s="710" t="s">
        <v>17</v>
      </c>
      <c r="U37" s="711">
        <f t="shared" si="13"/>
        <v>100</v>
      </c>
      <c r="V37" s="710" t="s">
        <v>17</v>
      </c>
      <c r="W37" s="711">
        <f t="shared" si="14"/>
        <v>100</v>
      </c>
      <c r="X37" s="712"/>
      <c r="Y37" s="3510"/>
      <c r="Z37" s="55" t="str">
        <f t="shared" si="15"/>
        <v>市政基础设施</v>
      </c>
      <c r="AA37" s="713">
        <f t="shared" si="3"/>
        <v>1</v>
      </c>
      <c r="AB37" s="713">
        <f t="shared" si="4"/>
        <v>1</v>
      </c>
      <c r="AC37" s="713">
        <f t="shared" si="5"/>
        <v>1</v>
      </c>
    </row>
    <row r="38" spans="1:29" ht="15">
      <c r="A38" s="431"/>
      <c r="B38" s="381" t="s">
        <v>2239</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08" t="s">
        <v>2140</v>
      </c>
      <c r="Q38" s="1487" t="str">
        <f t="shared" si="11"/>
        <v>业态</v>
      </c>
      <c r="R38" s="714" t="s">
        <v>17</v>
      </c>
      <c r="S38" s="715">
        <f t="shared" si="12"/>
        <v>100</v>
      </c>
      <c r="T38" s="714" t="s">
        <v>17</v>
      </c>
      <c r="U38" s="715">
        <f t="shared" si="13"/>
        <v>100</v>
      </c>
      <c r="V38" s="714" t="s">
        <v>17</v>
      </c>
      <c r="W38" s="715">
        <f t="shared" si="14"/>
        <v>100</v>
      </c>
      <c r="X38" s="1490"/>
      <c r="Y38" s="3510" t="s">
        <v>2140</v>
      </c>
      <c r="Z38" s="1491" t="str">
        <f t="shared" si="15"/>
        <v>业态</v>
      </c>
      <c r="AA38" s="1488">
        <f t="shared" si="3"/>
        <v>1</v>
      </c>
      <c r="AB38" s="1488">
        <f t="shared" si="4"/>
        <v>1</v>
      </c>
      <c r="AC38" s="1488">
        <f t="shared" si="5"/>
        <v>1</v>
      </c>
    </row>
    <row r="39" spans="1:29" ht="15">
      <c r="A39" s="431"/>
      <c r="B39" s="381" t="s">
        <v>2240</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08"/>
      <c r="Q39" s="1487" t="str">
        <f t="shared" si="11"/>
        <v>层高</v>
      </c>
      <c r="R39" s="714" t="s">
        <v>17</v>
      </c>
      <c r="S39" s="715">
        <f t="shared" si="12"/>
        <v>100</v>
      </c>
      <c r="T39" s="714" t="s">
        <v>17</v>
      </c>
      <c r="U39" s="715">
        <f t="shared" si="13"/>
        <v>100</v>
      </c>
      <c r="V39" s="714" t="s">
        <v>17</v>
      </c>
      <c r="W39" s="715">
        <f t="shared" si="14"/>
        <v>100</v>
      </c>
      <c r="X39" s="1490"/>
      <c r="Y39" s="3510"/>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08"/>
      <c r="Q40" s="1487" t="str">
        <f t="shared" si="11"/>
        <v>单套建筑面积</v>
      </c>
      <c r="R40" s="714" t="s">
        <v>17</v>
      </c>
      <c r="S40" s="715">
        <f t="shared" si="12"/>
        <v>100</v>
      </c>
      <c r="T40" s="714" t="s">
        <v>17</v>
      </c>
      <c r="U40" s="715">
        <f t="shared" si="13"/>
        <v>100</v>
      </c>
      <c r="V40" s="714" t="s">
        <v>17</v>
      </c>
      <c r="W40" s="715">
        <f t="shared" si="14"/>
        <v>100</v>
      </c>
      <c r="X40" s="1490"/>
      <c r="Y40" s="3510"/>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08"/>
      <c r="Q41" s="716" t="str">
        <f t="shared" si="11"/>
        <v>进深比</v>
      </c>
      <c r="R41" s="717" t="s">
        <v>17</v>
      </c>
      <c r="S41" s="718">
        <f t="shared" si="12"/>
        <v>100</v>
      </c>
      <c r="T41" s="717" t="s">
        <v>17</v>
      </c>
      <c r="U41" s="718">
        <f t="shared" si="13"/>
        <v>100</v>
      </c>
      <c r="V41" s="717" t="s">
        <v>17</v>
      </c>
      <c r="W41" s="718">
        <f t="shared" si="14"/>
        <v>100</v>
      </c>
      <c r="X41" s="719"/>
      <c r="Y41" s="3510"/>
      <c r="Z41" s="720" t="str">
        <f t="shared" si="15"/>
        <v>进深比</v>
      </c>
      <c r="AA41" s="1488">
        <f t="shared" si="3"/>
        <v>1</v>
      </c>
      <c r="AB41" s="1488">
        <f t="shared" si="4"/>
        <v>1</v>
      </c>
      <c r="AC41" s="1488">
        <f t="shared" si="5"/>
        <v>1</v>
      </c>
    </row>
    <row r="42" spans="1:29" ht="15">
      <c r="A42" s="431"/>
      <c r="B42" s="381" t="s">
        <v>2243</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08"/>
      <c r="Q42" s="1487" t="str">
        <f t="shared" si="11"/>
        <v>内部装修</v>
      </c>
      <c r="R42" s="714" t="s">
        <v>17</v>
      </c>
      <c r="S42" s="715">
        <f t="shared" si="12"/>
        <v>100</v>
      </c>
      <c r="T42" s="714" t="s">
        <v>17</v>
      </c>
      <c r="U42" s="715">
        <f t="shared" si="13"/>
        <v>100</v>
      </c>
      <c r="V42" s="714" t="s">
        <v>17</v>
      </c>
      <c r="W42" s="715">
        <f t="shared" si="14"/>
        <v>100</v>
      </c>
      <c r="X42" s="1490"/>
      <c r="Y42" s="3510"/>
      <c r="Z42" s="1491" t="str">
        <f t="shared" si="15"/>
        <v>内部装修</v>
      </c>
      <c r="AA42" s="1488">
        <f t="shared" si="3"/>
        <v>1</v>
      </c>
      <c r="AB42" s="1488">
        <f t="shared" si="4"/>
        <v>1</v>
      </c>
      <c r="AC42" s="1488">
        <f t="shared" si="5"/>
        <v>1</v>
      </c>
    </row>
    <row r="43" spans="1:29" ht="15">
      <c r="A43" s="431"/>
      <c r="B43" s="381" t="s">
        <v>2151</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08"/>
      <c r="Q43" s="1487" t="str">
        <f t="shared" si="11"/>
        <v>内部装修维护情况</v>
      </c>
      <c r="R43" s="714" t="s">
        <v>17</v>
      </c>
      <c r="S43" s="715">
        <f t="shared" si="12"/>
        <v>100</v>
      </c>
      <c r="T43" s="714" t="s">
        <v>17</v>
      </c>
      <c r="U43" s="715">
        <f t="shared" si="13"/>
        <v>100</v>
      </c>
      <c r="V43" s="714" t="s">
        <v>17</v>
      </c>
      <c r="W43" s="715">
        <f t="shared" si="14"/>
        <v>100</v>
      </c>
      <c r="X43" s="1490"/>
      <c r="Y43" s="351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08"/>
      <c r="Q44" s="1478">
        <f t="shared" si="11"/>
        <v>111</v>
      </c>
      <c r="R44" s="710" t="s">
        <v>17</v>
      </c>
      <c r="S44" s="711">
        <f t="shared" si="12"/>
        <v>100</v>
      </c>
      <c r="T44" s="710" t="s">
        <v>17</v>
      </c>
      <c r="U44" s="711">
        <f t="shared" si="13"/>
        <v>100</v>
      </c>
      <c r="V44" s="710" t="s">
        <v>17</v>
      </c>
      <c r="W44" s="711">
        <f t="shared" si="14"/>
        <v>100</v>
      </c>
      <c r="X44" s="712"/>
      <c r="Y44" s="351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08"/>
      <c r="Q45" s="1487">
        <f t="shared" si="11"/>
        <v>111</v>
      </c>
      <c r="R45" s="714" t="s">
        <v>17</v>
      </c>
      <c r="S45" s="715">
        <f t="shared" si="12"/>
        <v>100</v>
      </c>
      <c r="T45" s="714" t="s">
        <v>17</v>
      </c>
      <c r="U45" s="715">
        <f t="shared" si="13"/>
        <v>100</v>
      </c>
      <c r="V45" s="714" t="s">
        <v>17</v>
      </c>
      <c r="W45" s="715">
        <f t="shared" si="14"/>
        <v>100</v>
      </c>
      <c r="X45" s="1490"/>
      <c r="Y45" s="3510"/>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09"/>
      <c r="Q46" s="1487">
        <f t="shared" si="11"/>
        <v>111</v>
      </c>
      <c r="R46" s="714" t="s">
        <v>17</v>
      </c>
      <c r="S46" s="715">
        <f t="shared" si="12"/>
        <v>100</v>
      </c>
      <c r="T46" s="714" t="s">
        <v>17</v>
      </c>
      <c r="U46" s="715">
        <f t="shared" si="13"/>
        <v>100</v>
      </c>
      <c r="V46" s="714" t="s">
        <v>17</v>
      </c>
      <c r="W46" s="715">
        <f t="shared" si="14"/>
        <v>100</v>
      </c>
      <c r="X46" s="1490"/>
      <c r="Y46" s="3511"/>
      <c r="Z46" s="1491">
        <f t="shared" si="15"/>
        <v>111</v>
      </c>
      <c r="AA46" s="1488">
        <f t="shared" si="3"/>
        <v>1</v>
      </c>
      <c r="AB46" s="1488">
        <f t="shared" si="4"/>
        <v>1</v>
      </c>
      <c r="AC46" s="1488">
        <f t="shared" si="5"/>
        <v>1</v>
      </c>
    </row>
    <row r="47" spans="1:29" ht="15">
      <c r="A47" s="438" t="s">
        <v>2152</v>
      </c>
      <c r="B47" s="439"/>
      <c r="C47" s="1269" t="s">
        <v>1</v>
      </c>
      <c r="D47" s="1270"/>
      <c r="E47" s="1271"/>
      <c r="F47" s="1272"/>
      <c r="G47" s="1273"/>
      <c r="H47" s="1274"/>
      <c r="I47" s="1271"/>
      <c r="J47" s="1274"/>
      <c r="K47" s="723"/>
      <c r="L47" s="2903"/>
      <c r="M47" s="2904"/>
      <c r="N47" s="2895"/>
      <c r="O47" s="2904"/>
      <c r="P47" s="3512" t="str">
        <f>A47</f>
        <v>成交单价（元/平方米）</v>
      </c>
      <c r="Q47" s="3512"/>
      <c r="R47" s="3500">
        <f>E47</f>
        <v>0</v>
      </c>
      <c r="S47" s="3500"/>
      <c r="T47" s="3500">
        <f>G47</f>
        <v>0</v>
      </c>
      <c r="U47" s="3500"/>
      <c r="V47" s="3500">
        <f>I47</f>
        <v>0</v>
      </c>
      <c r="W47" s="3500"/>
      <c r="X47" s="699"/>
      <c r="Y47" s="721"/>
      <c r="Z47" s="699"/>
      <c r="AA47" s="699"/>
      <c r="AB47" s="699"/>
      <c r="AC47" s="699"/>
    </row>
    <row r="48" spans="1:29" ht="15.75" thickBot="1">
      <c r="A48" s="445" t="s">
        <v>2244</v>
      </c>
      <c r="B48" s="446"/>
      <c r="C48" s="1275" t="e">
        <f>R49</f>
        <v>#DIV/0!</v>
      </c>
      <c r="D48" s="2489" t="s">
        <v>2634</v>
      </c>
      <c r="E48" s="1276" t="e">
        <f>R48</f>
        <v>#DIV/0!</v>
      </c>
      <c r="F48" s="2490"/>
      <c r="G48" s="1275" t="e">
        <f>T48</f>
        <v>#DIV/0!</v>
      </c>
      <c r="H48" s="2490"/>
      <c r="I48" s="1276" t="e">
        <f>V48</f>
        <v>#DIV/0!</v>
      </c>
      <c r="J48" s="2490"/>
      <c r="K48" s="2492">
        <f>F48+H48+J48</f>
        <v>0</v>
      </c>
      <c r="L48" s="2903"/>
      <c r="M48" s="2904"/>
      <c r="N48" s="2895"/>
      <c r="O48" s="2904"/>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903"/>
      <c r="M49" s="2904"/>
      <c r="N49" s="2895"/>
      <c r="O49" s="2904"/>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2249</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2160</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2125</v>
      </c>
      <c r="B61" s="467"/>
      <c r="C61" s="479" t="s">
        <v>2227</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2163</v>
      </c>
      <c r="B63" s="485" t="s">
        <v>2129</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2134</v>
      </c>
      <c r="B76" s="485" t="s">
        <v>2171</v>
      </c>
      <c r="C76" s="530" t="s">
        <v>2172</v>
      </c>
      <c r="D76" s="530" t="s">
        <v>2173</v>
      </c>
      <c r="E76" s="530" t="s">
        <v>2174</v>
      </c>
      <c r="F76" s="530" t="s">
        <v>2175</v>
      </c>
      <c r="G76" s="530" t="s">
        <v>2176</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2177</v>
      </c>
      <c r="C78" s="535" t="s">
        <v>2172</v>
      </c>
      <c r="D78" s="535" t="s">
        <v>2173</v>
      </c>
      <c r="E78" s="535" t="s">
        <v>2174</v>
      </c>
      <c r="F78" s="535" t="s">
        <v>2175</v>
      </c>
      <c r="G78" s="535" t="s">
        <v>2176</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2178</v>
      </c>
      <c r="C80" s="535" t="s">
        <v>2172</v>
      </c>
      <c r="D80" s="535" t="s">
        <v>2173</v>
      </c>
      <c r="E80" s="535" t="s">
        <v>2174</v>
      </c>
      <c r="F80" s="535" t="s">
        <v>2175</v>
      </c>
      <c r="G80" s="535" t="s">
        <v>2176</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2230</v>
      </c>
      <c r="C82" s="616" t="s">
        <v>2250</v>
      </c>
      <c r="D82" s="616" t="s">
        <v>2251</v>
      </c>
      <c r="E82" s="616" t="s">
        <v>2252</v>
      </c>
      <c r="F82" s="616" t="s">
        <v>2253</v>
      </c>
      <c r="G82" s="616" t="s">
        <v>2254</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2184</v>
      </c>
      <c r="C84" s="535" t="s">
        <v>2172</v>
      </c>
      <c r="D84" s="535" t="s">
        <v>2173</v>
      </c>
      <c r="E84" s="535" t="s">
        <v>2174</v>
      </c>
      <c r="F84" s="535" t="s">
        <v>2175</v>
      </c>
      <c r="G84" s="535" t="s">
        <v>2176</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2255</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2138</v>
      </c>
      <c r="B100" s="485" t="s">
        <v>2256</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2189</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2191</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1630</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2193</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2257</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2258</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2259</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2260</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2195</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2277</v>
      </c>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IF(C2="——",ROUND(C43*D3/10000,0),ROUND(C43*D3/10000,0)-D2)</f>
        <v>#DIV/0!</v>
      </c>
      <c r="C2" s="2018"/>
      <c r="D2" s="1019" t="e">
        <f ca="1">SUMIF(INDIRECT("'"&amp;F2&amp;"'"&amp;"!A:A"),"承租人权益价值",INDIRECT("'"&amp;F2&amp;"'"&amp;"!c:c"))</f>
        <v>#REF!</v>
      </c>
      <c r="E2" s="2019" t="s">
        <v>1903</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1904</v>
      </c>
      <c r="B3" s="566" t="e">
        <f ca="1">IF(C2="——",C43,ROUND(B2*10000/D3,0))</f>
        <v>#DIV/0!</v>
      </c>
      <c r="C3" s="360" t="s">
        <v>2219</v>
      </c>
      <c r="D3" s="359">
        <f>IF(D1="",'数据-汇总表'!E3,SUMIF('数据-汇总表'!$C19:$C33,D1,'数据-汇总表'!$E19:$E33))</f>
        <v>373.88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1025"/>
      <c r="M4" s="1026"/>
      <c r="N4" s="1026"/>
      <c r="O4" s="1026"/>
      <c r="P4" s="3541" t="s">
        <v>2226</v>
      </c>
      <c r="Q4" s="3542"/>
      <c r="R4" s="3539" t="s">
        <v>2222</v>
      </c>
      <c r="S4" s="3540"/>
      <c r="T4" s="3539" t="s">
        <v>2223</v>
      </c>
      <c r="U4" s="3540"/>
      <c r="V4" s="3500" t="s">
        <v>2224</v>
      </c>
      <c r="W4" s="3500"/>
      <c r="X4" s="1490"/>
      <c r="Y4" s="3539" t="s">
        <v>2226</v>
      </c>
      <c r="Z4" s="3540"/>
      <c r="AA4" s="3538" t="s">
        <v>2222</v>
      </c>
      <c r="AB4" s="3466" t="s">
        <v>2223</v>
      </c>
      <c r="AC4" s="3538" t="s">
        <v>2224</v>
      </c>
    </row>
    <row r="5" spans="1:29" ht="15">
      <c r="A5" s="364"/>
      <c r="B5" s="365"/>
      <c r="C5" s="3480" t="s">
        <v>2117</v>
      </c>
      <c r="D5" s="3477"/>
      <c r="E5" s="3474" t="s">
        <v>2118</v>
      </c>
      <c r="F5" s="3475"/>
      <c r="G5" s="3480" t="s">
        <v>2119</v>
      </c>
      <c r="H5" s="3477"/>
      <c r="I5" s="3480" t="s">
        <v>2120</v>
      </c>
      <c r="J5" s="3477"/>
      <c r="K5" s="567"/>
      <c r="L5" s="1025"/>
      <c r="M5" s="1026"/>
      <c r="N5" s="1026"/>
      <c r="O5" s="1026"/>
      <c r="P5" s="3543"/>
      <c r="Q5" s="3494"/>
      <c r="R5" s="3472"/>
      <c r="S5" s="3473"/>
      <c r="T5" s="3472"/>
      <c r="U5" s="3473"/>
      <c r="V5" s="3500"/>
      <c r="W5" s="3500"/>
      <c r="X5" s="1490"/>
      <c r="Y5" s="3472"/>
      <c r="Z5" s="3473"/>
      <c r="AA5" s="3466"/>
      <c r="AB5" s="3466"/>
      <c r="AC5" s="3466"/>
    </row>
    <row r="6" spans="1:29" ht="15.75" thickBot="1">
      <c r="A6" s="366"/>
      <c r="B6" s="367"/>
      <c r="C6" s="3478" t="s">
        <v>2121</v>
      </c>
      <c r="D6" s="3479"/>
      <c r="E6" s="3481" t="s">
        <v>2121</v>
      </c>
      <c r="F6" s="3482"/>
      <c r="G6" s="3478" t="s">
        <v>2121</v>
      </c>
      <c r="H6" s="3479"/>
      <c r="I6" s="3478" t="s">
        <v>2121</v>
      </c>
      <c r="J6" s="3479"/>
      <c r="K6" s="567" t="s">
        <v>2122</v>
      </c>
      <c r="L6" s="1025"/>
      <c r="M6" s="1026"/>
      <c r="N6" s="1026"/>
      <c r="O6" s="1026"/>
      <c r="P6" s="3544"/>
      <c r="Q6" s="3496"/>
      <c r="R6" s="3472"/>
      <c r="S6" s="3473"/>
      <c r="T6" s="3497"/>
      <c r="U6" s="3498"/>
      <c r="V6" s="3500"/>
      <c r="W6" s="3500"/>
      <c r="X6" s="1490"/>
      <c r="Y6" s="3497"/>
      <c r="Z6" s="3498"/>
      <c r="AA6" s="3467"/>
      <c r="AB6" s="3467"/>
      <c r="AC6" s="3467"/>
    </row>
    <row r="7" spans="1:29" s="113" customFormat="1" ht="15.75" thickBot="1">
      <c r="A7" s="368" t="s">
        <v>2123</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8" t="s">
        <v>2124</v>
      </c>
      <c r="Q7" s="3502"/>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8" t="s">
        <v>2127</v>
      </c>
      <c r="Q8" s="3469"/>
      <c r="R8" s="710" t="s">
        <v>17</v>
      </c>
      <c r="S8" s="711">
        <f t="shared" si="0"/>
        <v>0</v>
      </c>
      <c r="T8" s="710" t="s">
        <v>17</v>
      </c>
      <c r="U8" s="711">
        <f t="shared" si="1"/>
        <v>0</v>
      </c>
      <c r="V8" s="710" t="s">
        <v>17</v>
      </c>
      <c r="W8" s="711">
        <f t="shared" si="2"/>
        <v>0</v>
      </c>
      <c r="X8" s="712"/>
      <c r="Y8" s="3468" t="s">
        <v>2127</v>
      </c>
      <c r="Z8" s="3469"/>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2"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2"/>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2"/>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12"/>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12"/>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12"/>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2134</v>
      </c>
      <c r="B15" s="65" t="s">
        <v>2278</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5" t="s">
        <v>2135</v>
      </c>
      <c r="Q15" s="1487" t="str">
        <f t="shared" si="6"/>
        <v>产业集聚程度</v>
      </c>
      <c r="R15" s="714" t="s">
        <v>17</v>
      </c>
      <c r="S15" s="715">
        <f t="shared" si="0"/>
        <v>100</v>
      </c>
      <c r="T15" s="714" t="s">
        <v>17</v>
      </c>
      <c r="U15" s="715">
        <f t="shared" si="1"/>
        <v>100</v>
      </c>
      <c r="V15" s="714" t="s">
        <v>17</v>
      </c>
      <c r="W15" s="715">
        <f t="shared" si="2"/>
        <v>100</v>
      </c>
      <c r="X15" s="1490"/>
      <c r="Y15" s="3505"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6"/>
      <c r="Q16" s="1487"/>
      <c r="R16" s="714"/>
      <c r="S16" s="715"/>
      <c r="T16" s="714"/>
      <c r="U16" s="715"/>
      <c r="V16" s="714"/>
      <c r="W16" s="715"/>
      <c r="X16" s="1490"/>
      <c r="Y16" s="3506"/>
      <c r="Z16" s="1491"/>
      <c r="AA16" s="1488">
        <v>1</v>
      </c>
      <c r="AB16" s="1488">
        <v>1</v>
      </c>
      <c r="AC16" s="1488">
        <v>1</v>
      </c>
    </row>
    <row r="17" spans="1:29" ht="85.5">
      <c r="A17" s="387"/>
      <c r="B17" s="410" t="s">
        <v>1699</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6"/>
      <c r="Q17" s="1487" t="str">
        <f>B17</f>
        <v>交通便捷度</v>
      </c>
      <c r="R17" s="714" t="s">
        <v>17</v>
      </c>
      <c r="S17" s="715">
        <f>F17</f>
        <v>100</v>
      </c>
      <c r="T17" s="714" t="s">
        <v>17</v>
      </c>
      <c r="U17" s="715">
        <f>H17</f>
        <v>100</v>
      </c>
      <c r="V17" s="714" t="s">
        <v>17</v>
      </c>
      <c r="W17" s="715">
        <f>J17</f>
        <v>100</v>
      </c>
      <c r="X17" s="1490"/>
      <c r="Y17" s="350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6"/>
      <c r="Q18" s="1487"/>
      <c r="R18" s="714"/>
      <c r="S18" s="715"/>
      <c r="T18" s="714"/>
      <c r="U18" s="715"/>
      <c r="V18" s="714"/>
      <c r="W18" s="715"/>
      <c r="X18" s="1490"/>
      <c r="Y18" s="3506"/>
      <c r="Z18" s="1491"/>
      <c r="AA18" s="1488">
        <v>1</v>
      </c>
      <c r="AB18" s="1488">
        <v>1</v>
      </c>
      <c r="AC18" s="1488">
        <v>1</v>
      </c>
    </row>
    <row r="19" spans="1:29" ht="42.75">
      <c r="A19" s="387"/>
      <c r="B19" s="410" t="s">
        <v>2263</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6"/>
      <c r="Q19" s="1487" t="str">
        <f>B19</f>
        <v>公共配套设施</v>
      </c>
      <c r="R19" s="714" t="s">
        <v>17</v>
      </c>
      <c r="S19" s="715">
        <f>F19</f>
        <v>100</v>
      </c>
      <c r="T19" s="714" t="s">
        <v>17</v>
      </c>
      <c r="U19" s="715">
        <f>H19</f>
        <v>100</v>
      </c>
      <c r="V19" s="714" t="s">
        <v>17</v>
      </c>
      <c r="W19" s="715">
        <f>J19</f>
        <v>100</v>
      </c>
      <c r="X19" s="1490"/>
      <c r="Y19" s="350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6"/>
      <c r="Q20" s="1487"/>
      <c r="R20" s="714"/>
      <c r="S20" s="715"/>
      <c r="T20" s="714"/>
      <c r="U20" s="715"/>
      <c r="V20" s="714"/>
      <c r="W20" s="715"/>
      <c r="X20" s="1490"/>
      <c r="Y20" s="3506"/>
      <c r="Z20" s="1491"/>
      <c r="AA20" s="1488">
        <v>1</v>
      </c>
      <c r="AB20" s="1488">
        <v>1</v>
      </c>
      <c r="AC20" s="1488">
        <v>1</v>
      </c>
    </row>
    <row r="21" spans="1:29" ht="28.5">
      <c r="A21" s="387"/>
      <c r="B21" s="1246" t="s">
        <v>2264</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6"/>
      <c r="Q21" s="1487" t="str">
        <f>B21</f>
        <v>基础设施水平</v>
      </c>
      <c r="R21" s="714" t="s">
        <v>17</v>
      </c>
      <c r="S21" s="715">
        <f>F21</f>
        <v>100</v>
      </c>
      <c r="T21" s="714" t="s">
        <v>17</v>
      </c>
      <c r="U21" s="715">
        <f>H21</f>
        <v>100</v>
      </c>
      <c r="V21" s="714" t="s">
        <v>17</v>
      </c>
      <c r="W21" s="715">
        <f>J21</f>
        <v>100</v>
      </c>
      <c r="X21" s="1490"/>
      <c r="Y21" s="350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6"/>
      <c r="Q22" s="1487"/>
      <c r="R22" s="714"/>
      <c r="S22" s="715"/>
      <c r="T22" s="714"/>
      <c r="U22" s="715"/>
      <c r="V22" s="714"/>
      <c r="W22" s="715"/>
      <c r="X22" s="1490"/>
      <c r="Y22" s="3506"/>
      <c r="Z22" s="1491"/>
      <c r="AA22" s="1488">
        <v>1</v>
      </c>
      <c r="AB22" s="1488">
        <v>1</v>
      </c>
      <c r="AC22" s="1488">
        <v>1</v>
      </c>
    </row>
    <row r="23" spans="1:29" ht="71.25">
      <c r="A23" s="387"/>
      <c r="B23" s="410" t="s">
        <v>2265</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6"/>
      <c r="Q23" s="1487" t="str">
        <f>B23</f>
        <v>环境质量</v>
      </c>
      <c r="R23" s="714" t="s">
        <v>17</v>
      </c>
      <c r="S23" s="715">
        <f>F23</f>
        <v>100</v>
      </c>
      <c r="T23" s="714" t="s">
        <v>17</v>
      </c>
      <c r="U23" s="715">
        <f>H23</f>
        <v>100</v>
      </c>
      <c r="V23" s="714" t="s">
        <v>17</v>
      </c>
      <c r="W23" s="715">
        <f>J23</f>
        <v>100</v>
      </c>
      <c r="X23" s="1490"/>
      <c r="Y23" s="3506"/>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6"/>
      <c r="Q24" s="1487"/>
      <c r="R24" s="714"/>
      <c r="S24" s="715"/>
      <c r="T24" s="714"/>
      <c r="U24" s="715"/>
      <c r="V24" s="714"/>
      <c r="W24" s="715"/>
      <c r="X24" s="1490"/>
      <c r="Y24" s="350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6"/>
      <c r="Q25" s="1487">
        <f>B25</f>
        <v>111</v>
      </c>
      <c r="R25" s="714" t="s">
        <v>17</v>
      </c>
      <c r="S25" s="715">
        <f>F25</f>
        <v>100</v>
      </c>
      <c r="T25" s="714" t="s">
        <v>17</v>
      </c>
      <c r="U25" s="715">
        <f>H25</f>
        <v>100</v>
      </c>
      <c r="V25" s="714" t="s">
        <v>17</v>
      </c>
      <c r="W25" s="715">
        <f>J25</f>
        <v>100</v>
      </c>
      <c r="X25" s="1490"/>
      <c r="Y25" s="350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6"/>
      <c r="Q26" s="1487">
        <f t="shared" ref="Q26:Q40" si="11">B26</f>
        <v>111</v>
      </c>
      <c r="R26" s="714" t="s">
        <v>17</v>
      </c>
      <c r="S26" s="715">
        <f>F26</f>
        <v>100</v>
      </c>
      <c r="T26" s="714" t="s">
        <v>17</v>
      </c>
      <c r="U26" s="715">
        <f>H26</f>
        <v>100</v>
      </c>
      <c r="V26" s="714" t="s">
        <v>17</v>
      </c>
      <c r="W26" s="715">
        <f>J26</f>
        <v>100</v>
      </c>
      <c r="X26" s="1490"/>
      <c r="Y26" s="350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6"/>
      <c r="Q27" s="1478">
        <f t="shared" si="11"/>
        <v>111</v>
      </c>
      <c r="R27" s="710" t="s">
        <v>17</v>
      </c>
      <c r="S27" s="711">
        <f>F27</f>
        <v>100</v>
      </c>
      <c r="T27" s="710" t="s">
        <v>17</v>
      </c>
      <c r="U27" s="711">
        <f>H27</f>
        <v>100</v>
      </c>
      <c r="V27" s="710" t="s">
        <v>17</v>
      </c>
      <c r="W27" s="711">
        <f>J27</f>
        <v>100</v>
      </c>
      <c r="X27" s="712"/>
      <c r="Y27" s="350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6"/>
      <c r="Q28" s="1487">
        <f t="shared" si="11"/>
        <v>111</v>
      </c>
      <c r="R28" s="714" t="s">
        <v>17</v>
      </c>
      <c r="S28" s="715">
        <f t="shared" ref="S28:S40" si="12">F28</f>
        <v>100</v>
      </c>
      <c r="T28" s="714" t="s">
        <v>17</v>
      </c>
      <c r="U28" s="715">
        <f t="shared" ref="U28:U40" si="13">H28</f>
        <v>100</v>
      </c>
      <c r="V28" s="714" t="s">
        <v>17</v>
      </c>
      <c r="W28" s="715">
        <f t="shared" ref="W28:W40" si="14">J28</f>
        <v>100</v>
      </c>
      <c r="X28" s="1490"/>
      <c r="Y28" s="3506"/>
      <c r="Z28" s="1491">
        <f t="shared" ref="Z28:Z40" si="15">Q28</f>
        <v>111</v>
      </c>
      <c r="AA28" s="1488">
        <f t="shared" si="3"/>
        <v>1</v>
      </c>
      <c r="AB28" s="1488">
        <f t="shared" si="4"/>
        <v>1</v>
      </c>
      <c r="AC28" s="1488">
        <f t="shared" si="5"/>
        <v>1</v>
      </c>
    </row>
    <row r="29" spans="1:29" ht="28.5">
      <c r="A29" s="425" t="s">
        <v>2138</v>
      </c>
      <c r="B29" s="67" t="s">
        <v>2268</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8" t="s">
        <v>2140</v>
      </c>
      <c r="Q29" s="1487" t="str">
        <f t="shared" si="11"/>
        <v>建筑类型</v>
      </c>
      <c r="R29" s="714" t="s">
        <v>17</v>
      </c>
      <c r="S29" s="715">
        <f t="shared" si="12"/>
        <v>100</v>
      </c>
      <c r="T29" s="714" t="s">
        <v>17</v>
      </c>
      <c r="U29" s="715">
        <f t="shared" si="13"/>
        <v>100</v>
      </c>
      <c r="V29" s="714" t="s">
        <v>17</v>
      </c>
      <c r="W29" s="715">
        <f t="shared" si="14"/>
        <v>100</v>
      </c>
      <c r="X29" s="1490"/>
      <c r="Y29" s="3510"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0"/>
      <c r="Q30" s="716" t="str">
        <f t="shared" si="11"/>
        <v>项目建筑规模</v>
      </c>
      <c r="R30" s="717" t="s">
        <v>17</v>
      </c>
      <c r="S30" s="718" t="e">
        <f t="shared" si="12"/>
        <v>#N/A</v>
      </c>
      <c r="T30" s="717" t="s">
        <v>17</v>
      </c>
      <c r="U30" s="718" t="e">
        <f t="shared" si="13"/>
        <v>#N/A</v>
      </c>
      <c r="V30" s="717" t="s">
        <v>17</v>
      </c>
      <c r="W30" s="718" t="e">
        <f t="shared" si="14"/>
        <v>#N/A</v>
      </c>
      <c r="X30" s="719"/>
      <c r="Y30" s="3510"/>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0"/>
      <c r="Q31" s="1487" t="str">
        <f t="shared" si="11"/>
        <v>建筑结构</v>
      </c>
      <c r="R31" s="714" t="s">
        <v>17</v>
      </c>
      <c r="S31" s="715">
        <f t="shared" si="12"/>
        <v>100</v>
      </c>
      <c r="T31" s="714" t="s">
        <v>17</v>
      </c>
      <c r="U31" s="715">
        <f t="shared" si="13"/>
        <v>100</v>
      </c>
      <c r="V31" s="714" t="s">
        <v>17</v>
      </c>
      <c r="W31" s="715">
        <f t="shared" si="14"/>
        <v>100</v>
      </c>
      <c r="X31" s="1490"/>
      <c r="Y31" s="3510"/>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0"/>
      <c r="Q32" s="1487" t="str">
        <f t="shared" si="11"/>
        <v>公共部分装修</v>
      </c>
      <c r="R32" s="714" t="s">
        <v>17</v>
      </c>
      <c r="S32" s="715">
        <f t="shared" si="12"/>
        <v>100</v>
      </c>
      <c r="T32" s="714" t="s">
        <v>17</v>
      </c>
      <c r="U32" s="715">
        <f t="shared" si="13"/>
        <v>100</v>
      </c>
      <c r="V32" s="714" t="s">
        <v>17</v>
      </c>
      <c r="W32" s="715">
        <f t="shared" si="14"/>
        <v>100</v>
      </c>
      <c r="X32" s="1490"/>
      <c r="Y32" s="3510"/>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0"/>
      <c r="Q33" s="1487" t="str">
        <f t="shared" si="11"/>
        <v>成新度</v>
      </c>
      <c r="R33" s="714" t="s">
        <v>17</v>
      </c>
      <c r="S33" s="715" t="e">
        <f t="shared" si="12"/>
        <v>#N/A</v>
      </c>
      <c r="T33" s="714" t="s">
        <v>17</v>
      </c>
      <c r="U33" s="715" t="e">
        <f t="shared" si="13"/>
        <v>#N/A</v>
      </c>
      <c r="V33" s="714" t="s">
        <v>17</v>
      </c>
      <c r="W33" s="715" t="e">
        <f t="shared" si="14"/>
        <v>#N/A</v>
      </c>
      <c r="X33" s="1490"/>
      <c r="Y33" s="3510"/>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0"/>
      <c r="Q34" s="1478" t="str">
        <f t="shared" si="11"/>
        <v>物业管理</v>
      </c>
      <c r="R34" s="710" t="s">
        <v>17</v>
      </c>
      <c r="S34" s="711">
        <f t="shared" si="12"/>
        <v>100</v>
      </c>
      <c r="T34" s="710" t="s">
        <v>17</v>
      </c>
      <c r="U34" s="711">
        <f t="shared" si="13"/>
        <v>100</v>
      </c>
      <c r="V34" s="710" t="s">
        <v>17</v>
      </c>
      <c r="W34" s="711">
        <f t="shared" si="14"/>
        <v>100</v>
      </c>
      <c r="X34" s="712"/>
      <c r="Y34" s="3510"/>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0" t="s">
        <v>2140</v>
      </c>
      <c r="Q35" s="1487" t="str">
        <f t="shared" si="11"/>
        <v>市政基础设施</v>
      </c>
      <c r="R35" s="714" t="s">
        <v>17</v>
      </c>
      <c r="S35" s="715">
        <f t="shared" si="12"/>
        <v>100</v>
      </c>
      <c r="T35" s="714" t="s">
        <v>17</v>
      </c>
      <c r="U35" s="715">
        <f t="shared" si="13"/>
        <v>100</v>
      </c>
      <c r="V35" s="714" t="s">
        <v>17</v>
      </c>
      <c r="W35" s="715">
        <f t="shared" si="14"/>
        <v>100</v>
      </c>
      <c r="X35" s="1490"/>
      <c r="Y35" s="3510"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0"/>
      <c r="Q36" s="1487" t="str">
        <f t="shared" si="11"/>
        <v>内部装修</v>
      </c>
      <c r="R36" s="714" t="s">
        <v>17</v>
      </c>
      <c r="S36" s="715">
        <f t="shared" si="12"/>
        <v>100</v>
      </c>
      <c r="T36" s="714" t="s">
        <v>17</v>
      </c>
      <c r="U36" s="715">
        <f t="shared" si="13"/>
        <v>100</v>
      </c>
      <c r="V36" s="714" t="s">
        <v>17</v>
      </c>
      <c r="W36" s="715">
        <f t="shared" si="14"/>
        <v>100</v>
      </c>
      <c r="X36" s="1490"/>
      <c r="Y36" s="3510"/>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0"/>
      <c r="Q37" s="1487" t="str">
        <f t="shared" si="11"/>
        <v>内部装修状况</v>
      </c>
      <c r="R37" s="714" t="s">
        <v>17</v>
      </c>
      <c r="S37" s="715">
        <f t="shared" si="12"/>
        <v>100</v>
      </c>
      <c r="T37" s="714" t="s">
        <v>17</v>
      </c>
      <c r="U37" s="715">
        <f t="shared" si="13"/>
        <v>100</v>
      </c>
      <c r="V37" s="714" t="s">
        <v>17</v>
      </c>
      <c r="W37" s="715">
        <f t="shared" si="14"/>
        <v>100</v>
      </c>
      <c r="X37" s="1490"/>
      <c r="Y37" s="351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0"/>
      <c r="Q38" s="716">
        <f t="shared" si="11"/>
        <v>111</v>
      </c>
      <c r="R38" s="717" t="s">
        <v>17</v>
      </c>
      <c r="S38" s="718">
        <f t="shared" si="12"/>
        <v>100</v>
      </c>
      <c r="T38" s="717" t="s">
        <v>17</v>
      </c>
      <c r="U38" s="718">
        <f t="shared" si="13"/>
        <v>100</v>
      </c>
      <c r="V38" s="717" t="s">
        <v>17</v>
      </c>
      <c r="W38" s="718">
        <f t="shared" si="14"/>
        <v>100</v>
      </c>
      <c r="X38" s="719"/>
      <c r="Y38" s="351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0"/>
      <c r="Q39" s="1487">
        <f t="shared" si="11"/>
        <v>111</v>
      </c>
      <c r="R39" s="714" t="s">
        <v>17</v>
      </c>
      <c r="S39" s="715">
        <f t="shared" si="12"/>
        <v>100</v>
      </c>
      <c r="T39" s="714" t="s">
        <v>17</v>
      </c>
      <c r="U39" s="715">
        <f t="shared" si="13"/>
        <v>100</v>
      </c>
      <c r="V39" s="714" t="s">
        <v>17</v>
      </c>
      <c r="W39" s="715">
        <f t="shared" si="14"/>
        <v>100</v>
      </c>
      <c r="X39" s="1490"/>
      <c r="Y39" s="3510"/>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1"/>
      <c r="Q40" s="1487">
        <f t="shared" si="11"/>
        <v>111</v>
      </c>
      <c r="R40" s="714" t="s">
        <v>17</v>
      </c>
      <c r="S40" s="715">
        <f t="shared" si="12"/>
        <v>100</v>
      </c>
      <c r="T40" s="714" t="s">
        <v>17</v>
      </c>
      <c r="U40" s="715">
        <f t="shared" si="13"/>
        <v>100</v>
      </c>
      <c r="V40" s="714" t="s">
        <v>17</v>
      </c>
      <c r="W40" s="715">
        <f t="shared" si="14"/>
        <v>100</v>
      </c>
      <c r="X40" s="1490"/>
      <c r="Y40" s="3511"/>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512" t="str">
        <f>A41</f>
        <v>成交单价（元/平方米）</v>
      </c>
      <c r="Q41" s="3512"/>
      <c r="R41" s="3513">
        <f>E41</f>
        <v>0</v>
      </c>
      <c r="S41" s="3513"/>
      <c r="T41" s="3513">
        <f>G41</f>
        <v>0</v>
      </c>
      <c r="U41" s="3513"/>
      <c r="V41" s="3513">
        <f>I41</f>
        <v>0</v>
      </c>
      <c r="W41" s="3513"/>
      <c r="X41" s="699"/>
      <c r="Y41" s="721"/>
      <c r="Z41" s="699"/>
      <c r="AA41" s="699"/>
      <c r="AB41" s="699"/>
      <c r="AC41" s="699"/>
    </row>
    <row r="42" spans="1:29" ht="15.75" thickBot="1">
      <c r="A42" s="445" t="s">
        <v>2244</v>
      </c>
      <c r="B42" s="446"/>
      <c r="C42" s="1275" t="e">
        <f>R43</f>
        <v>#DIV/0!</v>
      </c>
      <c r="D42" s="2489" t="s">
        <v>2634</v>
      </c>
      <c r="E42" s="1276" t="e">
        <f>R42</f>
        <v>#DIV/0!</v>
      </c>
      <c r="F42" s="2490"/>
      <c r="G42" s="1275" t="e">
        <f>T42</f>
        <v>#DIV/0!</v>
      </c>
      <c r="H42" s="2490"/>
      <c r="I42" s="1276" t="e">
        <f>V42</f>
        <v>#DIV/0!</v>
      </c>
      <c r="J42" s="2490"/>
      <c r="K42" s="2492">
        <f>F42+H42+J42</f>
        <v>0</v>
      </c>
      <c r="L42" s="1038"/>
      <c r="M42" s="1039"/>
      <c r="N42" s="1026"/>
      <c r="O42" s="1039"/>
      <c r="P42" s="3512" t="str">
        <f>A42</f>
        <v>比较价值（元/平方米）</v>
      </c>
      <c r="Q42" s="3512"/>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9"/>
      <c r="O54" s="2950"/>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1630</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6"/>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1902</v>
      </c>
      <c r="B2" s="1279" t="e">
        <f ca="1">IF(C2="——",IF(B37="元/平方米",ROUND(C39*D3/10000,0),ROUND(F3*C39/10000,0)),IF(B37="元/平方米",ROUND(C39*D3/10000,0),ROUND(F3*C39/10000,0))-D2)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1904</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2894"/>
      <c r="M4" s="2895"/>
      <c r="N4" s="2895"/>
      <c r="O4" s="2895"/>
      <c r="P4" s="3541" t="s">
        <v>2226</v>
      </c>
      <c r="Q4" s="3542"/>
      <c r="R4" s="3539" t="s">
        <v>2222</v>
      </c>
      <c r="S4" s="3540"/>
      <c r="T4" s="3539" t="s">
        <v>2223</v>
      </c>
      <c r="U4" s="3540"/>
      <c r="V4" s="3500" t="s">
        <v>2224</v>
      </c>
      <c r="W4" s="3500"/>
      <c r="X4" s="1490"/>
      <c r="Y4" s="3539" t="s">
        <v>2226</v>
      </c>
      <c r="Z4" s="3540"/>
      <c r="AA4" s="3538" t="s">
        <v>2222</v>
      </c>
      <c r="AB4" s="3466" t="s">
        <v>2223</v>
      </c>
      <c r="AC4" s="3538" t="s">
        <v>2224</v>
      </c>
    </row>
    <row r="5" spans="1:29" ht="15">
      <c r="A5" s="364"/>
      <c r="B5" s="365"/>
      <c r="C5" s="3480" t="s">
        <v>2117</v>
      </c>
      <c r="D5" s="3477"/>
      <c r="E5" s="3474" t="s">
        <v>2118</v>
      </c>
      <c r="F5" s="3475"/>
      <c r="G5" s="3480" t="s">
        <v>2119</v>
      </c>
      <c r="H5" s="3477"/>
      <c r="I5" s="3480" t="s">
        <v>2120</v>
      </c>
      <c r="J5" s="3477"/>
      <c r="K5" s="567"/>
      <c r="L5" s="2894"/>
      <c r="M5" s="2895"/>
      <c r="N5" s="2895"/>
      <c r="O5" s="2895"/>
      <c r="P5" s="3543"/>
      <c r="Q5" s="3494"/>
      <c r="R5" s="3472"/>
      <c r="S5" s="3473"/>
      <c r="T5" s="3472"/>
      <c r="U5" s="3473"/>
      <c r="V5" s="3500"/>
      <c r="W5" s="3500"/>
      <c r="X5" s="1490"/>
      <c r="Y5" s="3472"/>
      <c r="Z5" s="3473"/>
      <c r="AA5" s="3466"/>
      <c r="AB5" s="3466"/>
      <c r="AC5" s="3466"/>
    </row>
    <row r="6" spans="1:29" ht="15.75" thickBot="1">
      <c r="A6" s="366"/>
      <c r="B6" s="367"/>
      <c r="C6" s="3478" t="s">
        <v>2121</v>
      </c>
      <c r="D6" s="3479"/>
      <c r="E6" s="3481" t="s">
        <v>2121</v>
      </c>
      <c r="F6" s="3482"/>
      <c r="G6" s="3478" t="s">
        <v>2121</v>
      </c>
      <c r="H6" s="3479"/>
      <c r="I6" s="3478" t="s">
        <v>2121</v>
      </c>
      <c r="J6" s="3479"/>
      <c r="K6" s="567" t="s">
        <v>2122</v>
      </c>
      <c r="L6" s="2894"/>
      <c r="M6" s="2895"/>
      <c r="N6" s="2895"/>
      <c r="O6" s="2895"/>
      <c r="P6" s="3544"/>
      <c r="Q6" s="3496"/>
      <c r="R6" s="3472"/>
      <c r="S6" s="3473"/>
      <c r="T6" s="3497"/>
      <c r="U6" s="3498"/>
      <c r="V6" s="3500"/>
      <c r="W6" s="3500"/>
      <c r="X6" s="1490"/>
      <c r="Y6" s="3497"/>
      <c r="Z6" s="3498"/>
      <c r="AA6" s="3467"/>
      <c r="AB6" s="3467"/>
      <c r="AC6" s="3467"/>
    </row>
    <row r="7" spans="1:29" s="113" customFormat="1" ht="15.75" thickBot="1">
      <c r="A7" s="368" t="s">
        <v>2123</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68" t="s">
        <v>2124</v>
      </c>
      <c r="Q7" s="3502"/>
      <c r="R7" s="710" t="s">
        <v>17</v>
      </c>
      <c r="S7" s="711">
        <f t="shared" ref="S7:S14" si="0">F7</f>
        <v>0</v>
      </c>
      <c r="T7" s="710" t="s">
        <v>17</v>
      </c>
      <c r="U7" s="711">
        <f t="shared" ref="U7:U14" si="1">H7</f>
        <v>0</v>
      </c>
      <c r="V7" s="710" t="s">
        <v>17</v>
      </c>
      <c r="W7" s="711">
        <f t="shared" ref="W7:W14"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12" t="s">
        <v>2130</v>
      </c>
      <c r="Q9" s="1478" t="str">
        <f t="shared" ref="Q9:Q14" si="6">B9</f>
        <v>用途</v>
      </c>
      <c r="R9" s="710" t="s">
        <v>17</v>
      </c>
      <c r="S9" s="711">
        <f t="shared" si="0"/>
        <v>100</v>
      </c>
      <c r="T9" s="710" t="s">
        <v>17</v>
      </c>
      <c r="U9" s="711">
        <f t="shared" si="1"/>
        <v>100</v>
      </c>
      <c r="V9" s="710" t="s">
        <v>17</v>
      </c>
      <c r="W9" s="711">
        <f t="shared" si="2"/>
        <v>100</v>
      </c>
      <c r="X9" s="712"/>
      <c r="Y9" s="3433"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12"/>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12"/>
      <c r="Q11" s="1478">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12"/>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12"/>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61" t="s">
        <v>2134</v>
      </c>
      <c r="B14" s="585" t="s">
        <v>2284</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05" t="s">
        <v>2135</v>
      </c>
      <c r="Q14" s="1487" t="str">
        <f t="shared" si="6"/>
        <v>交通便捷度</v>
      </c>
      <c r="R14" s="714" t="s">
        <v>17</v>
      </c>
      <c r="S14" s="715">
        <f t="shared" si="0"/>
        <v>100</v>
      </c>
      <c r="T14" s="714" t="s">
        <v>17</v>
      </c>
      <c r="U14" s="715">
        <f t="shared" si="1"/>
        <v>100</v>
      </c>
      <c r="V14" s="714" t="s">
        <v>17</v>
      </c>
      <c r="W14" s="715">
        <f t="shared" si="2"/>
        <v>100</v>
      </c>
      <c r="X14" s="1490"/>
      <c r="Y14" s="3505"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06"/>
      <c r="Q15" s="1487"/>
      <c r="R15" s="714"/>
      <c r="S15" s="715"/>
      <c r="T15" s="714"/>
      <c r="U15" s="715"/>
      <c r="V15" s="714"/>
      <c r="W15" s="715"/>
      <c r="X15" s="1490"/>
      <c r="Y15" s="3506"/>
      <c r="Z15" s="1491"/>
      <c r="AA15" s="1488">
        <v>1</v>
      </c>
      <c r="AB15" s="1488">
        <v>1</v>
      </c>
      <c r="AC15" s="1488">
        <v>1</v>
      </c>
    </row>
    <row r="16" spans="1:29" ht="42.75">
      <c r="A16" s="364"/>
      <c r="B16" s="587" t="s">
        <v>2263</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06"/>
      <c r="Q16" s="1487" t="str">
        <f>B16</f>
        <v>公共配套设施</v>
      </c>
      <c r="R16" s="714" t="s">
        <v>17</v>
      </c>
      <c r="S16" s="715">
        <f>F16</f>
        <v>100</v>
      </c>
      <c r="T16" s="714" t="s">
        <v>17</v>
      </c>
      <c r="U16" s="715">
        <f>H16</f>
        <v>100</v>
      </c>
      <c r="V16" s="714" t="s">
        <v>17</v>
      </c>
      <c r="W16" s="715">
        <f>J16</f>
        <v>100</v>
      </c>
      <c r="X16" s="1490"/>
      <c r="Y16" s="350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06"/>
      <c r="Q17" s="1487"/>
      <c r="R17" s="714"/>
      <c r="S17" s="715"/>
      <c r="T17" s="714"/>
      <c r="U17" s="715"/>
      <c r="V17" s="714"/>
      <c r="W17" s="715"/>
      <c r="X17" s="1490"/>
      <c r="Y17" s="3506"/>
      <c r="Z17" s="1491"/>
      <c r="AA17" s="1488">
        <v>1</v>
      </c>
      <c r="AB17" s="1488">
        <v>1</v>
      </c>
      <c r="AC17" s="1488">
        <v>1</v>
      </c>
    </row>
    <row r="18" spans="1:29" ht="28.5">
      <c r="A18" s="364"/>
      <c r="B18" s="589" t="s">
        <v>2264</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06"/>
      <c r="Q18" s="1487" t="str">
        <f>B18</f>
        <v>基础设施水平</v>
      </c>
      <c r="R18" s="714" t="s">
        <v>17</v>
      </c>
      <c r="S18" s="715">
        <f>F18</f>
        <v>100</v>
      </c>
      <c r="T18" s="714" t="s">
        <v>17</v>
      </c>
      <c r="U18" s="715">
        <f>H18</f>
        <v>100</v>
      </c>
      <c r="V18" s="714" t="s">
        <v>17</v>
      </c>
      <c r="W18" s="715">
        <f>J18</f>
        <v>100</v>
      </c>
      <c r="X18" s="1490"/>
      <c r="Y18" s="350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06"/>
      <c r="Q19" s="1487"/>
      <c r="R19" s="714"/>
      <c r="S19" s="715"/>
      <c r="T19" s="714"/>
      <c r="U19" s="715"/>
      <c r="V19" s="714"/>
      <c r="W19" s="715"/>
      <c r="X19" s="1490"/>
      <c r="Y19" s="3506"/>
      <c r="Z19" s="1491"/>
      <c r="AA19" s="1488">
        <v>1</v>
      </c>
      <c r="AB19" s="1488">
        <v>1</v>
      </c>
      <c r="AC19" s="1488">
        <v>1</v>
      </c>
    </row>
    <row r="20" spans="1:29" ht="57">
      <c r="A20" s="364"/>
      <c r="B20" s="587" t="s">
        <v>2285</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06"/>
      <c r="Q20" s="1487" t="str">
        <f>B20</f>
        <v>自然及人文环境</v>
      </c>
      <c r="R20" s="714" t="s">
        <v>17</v>
      </c>
      <c r="S20" s="715">
        <f>F20</f>
        <v>100</v>
      </c>
      <c r="T20" s="714" t="s">
        <v>17</v>
      </c>
      <c r="U20" s="715">
        <f>H20</f>
        <v>100</v>
      </c>
      <c r="V20" s="714" t="s">
        <v>17</v>
      </c>
      <c r="W20" s="715">
        <f>J20</f>
        <v>100</v>
      </c>
      <c r="X20" s="1490"/>
      <c r="Y20" s="350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06"/>
      <c r="Q21" s="1487"/>
      <c r="R21" s="714"/>
      <c r="S21" s="715"/>
      <c r="T21" s="714"/>
      <c r="U21" s="715"/>
      <c r="V21" s="714"/>
      <c r="W21" s="715"/>
      <c r="X21" s="1490"/>
      <c r="Y21" s="3506"/>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06"/>
      <c r="Q22" s="1487" t="str">
        <f>B22</f>
        <v>楼层</v>
      </c>
      <c r="R22" s="714" t="s">
        <v>17</v>
      </c>
      <c r="S22" s="715">
        <f>F22</f>
        <v>100</v>
      </c>
      <c r="T22" s="714" t="s">
        <v>17</v>
      </c>
      <c r="U22" s="715">
        <f>H22</f>
        <v>100</v>
      </c>
      <c r="V22" s="714" t="s">
        <v>17</v>
      </c>
      <c r="W22" s="715">
        <f>J22</f>
        <v>100</v>
      </c>
      <c r="X22" s="1490"/>
      <c r="Y22" s="350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06"/>
      <c r="Q23" s="1487">
        <f>B23</f>
        <v>111</v>
      </c>
      <c r="R23" s="714" t="s">
        <v>17</v>
      </c>
      <c r="S23" s="715">
        <f>F23</f>
        <v>100</v>
      </c>
      <c r="T23" s="714" t="s">
        <v>17</v>
      </c>
      <c r="U23" s="715">
        <f>H23</f>
        <v>100</v>
      </c>
      <c r="V23" s="714" t="s">
        <v>17</v>
      </c>
      <c r="W23" s="715">
        <f>J23</f>
        <v>100</v>
      </c>
      <c r="X23" s="1490"/>
      <c r="Y23" s="350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06"/>
      <c r="Q24" s="1487">
        <f t="shared" ref="Q24:Q36" si="11">B24</f>
        <v>111</v>
      </c>
      <c r="R24" s="714" t="s">
        <v>17</v>
      </c>
      <c r="S24" s="715">
        <f>F24</f>
        <v>100</v>
      </c>
      <c r="T24" s="714" t="s">
        <v>17</v>
      </c>
      <c r="U24" s="715">
        <f>H24</f>
        <v>100</v>
      </c>
      <c r="V24" s="714" t="s">
        <v>17</v>
      </c>
      <c r="W24" s="715">
        <f>J24</f>
        <v>100</v>
      </c>
      <c r="X24" s="1490"/>
      <c r="Y24" s="350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06"/>
      <c r="Q25" s="1478">
        <f t="shared" si="11"/>
        <v>111</v>
      </c>
      <c r="R25" s="710" t="s">
        <v>17</v>
      </c>
      <c r="S25" s="711">
        <f>F25</f>
        <v>100</v>
      </c>
      <c r="T25" s="710" t="s">
        <v>17</v>
      </c>
      <c r="U25" s="711">
        <f>H25</f>
        <v>100</v>
      </c>
      <c r="V25" s="710" t="s">
        <v>17</v>
      </c>
      <c r="W25" s="711">
        <f>J25</f>
        <v>100</v>
      </c>
      <c r="X25" s="712"/>
      <c r="Y25" s="3506"/>
      <c r="Z25" s="55">
        <f>Q25</f>
        <v>111</v>
      </c>
      <c r="AA25" s="1488">
        <f>D25/F25</f>
        <v>1</v>
      </c>
      <c r="AB25" s="1488">
        <f>D25/H25</f>
        <v>1</v>
      </c>
      <c r="AC25" s="1488">
        <f>D25/J25</f>
        <v>1</v>
      </c>
    </row>
    <row r="26" spans="1:29" ht="28.5">
      <c r="A26" s="608" t="s">
        <v>2138</v>
      </c>
      <c r="B26" s="66" t="s">
        <v>2287</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48"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10"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10"/>
      <c r="Q27" s="716" t="str">
        <f t="shared" si="11"/>
        <v>项目停车位配比</v>
      </c>
      <c r="R27" s="717" t="s">
        <v>17</v>
      </c>
      <c r="S27" s="718">
        <f t="shared" si="12"/>
        <v>100</v>
      </c>
      <c r="T27" s="717" t="s">
        <v>17</v>
      </c>
      <c r="U27" s="718">
        <f t="shared" si="13"/>
        <v>100</v>
      </c>
      <c r="V27" s="717" t="s">
        <v>17</v>
      </c>
      <c r="W27" s="718">
        <f t="shared" si="14"/>
        <v>100</v>
      </c>
      <c r="X27" s="719"/>
      <c r="Y27" s="3510"/>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10"/>
      <c r="Q28" s="1487" t="str">
        <f t="shared" si="11"/>
        <v>公共部分装修</v>
      </c>
      <c r="R28" s="714" t="s">
        <v>17</v>
      </c>
      <c r="S28" s="715">
        <f t="shared" si="12"/>
        <v>100</v>
      </c>
      <c r="T28" s="714" t="s">
        <v>17</v>
      </c>
      <c r="U28" s="715">
        <f t="shared" si="13"/>
        <v>100</v>
      </c>
      <c r="V28" s="714" t="s">
        <v>17</v>
      </c>
      <c r="W28" s="715">
        <f t="shared" si="14"/>
        <v>100</v>
      </c>
      <c r="X28" s="1490"/>
      <c r="Y28" s="3510"/>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10"/>
      <c r="Q29" s="1487" t="str">
        <f t="shared" si="11"/>
        <v>成新率</v>
      </c>
      <c r="R29" s="714" t="s">
        <v>17</v>
      </c>
      <c r="S29" s="715" t="e">
        <f t="shared" si="12"/>
        <v>#N/A</v>
      </c>
      <c r="T29" s="714" t="s">
        <v>17</v>
      </c>
      <c r="U29" s="715" t="e">
        <f t="shared" si="13"/>
        <v>#N/A</v>
      </c>
      <c r="V29" s="714" t="s">
        <v>17</v>
      </c>
      <c r="W29" s="715" t="e">
        <f t="shared" si="14"/>
        <v>#N/A</v>
      </c>
      <c r="X29" s="1490"/>
      <c r="Y29" s="3510"/>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10"/>
      <c r="Q30" s="1487" t="str">
        <f t="shared" si="11"/>
        <v>物业等级</v>
      </c>
      <c r="R30" s="714" t="s">
        <v>17</v>
      </c>
      <c r="S30" s="715">
        <f t="shared" si="12"/>
        <v>100</v>
      </c>
      <c r="T30" s="714" t="s">
        <v>17</v>
      </c>
      <c r="U30" s="715">
        <f t="shared" si="13"/>
        <v>100</v>
      </c>
      <c r="V30" s="714" t="s">
        <v>17</v>
      </c>
      <c r="W30" s="715">
        <f t="shared" si="14"/>
        <v>100</v>
      </c>
      <c r="X30" s="1490"/>
      <c r="Y30" s="3510"/>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10"/>
      <c r="Q31" s="1478" t="str">
        <f t="shared" si="11"/>
        <v>停车位面积</v>
      </c>
      <c r="R31" s="710" t="s">
        <v>17</v>
      </c>
      <c r="S31" s="711" t="e">
        <f t="shared" si="12"/>
        <v>#N/A</v>
      </c>
      <c r="T31" s="710" t="s">
        <v>17</v>
      </c>
      <c r="U31" s="711" t="e">
        <f t="shared" si="13"/>
        <v>#N/A</v>
      </c>
      <c r="V31" s="710" t="s">
        <v>17</v>
      </c>
      <c r="W31" s="711" t="e">
        <f t="shared" si="14"/>
        <v>#N/A</v>
      </c>
      <c r="X31" s="712"/>
      <c r="Y31" s="3510"/>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10" t="s">
        <v>2140</v>
      </c>
      <c r="Q32" s="1487" t="str">
        <f t="shared" si="11"/>
        <v>车位类型</v>
      </c>
      <c r="R32" s="714" t="s">
        <v>17</v>
      </c>
      <c r="S32" s="715">
        <f t="shared" si="12"/>
        <v>100</v>
      </c>
      <c r="T32" s="714" t="s">
        <v>17</v>
      </c>
      <c r="U32" s="715">
        <f t="shared" si="13"/>
        <v>100</v>
      </c>
      <c r="V32" s="714" t="s">
        <v>17</v>
      </c>
      <c r="W32" s="715">
        <f t="shared" si="14"/>
        <v>100</v>
      </c>
      <c r="X32" s="1490"/>
      <c r="Y32" s="3510"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10"/>
      <c r="Q33" s="1487" t="str">
        <f t="shared" si="11"/>
        <v>是否直接入户</v>
      </c>
      <c r="R33" s="714" t="s">
        <v>17</v>
      </c>
      <c r="S33" s="715">
        <f t="shared" si="12"/>
        <v>100</v>
      </c>
      <c r="T33" s="714" t="s">
        <v>17</v>
      </c>
      <c r="U33" s="715">
        <f t="shared" si="13"/>
        <v>100</v>
      </c>
      <c r="V33" s="714" t="s">
        <v>17</v>
      </c>
      <c r="W33" s="715">
        <f t="shared" si="14"/>
        <v>100</v>
      </c>
      <c r="X33" s="1490"/>
      <c r="Y33" s="351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10"/>
      <c r="Q34" s="1487">
        <f t="shared" si="11"/>
        <v>111</v>
      </c>
      <c r="R34" s="714" t="s">
        <v>17</v>
      </c>
      <c r="S34" s="715">
        <f t="shared" si="12"/>
        <v>100</v>
      </c>
      <c r="T34" s="714" t="s">
        <v>17</v>
      </c>
      <c r="U34" s="715">
        <f t="shared" si="13"/>
        <v>100</v>
      </c>
      <c r="V34" s="714" t="s">
        <v>17</v>
      </c>
      <c r="W34" s="715">
        <f t="shared" si="14"/>
        <v>100</v>
      </c>
      <c r="X34" s="1490"/>
      <c r="Y34" s="351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10"/>
      <c r="Q35" s="716">
        <f t="shared" si="11"/>
        <v>111</v>
      </c>
      <c r="R35" s="717" t="s">
        <v>17</v>
      </c>
      <c r="S35" s="718">
        <f t="shared" si="12"/>
        <v>100</v>
      </c>
      <c r="T35" s="717" t="s">
        <v>17</v>
      </c>
      <c r="U35" s="718">
        <f t="shared" si="13"/>
        <v>100</v>
      </c>
      <c r="V35" s="717" t="s">
        <v>17</v>
      </c>
      <c r="W35" s="718">
        <f t="shared" si="14"/>
        <v>100</v>
      </c>
      <c r="X35" s="719"/>
      <c r="Y35" s="3510"/>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10"/>
      <c r="Q36" s="1487">
        <f t="shared" si="11"/>
        <v>111</v>
      </c>
      <c r="R36" s="714" t="s">
        <v>17</v>
      </c>
      <c r="S36" s="715">
        <f t="shared" si="12"/>
        <v>100</v>
      </c>
      <c r="T36" s="714" t="s">
        <v>17</v>
      </c>
      <c r="U36" s="715">
        <f t="shared" si="13"/>
        <v>100</v>
      </c>
      <c r="V36" s="714" t="s">
        <v>17</v>
      </c>
      <c r="W36" s="715">
        <f t="shared" si="14"/>
        <v>100</v>
      </c>
      <c r="X36" s="1490"/>
      <c r="Y36" s="3510"/>
      <c r="Z36" s="1491">
        <f t="shared" si="15"/>
        <v>111</v>
      </c>
      <c r="AA36" s="1488">
        <f t="shared" si="3"/>
        <v>1</v>
      </c>
      <c r="AB36" s="1488">
        <f t="shared" si="4"/>
        <v>1</v>
      </c>
      <c r="AC36" s="1488">
        <f t="shared" si="5"/>
        <v>1</v>
      </c>
    </row>
    <row r="37" spans="1:29" ht="15">
      <c r="A37" s="438" t="s">
        <v>2295</v>
      </c>
      <c r="B37" s="2110" t="s">
        <v>2296</v>
      </c>
      <c r="C37" s="1269" t="s">
        <v>1</v>
      </c>
      <c r="D37" s="1270"/>
      <c r="E37" s="1271"/>
      <c r="F37" s="1272"/>
      <c r="G37" s="1273"/>
      <c r="H37" s="1274"/>
      <c r="I37" s="1271"/>
      <c r="J37" s="1274"/>
      <c r="K37" s="576"/>
      <c r="L37" s="2903"/>
      <c r="M37" s="2904"/>
      <c r="N37" s="2895"/>
      <c r="O37" s="2904"/>
      <c r="P37" s="3512" t="str">
        <f>A37</f>
        <v>成交单价</v>
      </c>
      <c r="Q37" s="3512"/>
      <c r="R37" s="3513">
        <f>E37</f>
        <v>0</v>
      </c>
      <c r="S37" s="3513"/>
      <c r="T37" s="3513">
        <f>G37</f>
        <v>0</v>
      </c>
      <c r="U37" s="3513"/>
      <c r="V37" s="3513">
        <f>I37</f>
        <v>0</v>
      </c>
      <c r="W37" s="3513"/>
      <c r="X37" s="699"/>
      <c r="Y37" s="721"/>
      <c r="Z37" s="699"/>
      <c r="AA37" s="699"/>
      <c r="AB37" s="699"/>
      <c r="AC37" s="699"/>
    </row>
    <row r="38" spans="1:29" ht="15.75" thickBot="1">
      <c r="A38" s="445" t="s">
        <v>2297</v>
      </c>
      <c r="B38" s="446" t="str">
        <f>B37</f>
        <v>元/车位</v>
      </c>
      <c r="C38" s="1275" t="e">
        <f>R39</f>
        <v>#DIV/0!</v>
      </c>
      <c r="D38" s="2489" t="s">
        <v>2634</v>
      </c>
      <c r="E38" s="1276" t="e">
        <f>R38</f>
        <v>#DIV/0!</v>
      </c>
      <c r="F38" s="2490"/>
      <c r="G38" s="1275" t="e">
        <f>T38</f>
        <v>#DIV/0!</v>
      </c>
      <c r="H38" s="2490"/>
      <c r="I38" s="1276" t="e">
        <f>V38</f>
        <v>#DIV/0!</v>
      </c>
      <c r="J38" s="2490"/>
      <c r="K38" s="2492">
        <f>F38+H38+J38</f>
        <v>0</v>
      </c>
      <c r="L38" s="2903"/>
      <c r="M38" s="2904"/>
      <c r="N38" s="2904"/>
      <c r="O38" s="2904"/>
      <c r="P38" s="3512" t="str">
        <f>A38</f>
        <v>比较价值（元/平方米）</v>
      </c>
      <c r="Q38" s="3512"/>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3"/>
      <c r="M39" s="2904"/>
      <c r="N39" s="2904"/>
      <c r="O39" s="2904"/>
      <c r="P39" s="3545" t="str">
        <f>A39</f>
        <v>估价对象XX用房的比较价值（楼面单价，元/平方米）</v>
      </c>
      <c r="Q39" s="3546"/>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2302</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2160</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2125</v>
      </c>
      <c r="B51" s="467"/>
      <c r="C51" s="479" t="s">
        <v>2227</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2163</v>
      </c>
      <c r="B53" s="485" t="s">
        <v>2129</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2178</v>
      </c>
      <c r="C65" s="535" t="s">
        <v>2172</v>
      </c>
      <c r="D65" s="535" t="s">
        <v>2173</v>
      </c>
      <c r="E65" s="535" t="s">
        <v>2174</v>
      </c>
      <c r="F65" s="535" t="s">
        <v>2175</v>
      </c>
      <c r="G65" s="535" t="s">
        <v>2176</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2264</v>
      </c>
      <c r="C67" s="616" t="s">
        <v>2250</v>
      </c>
      <c r="D67" s="616" t="s">
        <v>2251</v>
      </c>
      <c r="E67" s="616" t="s">
        <v>2252</v>
      </c>
      <c r="F67" s="616" t="s">
        <v>2253</v>
      </c>
      <c r="G67" s="616" t="s">
        <v>2254</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2184</v>
      </c>
      <c r="C69" s="535" t="s">
        <v>2172</v>
      </c>
      <c r="D69" s="535" t="s">
        <v>2173</v>
      </c>
      <c r="E69" s="535" t="s">
        <v>2174</v>
      </c>
      <c r="F69" s="535" t="s">
        <v>2175</v>
      </c>
      <c r="G69" s="535" t="s">
        <v>2176</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2304</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2138</v>
      </c>
      <c r="B79" s="485" t="s">
        <v>2305</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2306</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2191</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2308</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2310</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2311</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IF(C2="——",ROUND(C37*D3/10000,0),ROUND(C37*D3/10000,0)-D2)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 ca="1">IF(C2="——",C37,ROUND(B2*10000/D3,0))</f>
        <v>#DIV/0!</v>
      </c>
      <c r="C3" s="360" t="s">
        <v>2219</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2894"/>
      <c r="M4" s="2895"/>
      <c r="N4" s="2895"/>
      <c r="O4" s="2895"/>
      <c r="P4" s="3541" t="s">
        <v>2226</v>
      </c>
      <c r="Q4" s="3542"/>
      <c r="R4" s="3539" t="s">
        <v>2222</v>
      </c>
      <c r="S4" s="3540"/>
      <c r="T4" s="3539" t="s">
        <v>2223</v>
      </c>
      <c r="U4" s="3540"/>
      <c r="V4" s="3500" t="s">
        <v>2224</v>
      </c>
      <c r="W4" s="3500"/>
      <c r="X4" s="1490"/>
      <c r="Y4" s="3539" t="s">
        <v>2226</v>
      </c>
      <c r="Z4" s="3540"/>
      <c r="AA4" s="3538" t="s">
        <v>2222</v>
      </c>
      <c r="AB4" s="3466" t="s">
        <v>2223</v>
      </c>
      <c r="AC4" s="3538" t="s">
        <v>2224</v>
      </c>
    </row>
    <row r="5" spans="1:29" ht="15">
      <c r="A5" s="364"/>
      <c r="B5" s="365"/>
      <c r="C5" s="3480" t="s">
        <v>2117</v>
      </c>
      <c r="D5" s="3477"/>
      <c r="E5" s="3474" t="s">
        <v>2118</v>
      </c>
      <c r="F5" s="3475"/>
      <c r="G5" s="3480" t="s">
        <v>2119</v>
      </c>
      <c r="H5" s="3477"/>
      <c r="I5" s="3480" t="s">
        <v>2120</v>
      </c>
      <c r="J5" s="3477"/>
      <c r="K5" s="567"/>
      <c r="L5" s="2894"/>
      <c r="M5" s="2895"/>
      <c r="N5" s="2895"/>
      <c r="O5" s="2895"/>
      <c r="P5" s="3543"/>
      <c r="Q5" s="3494"/>
      <c r="R5" s="3472"/>
      <c r="S5" s="3473"/>
      <c r="T5" s="3472"/>
      <c r="U5" s="3473"/>
      <c r="V5" s="3500"/>
      <c r="W5" s="3500"/>
      <c r="X5" s="1490"/>
      <c r="Y5" s="3472"/>
      <c r="Z5" s="3473"/>
      <c r="AA5" s="3466"/>
      <c r="AB5" s="3466"/>
      <c r="AC5" s="3466"/>
    </row>
    <row r="6" spans="1:29" ht="15.75" thickBot="1">
      <c r="A6" s="366"/>
      <c r="B6" s="367"/>
      <c r="C6" s="3478" t="s">
        <v>2121</v>
      </c>
      <c r="D6" s="3479"/>
      <c r="E6" s="3481" t="s">
        <v>2121</v>
      </c>
      <c r="F6" s="3482"/>
      <c r="G6" s="3478" t="s">
        <v>2121</v>
      </c>
      <c r="H6" s="3479"/>
      <c r="I6" s="3478" t="s">
        <v>2121</v>
      </c>
      <c r="J6" s="3479"/>
      <c r="K6" s="567" t="s">
        <v>2122</v>
      </c>
      <c r="L6" s="2894"/>
      <c r="M6" s="2895"/>
      <c r="N6" s="2895"/>
      <c r="O6" s="2895"/>
      <c r="P6" s="3544"/>
      <c r="Q6" s="3496"/>
      <c r="R6" s="3472"/>
      <c r="S6" s="3473"/>
      <c r="T6" s="3497"/>
      <c r="U6" s="3498"/>
      <c r="V6" s="3500"/>
      <c r="W6" s="3500"/>
      <c r="X6" s="1490"/>
      <c r="Y6" s="3497"/>
      <c r="Z6" s="3498"/>
      <c r="AA6" s="3467"/>
      <c r="AB6" s="3467"/>
      <c r="AC6" s="3467"/>
    </row>
    <row r="7" spans="1:29" s="113" customFormat="1" ht="15.75" thickBot="1">
      <c r="A7" s="368" t="s">
        <v>2123</v>
      </c>
      <c r="B7" s="369"/>
      <c r="C7" s="370">
        <f>'数据-取费表'!B2</f>
        <v>44733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68" t="s">
        <v>2124</v>
      </c>
      <c r="Q7" s="3502"/>
      <c r="R7" s="710" t="s">
        <v>17</v>
      </c>
      <c r="S7" s="711">
        <f t="shared" ref="S7:S14" si="0">F7</f>
        <v>0</v>
      </c>
      <c r="T7" s="710" t="s">
        <v>17</v>
      </c>
      <c r="U7" s="711">
        <f t="shared" ref="U7:U14" si="1">H7</f>
        <v>0</v>
      </c>
      <c r="V7" s="710" t="s">
        <v>17</v>
      </c>
      <c r="W7" s="711">
        <f t="shared" ref="W7:W14" si="2">J7</f>
        <v>0</v>
      </c>
      <c r="X7" s="712"/>
      <c r="Y7" s="3468" t="s">
        <v>2124</v>
      </c>
      <c r="Z7" s="3469"/>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12" t="s">
        <v>2130</v>
      </c>
      <c r="Q9" s="1478" t="str">
        <f t="shared" ref="Q9:Q14" si="6">B9</f>
        <v>用途</v>
      </c>
      <c r="R9" s="710" t="s">
        <v>17</v>
      </c>
      <c r="S9" s="711">
        <f t="shared" si="0"/>
        <v>100</v>
      </c>
      <c r="T9" s="710" t="s">
        <v>17</v>
      </c>
      <c r="U9" s="711">
        <f t="shared" si="1"/>
        <v>100</v>
      </c>
      <c r="V9" s="710" t="s">
        <v>17</v>
      </c>
      <c r="W9" s="711">
        <f t="shared" si="2"/>
        <v>100</v>
      </c>
      <c r="X9" s="712"/>
      <c r="Y9" s="3433"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12"/>
      <c r="Q10" s="1478" t="str">
        <f t="shared" si="6"/>
        <v>土地使用年限（年）</v>
      </c>
      <c r="R10" s="710" t="s">
        <v>17</v>
      </c>
      <c r="S10" s="711">
        <f t="shared" si="0"/>
        <v>100</v>
      </c>
      <c r="T10" s="710" t="s">
        <v>17</v>
      </c>
      <c r="U10" s="711">
        <f t="shared" si="1"/>
        <v>100</v>
      </c>
      <c r="V10" s="710" t="s">
        <v>17</v>
      </c>
      <c r="W10" s="711">
        <f t="shared" si="2"/>
        <v>100</v>
      </c>
      <c r="X10" s="712"/>
      <c r="Y10" s="343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12"/>
      <c r="Q11" s="1478">
        <f t="shared" si="6"/>
        <v>111</v>
      </c>
      <c r="R11" s="710" t="s">
        <v>17</v>
      </c>
      <c r="S11" s="711">
        <f t="shared" si="0"/>
        <v>100</v>
      </c>
      <c r="T11" s="710" t="s">
        <v>17</v>
      </c>
      <c r="U11" s="711">
        <f t="shared" si="1"/>
        <v>100</v>
      </c>
      <c r="V11" s="710" t="s">
        <v>17</v>
      </c>
      <c r="W11" s="711">
        <f t="shared" si="2"/>
        <v>100</v>
      </c>
      <c r="X11" s="712"/>
      <c r="Y11" s="343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12"/>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12"/>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85.5">
      <c r="A14" s="399" t="s">
        <v>2134</v>
      </c>
      <c r="B14" s="65" t="s">
        <v>2284</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05" t="s">
        <v>2135</v>
      </c>
      <c r="Q14" s="1487" t="str">
        <f t="shared" si="6"/>
        <v>交通便捷度</v>
      </c>
      <c r="R14" s="714" t="s">
        <v>17</v>
      </c>
      <c r="S14" s="715">
        <f t="shared" si="0"/>
        <v>100</v>
      </c>
      <c r="T14" s="714" t="s">
        <v>17</v>
      </c>
      <c r="U14" s="715">
        <f t="shared" si="1"/>
        <v>100</v>
      </c>
      <c r="V14" s="714" t="s">
        <v>17</v>
      </c>
      <c r="W14" s="715">
        <f t="shared" si="2"/>
        <v>100</v>
      </c>
      <c r="X14" s="1490"/>
      <c r="Y14" s="3505"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06"/>
      <c r="Q15" s="1487"/>
      <c r="R15" s="714"/>
      <c r="S15" s="715"/>
      <c r="T15" s="714"/>
      <c r="U15" s="715"/>
      <c r="V15" s="714"/>
      <c r="W15" s="715"/>
      <c r="X15" s="1490"/>
      <c r="Y15" s="3506"/>
      <c r="Z15" s="1491"/>
      <c r="AA15" s="1488">
        <v>1</v>
      </c>
      <c r="AB15" s="1488">
        <v>1</v>
      </c>
      <c r="AC15" s="1488">
        <v>1</v>
      </c>
    </row>
    <row r="16" spans="1:29" ht="42.75">
      <c r="A16" s="387"/>
      <c r="B16" s="410" t="s">
        <v>2263</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06"/>
      <c r="Q16" s="1487" t="str">
        <f>B16</f>
        <v>公共配套设施</v>
      </c>
      <c r="R16" s="714" t="s">
        <v>17</v>
      </c>
      <c r="S16" s="715">
        <f>F16</f>
        <v>100</v>
      </c>
      <c r="T16" s="714" t="s">
        <v>17</v>
      </c>
      <c r="U16" s="715">
        <f>H16</f>
        <v>100</v>
      </c>
      <c r="V16" s="714" t="s">
        <v>17</v>
      </c>
      <c r="W16" s="715">
        <f>J16</f>
        <v>100</v>
      </c>
      <c r="X16" s="1490"/>
      <c r="Y16" s="350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06"/>
      <c r="Q17" s="1487"/>
      <c r="R17" s="714"/>
      <c r="S17" s="715"/>
      <c r="T17" s="714"/>
      <c r="U17" s="715"/>
      <c r="V17" s="714"/>
      <c r="W17" s="715"/>
      <c r="X17" s="1490"/>
      <c r="Y17" s="3506"/>
      <c r="Z17" s="1491"/>
      <c r="AA17" s="1488">
        <v>1</v>
      </c>
      <c r="AB17" s="1488">
        <v>1</v>
      </c>
      <c r="AC17" s="1488">
        <v>1</v>
      </c>
    </row>
    <row r="18" spans="1:29" ht="28.5">
      <c r="A18" s="387"/>
      <c r="B18" s="1246" t="s">
        <v>2264</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06"/>
      <c r="Q18" s="1487" t="str">
        <f>B18</f>
        <v>基础设施水平</v>
      </c>
      <c r="R18" s="714" t="s">
        <v>17</v>
      </c>
      <c r="S18" s="715">
        <f>F18</f>
        <v>100</v>
      </c>
      <c r="T18" s="714" t="s">
        <v>17</v>
      </c>
      <c r="U18" s="715">
        <f>H18</f>
        <v>100</v>
      </c>
      <c r="V18" s="714" t="s">
        <v>17</v>
      </c>
      <c r="W18" s="715">
        <f>J18</f>
        <v>100</v>
      </c>
      <c r="X18" s="1490"/>
      <c r="Y18" s="350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06"/>
      <c r="Q19" s="1487"/>
      <c r="R19" s="714"/>
      <c r="S19" s="715"/>
      <c r="T19" s="714"/>
      <c r="U19" s="715"/>
      <c r="V19" s="714"/>
      <c r="W19" s="715"/>
      <c r="X19" s="1490"/>
      <c r="Y19" s="3506"/>
      <c r="Z19" s="1491"/>
      <c r="AA19" s="1488">
        <v>1</v>
      </c>
      <c r="AB19" s="1488">
        <v>1</v>
      </c>
      <c r="AC19" s="1488">
        <v>1</v>
      </c>
    </row>
    <row r="20" spans="1:29" ht="57">
      <c r="A20" s="387"/>
      <c r="B20" s="410" t="s">
        <v>2285</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06"/>
      <c r="Q20" s="1487" t="str">
        <f>B20</f>
        <v>自然及人文环境</v>
      </c>
      <c r="R20" s="714" t="s">
        <v>17</v>
      </c>
      <c r="S20" s="715">
        <f>F20</f>
        <v>100</v>
      </c>
      <c r="T20" s="714" t="s">
        <v>17</v>
      </c>
      <c r="U20" s="715">
        <f>H20</f>
        <v>100</v>
      </c>
      <c r="V20" s="714" t="s">
        <v>17</v>
      </c>
      <c r="W20" s="715">
        <f>J20</f>
        <v>100</v>
      </c>
      <c r="X20" s="1490"/>
      <c r="Y20" s="350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06"/>
      <c r="Q21" s="1487"/>
      <c r="R21" s="714"/>
      <c r="S21" s="715"/>
      <c r="T21" s="714"/>
      <c r="U21" s="715"/>
      <c r="V21" s="714"/>
      <c r="W21" s="715"/>
      <c r="X21" s="1490"/>
      <c r="Y21" s="3506"/>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06"/>
      <c r="Q22" s="1487" t="str">
        <f>B22</f>
        <v>楼层</v>
      </c>
      <c r="R22" s="714" t="s">
        <v>17</v>
      </c>
      <c r="S22" s="715">
        <f>F22</f>
        <v>100</v>
      </c>
      <c r="T22" s="714" t="s">
        <v>17</v>
      </c>
      <c r="U22" s="715">
        <f>H22</f>
        <v>100</v>
      </c>
      <c r="V22" s="714" t="s">
        <v>17</v>
      </c>
      <c r="W22" s="715">
        <f>J22</f>
        <v>100</v>
      </c>
      <c r="X22" s="1490"/>
      <c r="Y22" s="350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06"/>
      <c r="Q23" s="1487">
        <f>B23</f>
        <v>111</v>
      </c>
      <c r="R23" s="714" t="s">
        <v>17</v>
      </c>
      <c r="S23" s="715">
        <f>F23</f>
        <v>100</v>
      </c>
      <c r="T23" s="714" t="s">
        <v>17</v>
      </c>
      <c r="U23" s="715">
        <f>H23</f>
        <v>100</v>
      </c>
      <c r="V23" s="714" t="s">
        <v>17</v>
      </c>
      <c r="W23" s="715">
        <f>J23</f>
        <v>100</v>
      </c>
      <c r="X23" s="1490"/>
      <c r="Y23" s="350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06"/>
      <c r="Q24" s="1487">
        <f t="shared" ref="Q24:Q34" si="11">B24</f>
        <v>111</v>
      </c>
      <c r="R24" s="714" t="s">
        <v>17</v>
      </c>
      <c r="S24" s="715">
        <f>F24</f>
        <v>100</v>
      </c>
      <c r="T24" s="714" t="s">
        <v>17</v>
      </c>
      <c r="U24" s="715">
        <f>H24</f>
        <v>100</v>
      </c>
      <c r="V24" s="714" t="s">
        <v>17</v>
      </c>
      <c r="W24" s="715">
        <f>J24</f>
        <v>100</v>
      </c>
      <c r="X24" s="1490"/>
      <c r="Y24" s="3506"/>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06"/>
      <c r="Q25" s="1478">
        <f t="shared" si="11"/>
        <v>111</v>
      </c>
      <c r="R25" s="710" t="s">
        <v>17</v>
      </c>
      <c r="S25" s="711">
        <f>F25</f>
        <v>100</v>
      </c>
      <c r="T25" s="710" t="s">
        <v>17</v>
      </c>
      <c r="U25" s="711">
        <f>H25</f>
        <v>100</v>
      </c>
      <c r="V25" s="710" t="s">
        <v>17</v>
      </c>
      <c r="W25" s="711">
        <f>J25</f>
        <v>100</v>
      </c>
      <c r="X25" s="712"/>
      <c r="Y25" s="3506"/>
      <c r="Z25" s="55">
        <f>Q25</f>
        <v>111</v>
      </c>
      <c r="AA25" s="1488">
        <f>D25/F25</f>
        <v>1</v>
      </c>
      <c r="AB25" s="1488">
        <f>D25/H25</f>
        <v>1</v>
      </c>
      <c r="AC25" s="1488">
        <f>D25/J25</f>
        <v>1</v>
      </c>
    </row>
    <row r="26" spans="1:29" ht="28.5">
      <c r="A26" s="425" t="s">
        <v>2138</v>
      </c>
      <c r="B26" s="67" t="s">
        <v>2289</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48"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10"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10"/>
      <c r="Q27" s="716" t="str">
        <f t="shared" si="11"/>
        <v>成新率</v>
      </c>
      <c r="R27" s="717" t="s">
        <v>17</v>
      </c>
      <c r="S27" s="718" t="e">
        <f t="shared" si="12"/>
        <v>#N/A</v>
      </c>
      <c r="T27" s="717" t="s">
        <v>17</v>
      </c>
      <c r="U27" s="718" t="e">
        <f t="shared" si="13"/>
        <v>#N/A</v>
      </c>
      <c r="V27" s="717" t="s">
        <v>17</v>
      </c>
      <c r="W27" s="718" t="e">
        <f t="shared" si="14"/>
        <v>#N/A</v>
      </c>
      <c r="X27" s="719"/>
      <c r="Y27" s="3510"/>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10"/>
      <c r="Q28" s="1487" t="str">
        <f t="shared" si="11"/>
        <v>物业等级</v>
      </c>
      <c r="R28" s="714" t="s">
        <v>17</v>
      </c>
      <c r="S28" s="715">
        <f t="shared" si="12"/>
        <v>100</v>
      </c>
      <c r="T28" s="714" t="s">
        <v>17</v>
      </c>
      <c r="U28" s="715">
        <f t="shared" si="13"/>
        <v>100</v>
      </c>
      <c r="V28" s="714" t="s">
        <v>17</v>
      </c>
      <c r="W28" s="715">
        <f t="shared" si="14"/>
        <v>100</v>
      </c>
      <c r="X28" s="1490"/>
      <c r="Y28" s="3510"/>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10"/>
      <c r="Q29" s="1487" t="str">
        <f t="shared" si="11"/>
        <v>有无电梯</v>
      </c>
      <c r="R29" s="714" t="s">
        <v>17</v>
      </c>
      <c r="S29" s="715">
        <f t="shared" si="12"/>
        <v>100</v>
      </c>
      <c r="T29" s="714" t="s">
        <v>17</v>
      </c>
      <c r="U29" s="715">
        <f t="shared" si="13"/>
        <v>100</v>
      </c>
      <c r="V29" s="714" t="s">
        <v>17</v>
      </c>
      <c r="W29" s="715">
        <f t="shared" si="14"/>
        <v>100</v>
      </c>
      <c r="X29" s="1490"/>
      <c r="Y29" s="3510"/>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10"/>
      <c r="Q30" s="1487" t="str">
        <f t="shared" si="11"/>
        <v>建筑面积</v>
      </c>
      <c r="R30" s="714" t="s">
        <v>17</v>
      </c>
      <c r="S30" s="715" t="e">
        <f t="shared" si="12"/>
        <v>#N/A</v>
      </c>
      <c r="T30" s="714" t="s">
        <v>17</v>
      </c>
      <c r="U30" s="715" t="e">
        <f t="shared" si="13"/>
        <v>#N/A</v>
      </c>
      <c r="V30" s="714" t="s">
        <v>17</v>
      </c>
      <c r="W30" s="715" t="e">
        <f t="shared" si="14"/>
        <v>#N/A</v>
      </c>
      <c r="X30" s="1490"/>
      <c r="Y30" s="3510"/>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10"/>
      <c r="Q31" s="1478" t="str">
        <f t="shared" si="11"/>
        <v>是否封闭</v>
      </c>
      <c r="R31" s="710" t="s">
        <v>17</v>
      </c>
      <c r="S31" s="711">
        <f t="shared" si="12"/>
        <v>100</v>
      </c>
      <c r="T31" s="710" t="s">
        <v>17</v>
      </c>
      <c r="U31" s="711">
        <f t="shared" si="13"/>
        <v>100</v>
      </c>
      <c r="V31" s="710" t="s">
        <v>17</v>
      </c>
      <c r="W31" s="711">
        <f t="shared" si="14"/>
        <v>100</v>
      </c>
      <c r="X31" s="712"/>
      <c r="Y31" s="3510"/>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10" t="s">
        <v>2140</v>
      </c>
      <c r="Q32" s="1487">
        <f t="shared" si="11"/>
        <v>111</v>
      </c>
      <c r="R32" s="714" t="s">
        <v>17</v>
      </c>
      <c r="S32" s="715">
        <f t="shared" si="12"/>
        <v>100</v>
      </c>
      <c r="T32" s="714" t="s">
        <v>17</v>
      </c>
      <c r="U32" s="715">
        <f t="shared" si="13"/>
        <v>100</v>
      </c>
      <c r="V32" s="714" t="s">
        <v>17</v>
      </c>
      <c r="W32" s="715">
        <f t="shared" si="14"/>
        <v>100</v>
      </c>
      <c r="X32" s="1490"/>
      <c r="Y32" s="3510" t="s">
        <v>2140</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10"/>
      <c r="Q33" s="1487">
        <f t="shared" si="11"/>
        <v>111</v>
      </c>
      <c r="R33" s="714" t="s">
        <v>17</v>
      </c>
      <c r="S33" s="715">
        <f t="shared" si="12"/>
        <v>100</v>
      </c>
      <c r="T33" s="714" t="s">
        <v>17</v>
      </c>
      <c r="U33" s="715">
        <f t="shared" si="13"/>
        <v>100</v>
      </c>
      <c r="V33" s="714" t="s">
        <v>17</v>
      </c>
      <c r="W33" s="715">
        <f t="shared" si="14"/>
        <v>100</v>
      </c>
      <c r="X33" s="1490"/>
      <c r="Y33" s="3510"/>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10"/>
      <c r="Q34" s="1487">
        <f t="shared" si="11"/>
        <v>111</v>
      </c>
      <c r="R34" s="714" t="s">
        <v>17</v>
      </c>
      <c r="S34" s="715">
        <f t="shared" si="12"/>
        <v>100</v>
      </c>
      <c r="T34" s="714" t="s">
        <v>17</v>
      </c>
      <c r="U34" s="715">
        <f t="shared" si="13"/>
        <v>100</v>
      </c>
      <c r="V34" s="714" t="s">
        <v>17</v>
      </c>
      <c r="W34" s="715">
        <f t="shared" si="14"/>
        <v>100</v>
      </c>
      <c r="X34" s="1490"/>
      <c r="Y34" s="3510"/>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3"/>
      <c r="M35" s="2904"/>
      <c r="N35" s="2895"/>
      <c r="O35" s="2904"/>
      <c r="P35" s="3512" t="str">
        <f>A35</f>
        <v>成交单价（元/平方米）</v>
      </c>
      <c r="Q35" s="3512"/>
      <c r="R35" s="3513">
        <f>E35</f>
        <v>0</v>
      </c>
      <c r="S35" s="3513"/>
      <c r="T35" s="3513">
        <f>G35</f>
        <v>0</v>
      </c>
      <c r="U35" s="3513"/>
      <c r="V35" s="3513">
        <f>I35</f>
        <v>0</v>
      </c>
      <c r="W35" s="3513"/>
      <c r="X35" s="699"/>
      <c r="Y35" s="721"/>
      <c r="Z35" s="699"/>
      <c r="AA35" s="699"/>
      <c r="AB35" s="699"/>
      <c r="AC35" s="699"/>
    </row>
    <row r="36" spans="1:30" ht="15.75" thickBot="1">
      <c r="A36" s="445" t="s">
        <v>2244</v>
      </c>
      <c r="B36" s="446"/>
      <c r="C36" s="1275" t="e">
        <f>R37</f>
        <v>#DIV/0!</v>
      </c>
      <c r="D36" s="2489" t="s">
        <v>2634</v>
      </c>
      <c r="E36" s="1276" t="e">
        <f>R36</f>
        <v>#DIV/0!</v>
      </c>
      <c r="F36" s="2490"/>
      <c r="G36" s="1275" t="e">
        <f>T36</f>
        <v>#DIV/0!</v>
      </c>
      <c r="H36" s="2490"/>
      <c r="I36" s="1276" t="e">
        <f>V36</f>
        <v>#DIV/0!</v>
      </c>
      <c r="J36" s="2490"/>
      <c r="K36" s="2492">
        <f>F36+H36+J36</f>
        <v>0</v>
      </c>
      <c r="L36" s="2903"/>
      <c r="M36" s="2904"/>
      <c r="N36" s="2895"/>
      <c r="O36" s="2904"/>
      <c r="P36" s="3512" t="str">
        <f>A36</f>
        <v>比较价值（元/平方米）</v>
      </c>
      <c r="Q36" s="3512"/>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3"/>
      <c r="M37" s="2904"/>
      <c r="N37" s="2904"/>
      <c r="O37" s="2904"/>
      <c r="P37" s="3545" t="str">
        <f>A37</f>
        <v>估价对象XX用房的比较价值（楼面单价，元/平方米）</v>
      </c>
      <c r="Q37" s="3546"/>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2249</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2160</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2125</v>
      </c>
      <c r="B49" s="467"/>
      <c r="C49" s="479" t="s">
        <v>2227</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2163</v>
      </c>
      <c r="B51" s="485" t="s">
        <v>2129</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2315</v>
      </c>
      <c r="C63" s="535" t="s">
        <v>2172</v>
      </c>
      <c r="D63" s="535" t="s">
        <v>2173</v>
      </c>
      <c r="E63" s="535" t="s">
        <v>2174</v>
      </c>
      <c r="F63" s="535" t="s">
        <v>2175</v>
      </c>
      <c r="G63" s="535" t="s">
        <v>2176</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2264</v>
      </c>
      <c r="C65" s="616" t="s">
        <v>2250</v>
      </c>
      <c r="D65" s="616" t="s">
        <v>2251</v>
      </c>
      <c r="E65" s="616" t="s">
        <v>2252</v>
      </c>
      <c r="F65" s="616" t="s">
        <v>2253</v>
      </c>
      <c r="G65" s="616" t="s">
        <v>2254</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2184</v>
      </c>
      <c r="C67" s="535" t="s">
        <v>2172</v>
      </c>
      <c r="D67" s="535" t="s">
        <v>2173</v>
      </c>
      <c r="E67" s="535" t="s">
        <v>2174</v>
      </c>
      <c r="F67" s="535" t="s">
        <v>2175</v>
      </c>
      <c r="G67" s="535" t="s">
        <v>2176</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2304</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2138</v>
      </c>
      <c r="B77" s="485" t="s">
        <v>2191</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2308</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2316</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2318</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1902</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2220</v>
      </c>
      <c r="B4" s="362"/>
      <c r="C4" s="3487" t="s">
        <v>2221</v>
      </c>
      <c r="D4" s="3488"/>
      <c r="E4" s="3489" t="s">
        <v>2222</v>
      </c>
      <c r="F4" s="3490"/>
      <c r="G4" s="3487" t="s">
        <v>2223</v>
      </c>
      <c r="H4" s="3488"/>
      <c r="I4" s="3487" t="s">
        <v>2224</v>
      </c>
      <c r="J4" s="3488"/>
      <c r="K4" s="567" t="s">
        <v>2225</v>
      </c>
      <c r="L4" s="2894"/>
      <c r="M4" s="2895"/>
      <c r="N4" s="2895"/>
      <c r="O4" s="2895"/>
      <c r="P4" s="3541" t="s">
        <v>2226</v>
      </c>
      <c r="Q4" s="3542"/>
      <c r="R4" s="3539" t="s">
        <v>2222</v>
      </c>
      <c r="S4" s="3540"/>
      <c r="T4" s="3539" t="s">
        <v>2223</v>
      </c>
      <c r="U4" s="3540"/>
      <c r="V4" s="3500" t="s">
        <v>2224</v>
      </c>
      <c r="W4" s="3500"/>
      <c r="X4" s="1490"/>
      <c r="Y4" s="3539" t="s">
        <v>2226</v>
      </c>
      <c r="Z4" s="3540"/>
      <c r="AA4" s="3538" t="s">
        <v>2222</v>
      </c>
      <c r="AB4" s="3466" t="s">
        <v>2223</v>
      </c>
      <c r="AC4" s="3538" t="s">
        <v>2224</v>
      </c>
    </row>
    <row r="5" spans="1:30" ht="15">
      <c r="A5" s="364"/>
      <c r="B5" s="365"/>
      <c r="C5" s="3480" t="s">
        <v>2117</v>
      </c>
      <c r="D5" s="3477"/>
      <c r="E5" s="3474" t="s">
        <v>2118</v>
      </c>
      <c r="F5" s="3475"/>
      <c r="G5" s="3480" t="s">
        <v>2119</v>
      </c>
      <c r="H5" s="3477"/>
      <c r="I5" s="3480" t="s">
        <v>2120</v>
      </c>
      <c r="J5" s="3477"/>
      <c r="K5" s="567"/>
      <c r="L5" s="2894"/>
      <c r="M5" s="2895"/>
      <c r="N5" s="2895"/>
      <c r="O5" s="2895"/>
      <c r="P5" s="3543"/>
      <c r="Q5" s="3494"/>
      <c r="R5" s="3472"/>
      <c r="S5" s="3473"/>
      <c r="T5" s="3472"/>
      <c r="U5" s="3473"/>
      <c r="V5" s="3500"/>
      <c r="W5" s="3500"/>
      <c r="X5" s="1490"/>
      <c r="Y5" s="3472"/>
      <c r="Z5" s="3473"/>
      <c r="AA5" s="3466"/>
      <c r="AB5" s="3466"/>
      <c r="AC5" s="3466"/>
    </row>
    <row r="6" spans="1:30" ht="15.75" thickBot="1">
      <c r="A6" s="366"/>
      <c r="B6" s="367"/>
      <c r="C6" s="3478" t="s">
        <v>2121</v>
      </c>
      <c r="D6" s="3479"/>
      <c r="E6" s="3481" t="s">
        <v>2121</v>
      </c>
      <c r="F6" s="3482"/>
      <c r="G6" s="3478" t="s">
        <v>2121</v>
      </c>
      <c r="H6" s="3479"/>
      <c r="I6" s="3478" t="s">
        <v>2121</v>
      </c>
      <c r="J6" s="3479"/>
      <c r="K6" s="567" t="s">
        <v>2122</v>
      </c>
      <c r="L6" s="2894"/>
      <c r="M6" s="2895"/>
      <c r="N6" s="2895"/>
      <c r="O6" s="2895"/>
      <c r="P6" s="3544"/>
      <c r="Q6" s="3496"/>
      <c r="R6" s="3472"/>
      <c r="S6" s="3473"/>
      <c r="T6" s="3497"/>
      <c r="U6" s="3498"/>
      <c r="V6" s="3500"/>
      <c r="W6" s="3500"/>
      <c r="X6" s="1490"/>
      <c r="Y6" s="3497"/>
      <c r="Z6" s="3498"/>
      <c r="AA6" s="3467"/>
      <c r="AB6" s="3467"/>
      <c r="AC6" s="3467"/>
    </row>
    <row r="7" spans="1:30" s="113" customFormat="1" ht="15.75" thickBot="1">
      <c r="A7" s="368" t="s">
        <v>2123</v>
      </c>
      <c r="B7" s="369"/>
      <c r="C7" s="370">
        <f>'数据-取费表'!B2</f>
        <v>44733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68" t="s">
        <v>2124</v>
      </c>
      <c r="Q7" s="3502"/>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5" si="3">D8/F8</f>
        <v>#DIV/0!</v>
      </c>
      <c r="AB8" s="713" t="e">
        <f t="shared" ref="AB8:AB45" si="4">D8/H8</f>
        <v>#DIV/0!</v>
      </c>
      <c r="AC8" s="713" t="e">
        <f t="shared" ref="AC8:AC45" si="5">D8/J8</f>
        <v>#DIV/0!</v>
      </c>
    </row>
    <row r="9" spans="1:30" s="113" customFormat="1">
      <c r="A9" s="375" t="s">
        <v>2128</v>
      </c>
      <c r="B9" s="67" t="s">
        <v>2129</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12"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110</v>
      </c>
      <c r="G10" s="422"/>
      <c r="H10" s="132">
        <f>ROUND(100/'数据-取费表'!G16,0)</f>
        <v>110</v>
      </c>
      <c r="I10" s="422"/>
      <c r="J10" s="132">
        <f>ROUND(100/'数据-取费表'!G16,0)</f>
        <v>110</v>
      </c>
      <c r="K10" s="628"/>
      <c r="L10" s="2898"/>
      <c r="M10" s="2899"/>
      <c r="N10" s="2899"/>
      <c r="O10" s="2952"/>
      <c r="P10" s="3512"/>
      <c r="Q10" s="1478" t="str">
        <f t="shared" si="6"/>
        <v>土地使用年限（年）</v>
      </c>
      <c r="R10" s="710" t="s">
        <v>17</v>
      </c>
      <c r="S10" s="711">
        <f t="shared" si="0"/>
        <v>110</v>
      </c>
      <c r="T10" s="710" t="s">
        <v>17</v>
      </c>
      <c r="U10" s="711">
        <f t="shared" si="1"/>
        <v>110</v>
      </c>
      <c r="V10" s="710" t="s">
        <v>17</v>
      </c>
      <c r="W10" s="711">
        <f t="shared" si="2"/>
        <v>110</v>
      </c>
      <c r="X10" s="712"/>
      <c r="Y10" s="3433"/>
      <c r="Z10" s="55" t="str">
        <f t="shared" si="7"/>
        <v>土地使用年限（年）</v>
      </c>
      <c r="AA10" s="713">
        <f t="shared" si="3"/>
        <v>0.90909090909090906</v>
      </c>
      <c r="AB10" s="713">
        <f t="shared" si="4"/>
        <v>0.90909090909090906</v>
      </c>
      <c r="AC10" s="713">
        <f t="shared" si="5"/>
        <v>0.90909090909090906</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12"/>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30" s="113" customFormat="1" ht="15">
      <c r="A12" s="390"/>
      <c r="B12" s="2030" t="s">
        <v>2322</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12"/>
      <c r="Q12" s="1478" t="str">
        <f t="shared" si="6"/>
        <v>配建</v>
      </c>
      <c r="R12" s="710" t="s">
        <v>17</v>
      </c>
      <c r="S12" s="711">
        <f t="shared" si="0"/>
        <v>100</v>
      </c>
      <c r="T12" s="710" t="s">
        <v>17</v>
      </c>
      <c r="U12" s="711">
        <f t="shared" si="1"/>
        <v>100</v>
      </c>
      <c r="V12" s="710" t="s">
        <v>17</v>
      </c>
      <c r="W12" s="711">
        <f t="shared" si="2"/>
        <v>100</v>
      </c>
      <c r="X12" s="712"/>
      <c r="Y12" s="343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12"/>
      <c r="Q13" s="1478">
        <f t="shared" si="6"/>
        <v>111</v>
      </c>
      <c r="R13" s="710" t="s">
        <v>17</v>
      </c>
      <c r="S13" s="711">
        <f t="shared" si="0"/>
        <v>100</v>
      </c>
      <c r="T13" s="710" t="s">
        <v>17</v>
      </c>
      <c r="U13" s="711">
        <f t="shared" si="1"/>
        <v>100</v>
      </c>
      <c r="V13" s="710" t="s">
        <v>17</v>
      </c>
      <c r="W13" s="711">
        <f t="shared" si="2"/>
        <v>100</v>
      </c>
      <c r="X13" s="712"/>
      <c r="Y13" s="343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12"/>
      <c r="Q14" s="1478">
        <f t="shared" si="6"/>
        <v>111</v>
      </c>
      <c r="R14" s="710" t="s">
        <v>17</v>
      </c>
      <c r="S14" s="711">
        <f t="shared" si="0"/>
        <v>100</v>
      </c>
      <c r="T14" s="710" t="s">
        <v>17</v>
      </c>
      <c r="U14" s="711">
        <f t="shared" si="1"/>
        <v>100</v>
      </c>
      <c r="V14" s="710" t="s">
        <v>17</v>
      </c>
      <c r="W14" s="711">
        <f t="shared" si="2"/>
        <v>100</v>
      </c>
      <c r="X14" s="712"/>
      <c r="Y14" s="3433"/>
      <c r="Z14" s="55">
        <f t="shared" si="7"/>
        <v>111</v>
      </c>
      <c r="AA14" s="713">
        <f>D14/F14</f>
        <v>1</v>
      </c>
      <c r="AB14" s="713">
        <f>D14/H14</f>
        <v>1</v>
      </c>
      <c r="AC14" s="713">
        <f>D14/J14</f>
        <v>1</v>
      </c>
    </row>
    <row r="15" spans="1:30" ht="99.75">
      <c r="A15" s="399" t="s">
        <v>2134</v>
      </c>
      <c r="B15" s="65" t="s">
        <v>1697</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05" t="s">
        <v>2135</v>
      </c>
      <c r="Q15" s="1487" t="str">
        <f t="shared" si="6"/>
        <v>居住社区成熟度</v>
      </c>
      <c r="R15" s="714" t="s">
        <v>17</v>
      </c>
      <c r="S15" s="715">
        <f t="shared" si="0"/>
        <v>100</v>
      </c>
      <c r="T15" s="714" t="s">
        <v>17</v>
      </c>
      <c r="U15" s="715">
        <f t="shared" si="1"/>
        <v>100</v>
      </c>
      <c r="V15" s="714" t="s">
        <v>17</v>
      </c>
      <c r="W15" s="715">
        <f t="shared" si="2"/>
        <v>100</v>
      </c>
      <c r="X15" s="1490"/>
      <c r="Y15" s="3505" t="s">
        <v>2135</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06"/>
      <c r="Q16" s="1487"/>
      <c r="R16" s="714"/>
      <c r="S16" s="715"/>
      <c r="T16" s="714"/>
      <c r="U16" s="715"/>
      <c r="V16" s="714"/>
      <c r="W16" s="715"/>
      <c r="X16" s="1490"/>
      <c r="Y16" s="3506"/>
      <c r="Z16" s="1491"/>
      <c r="AA16" s="1488">
        <v>1</v>
      </c>
      <c r="AB16" s="1488">
        <v>1</v>
      </c>
      <c r="AC16" s="1488">
        <v>1</v>
      </c>
    </row>
    <row r="17" spans="1:29" ht="71.25">
      <c r="A17" s="387"/>
      <c r="B17" s="410" t="s">
        <v>2228</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06"/>
      <c r="Q17" s="1487" t="str">
        <f>B17</f>
        <v>商业繁华度</v>
      </c>
      <c r="R17" s="714" t="s">
        <v>17</v>
      </c>
      <c r="S17" s="715">
        <f>F17</f>
        <v>100</v>
      </c>
      <c r="T17" s="714" t="s">
        <v>17</v>
      </c>
      <c r="U17" s="715">
        <f>H17</f>
        <v>100</v>
      </c>
      <c r="V17" s="714" t="s">
        <v>17</v>
      </c>
      <c r="W17" s="715">
        <f>J17</f>
        <v>100</v>
      </c>
      <c r="X17" s="1490"/>
      <c r="Y17" s="350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06"/>
      <c r="Q18" s="1487"/>
      <c r="R18" s="714"/>
      <c r="S18" s="715"/>
      <c r="T18" s="714"/>
      <c r="U18" s="715"/>
      <c r="V18" s="714"/>
      <c r="W18" s="715"/>
      <c r="X18" s="1490"/>
      <c r="Y18" s="3506"/>
      <c r="Z18" s="1491"/>
      <c r="AA18" s="1488">
        <v>1</v>
      </c>
      <c r="AB18" s="1488">
        <v>1</v>
      </c>
      <c r="AC18" s="1488">
        <v>1</v>
      </c>
    </row>
    <row r="19" spans="1:29" ht="71.25">
      <c r="A19" s="387"/>
      <c r="B19" s="410" t="s">
        <v>2262</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06"/>
      <c r="Q19" s="1487" t="str">
        <f>B19</f>
        <v>办公集聚程度</v>
      </c>
      <c r="R19" s="714" t="s">
        <v>17</v>
      </c>
      <c r="S19" s="715">
        <f>F19</f>
        <v>100</v>
      </c>
      <c r="T19" s="714" t="s">
        <v>17</v>
      </c>
      <c r="U19" s="715">
        <f>H19</f>
        <v>100</v>
      </c>
      <c r="V19" s="714" t="s">
        <v>17</v>
      </c>
      <c r="W19" s="715">
        <f>J19</f>
        <v>100</v>
      </c>
      <c r="X19" s="1490"/>
      <c r="Y19" s="350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06"/>
      <c r="Q20" s="1487"/>
      <c r="R20" s="714"/>
      <c r="S20" s="715"/>
      <c r="T20" s="714"/>
      <c r="U20" s="715"/>
      <c r="V20" s="714"/>
      <c r="W20" s="715"/>
      <c r="X20" s="1490"/>
      <c r="Y20" s="3506"/>
      <c r="Z20" s="1491"/>
      <c r="AA20" s="1488">
        <v>1</v>
      </c>
      <c r="AB20" s="1488">
        <v>1</v>
      </c>
      <c r="AC20" s="1488">
        <v>1</v>
      </c>
    </row>
    <row r="21" spans="1:29" ht="85.5">
      <c r="A21" s="387"/>
      <c r="B21" s="410" t="s">
        <v>2284</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06"/>
      <c r="Q21" s="1487" t="str">
        <f>B21</f>
        <v>交通便捷度</v>
      </c>
      <c r="R21" s="714" t="s">
        <v>17</v>
      </c>
      <c r="S21" s="715">
        <f>F21</f>
        <v>100</v>
      </c>
      <c r="T21" s="714" t="s">
        <v>17</v>
      </c>
      <c r="U21" s="715">
        <f>H21</f>
        <v>100</v>
      </c>
      <c r="V21" s="714" t="s">
        <v>17</v>
      </c>
      <c r="W21" s="715">
        <f>J21</f>
        <v>100</v>
      </c>
      <c r="X21" s="1490"/>
      <c r="Y21" s="350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06"/>
      <c r="Q22" s="1487"/>
      <c r="R22" s="714"/>
      <c r="S22" s="715"/>
      <c r="T22" s="714"/>
      <c r="U22" s="715"/>
      <c r="V22" s="714"/>
      <c r="W22" s="715"/>
      <c r="X22" s="1490"/>
      <c r="Y22" s="3506"/>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06"/>
      <c r="Q23" s="1487" t="str">
        <f t="shared" ref="Q23:Q37" si="8">B23</f>
        <v>区域土地利用方向</v>
      </c>
      <c r="R23" s="714" t="s">
        <v>17</v>
      </c>
      <c r="S23" s="715">
        <f>F23</f>
        <v>100</v>
      </c>
      <c r="T23" s="714" t="s">
        <v>17</v>
      </c>
      <c r="U23" s="715">
        <f>H23</f>
        <v>100</v>
      </c>
      <c r="V23" s="714" t="s">
        <v>17</v>
      </c>
      <c r="W23" s="715">
        <f>J23</f>
        <v>100</v>
      </c>
      <c r="X23" s="1490"/>
      <c r="Y23" s="350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06"/>
      <c r="Q24" s="1487"/>
      <c r="R24" s="714"/>
      <c r="S24" s="715"/>
      <c r="T24" s="714"/>
      <c r="U24" s="715"/>
      <c r="V24" s="714"/>
      <c r="W24" s="715"/>
      <c r="X24" s="1490"/>
      <c r="Y24" s="3506"/>
      <c r="Z24" s="1491"/>
      <c r="AA24" s="1488"/>
      <c r="AB24" s="1488"/>
      <c r="AC24" s="1488"/>
    </row>
    <row r="25" spans="1:29" ht="57">
      <c r="A25" s="364"/>
      <c r="B25" s="1246" t="s">
        <v>2324</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06"/>
      <c r="Q25" s="1487" t="str">
        <f t="shared" si="8"/>
        <v>自然及人文环境状况</v>
      </c>
      <c r="R25" s="714" t="s">
        <v>17</v>
      </c>
      <c r="S25" s="715">
        <f>F25</f>
        <v>100</v>
      </c>
      <c r="T25" s="714" t="s">
        <v>17</v>
      </c>
      <c r="U25" s="715">
        <f>H25</f>
        <v>100</v>
      </c>
      <c r="V25" s="714" t="s">
        <v>17</v>
      </c>
      <c r="W25" s="715">
        <f>J25</f>
        <v>100</v>
      </c>
      <c r="X25" s="1490"/>
      <c r="Y25" s="350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06"/>
      <c r="Q26" s="1487"/>
      <c r="R26" s="714"/>
      <c r="S26" s="715"/>
      <c r="T26" s="714"/>
      <c r="U26" s="715"/>
      <c r="V26" s="714"/>
      <c r="W26" s="715"/>
      <c r="X26" s="1490"/>
      <c r="Y26" s="3506"/>
      <c r="Z26" s="1491"/>
      <c r="AA26" s="1488">
        <v>1</v>
      </c>
      <c r="AB26" s="1488">
        <v>1</v>
      </c>
      <c r="AC26" s="1488">
        <v>1</v>
      </c>
    </row>
    <row r="27" spans="1:29" s="113" customFormat="1" ht="42.75">
      <c r="A27" s="605"/>
      <c r="B27" s="1246" t="s">
        <v>2229</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06"/>
      <c r="Q27" s="1478" t="str">
        <f t="shared" si="8"/>
        <v>公共配套设施</v>
      </c>
      <c r="R27" s="710" t="s">
        <v>17</v>
      </c>
      <c r="S27" s="711">
        <f>F27</f>
        <v>100</v>
      </c>
      <c r="T27" s="710" t="s">
        <v>17</v>
      </c>
      <c r="U27" s="711">
        <f>H27</f>
        <v>100</v>
      </c>
      <c r="V27" s="710" t="s">
        <v>17</v>
      </c>
      <c r="W27" s="711">
        <f>J27</f>
        <v>100</v>
      </c>
      <c r="X27" s="712"/>
      <c r="Y27" s="350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06"/>
      <c r="Q28" s="1478"/>
      <c r="R28" s="710"/>
      <c r="S28" s="711"/>
      <c r="T28" s="710"/>
      <c r="U28" s="711"/>
      <c r="V28" s="710"/>
      <c r="W28" s="711"/>
      <c r="X28" s="712"/>
      <c r="Y28" s="3506"/>
      <c r="Z28" s="55"/>
      <c r="AA28" s="1488">
        <v>1</v>
      </c>
      <c r="AB28" s="1488">
        <v>1</v>
      </c>
      <c r="AC28" s="1488">
        <v>1</v>
      </c>
    </row>
    <row r="29" spans="1:29" s="113" customFormat="1" ht="28.5">
      <c r="A29" s="605"/>
      <c r="B29" s="1246" t="s">
        <v>2230</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06"/>
      <c r="Q29" s="1478" t="str">
        <f t="shared" ref="Q29" si="9">B29</f>
        <v>基础设施水平</v>
      </c>
      <c r="R29" s="710" t="s">
        <v>17</v>
      </c>
      <c r="S29" s="711">
        <f>F29</f>
        <v>100</v>
      </c>
      <c r="T29" s="710" t="s">
        <v>17</v>
      </c>
      <c r="U29" s="711">
        <f>H29</f>
        <v>100</v>
      </c>
      <c r="V29" s="710" t="s">
        <v>17</v>
      </c>
      <c r="W29" s="711">
        <f>J29</f>
        <v>100</v>
      </c>
      <c r="X29" s="712"/>
      <c r="Y29" s="350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06"/>
      <c r="Q30" s="1478"/>
      <c r="R30" s="710"/>
      <c r="S30" s="711"/>
      <c r="T30" s="710"/>
      <c r="U30" s="711"/>
      <c r="V30" s="710"/>
      <c r="W30" s="711"/>
      <c r="X30" s="712"/>
      <c r="Y30" s="3506"/>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0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6"/>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06"/>
      <c r="Q32" s="1487" t="str">
        <f t="shared" si="8"/>
        <v>毗邻道路的类型与等级</v>
      </c>
      <c r="R32" s="714" t="s">
        <v>17</v>
      </c>
      <c r="S32" s="715">
        <f t="shared" si="10"/>
        <v>100</v>
      </c>
      <c r="T32" s="714" t="s">
        <v>17</v>
      </c>
      <c r="U32" s="715">
        <f t="shared" si="11"/>
        <v>100</v>
      </c>
      <c r="V32" s="714" t="s">
        <v>17</v>
      </c>
      <c r="W32" s="715">
        <f t="shared" si="12"/>
        <v>100</v>
      </c>
      <c r="X32" s="1490"/>
      <c r="Y32" s="350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06"/>
      <c r="Q33" s="1487"/>
      <c r="R33" s="714"/>
      <c r="S33" s="715"/>
      <c r="T33" s="714"/>
      <c r="U33" s="715"/>
      <c r="V33" s="714"/>
      <c r="W33" s="715"/>
      <c r="X33" s="1490"/>
      <c r="Y33" s="3506"/>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06"/>
      <c r="Q34" s="1487" t="str">
        <f t="shared" si="8"/>
        <v>土地级别</v>
      </c>
      <c r="R34" s="714" t="s">
        <v>17</v>
      </c>
      <c r="S34" s="715">
        <f t="shared" si="10"/>
        <v>100</v>
      </c>
      <c r="T34" s="714" t="s">
        <v>17</v>
      </c>
      <c r="U34" s="715">
        <f t="shared" si="11"/>
        <v>100</v>
      </c>
      <c r="V34" s="714" t="s">
        <v>17</v>
      </c>
      <c r="W34" s="715">
        <f t="shared" si="12"/>
        <v>100</v>
      </c>
      <c r="X34" s="1490"/>
      <c r="Y34" s="350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06"/>
      <c r="Q35" s="1487">
        <f t="shared" si="8"/>
        <v>111</v>
      </c>
      <c r="R35" s="714" t="s">
        <v>17</v>
      </c>
      <c r="S35" s="715">
        <f t="shared" si="10"/>
        <v>100</v>
      </c>
      <c r="T35" s="714" t="s">
        <v>17</v>
      </c>
      <c r="U35" s="715">
        <f t="shared" si="11"/>
        <v>100</v>
      </c>
      <c r="V35" s="714" t="s">
        <v>17</v>
      </c>
      <c r="W35" s="715">
        <f t="shared" si="12"/>
        <v>100</v>
      </c>
      <c r="X35" s="1490"/>
      <c r="Y35" s="350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48" t="s">
        <v>2140</v>
      </c>
      <c r="Q36" s="1487">
        <f t="shared" si="8"/>
        <v>111</v>
      </c>
      <c r="R36" s="714" t="s">
        <v>17</v>
      </c>
      <c r="S36" s="715">
        <f t="shared" si="10"/>
        <v>100</v>
      </c>
      <c r="T36" s="714" t="s">
        <v>17</v>
      </c>
      <c r="U36" s="715">
        <f t="shared" si="11"/>
        <v>100</v>
      </c>
      <c r="V36" s="714" t="s">
        <v>17</v>
      </c>
      <c r="W36" s="715">
        <f t="shared" si="12"/>
        <v>100</v>
      </c>
      <c r="X36" s="1490"/>
      <c r="Y36" s="3510"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10"/>
      <c r="Q37" s="1487">
        <f t="shared" si="8"/>
        <v>111</v>
      </c>
      <c r="R37" s="717" t="s">
        <v>17</v>
      </c>
      <c r="S37" s="718">
        <f t="shared" si="10"/>
        <v>100</v>
      </c>
      <c r="T37" s="717" t="s">
        <v>17</v>
      </c>
      <c r="U37" s="718">
        <f t="shared" si="11"/>
        <v>100</v>
      </c>
      <c r="V37" s="717" t="s">
        <v>17</v>
      </c>
      <c r="W37" s="718">
        <f t="shared" si="12"/>
        <v>100</v>
      </c>
      <c r="X37" s="719"/>
      <c r="Y37" s="3510"/>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10"/>
      <c r="Q38" s="1487" t="str">
        <f>B38</f>
        <v>宗地面积</v>
      </c>
      <c r="R38" s="714" t="s">
        <v>17</v>
      </c>
      <c r="S38" s="715" t="e">
        <f t="shared" si="10"/>
        <v>#N/A</v>
      </c>
      <c r="T38" s="714" t="s">
        <v>17</v>
      </c>
      <c r="U38" s="715" t="e">
        <f t="shared" si="11"/>
        <v>#N/A</v>
      </c>
      <c r="V38" s="714" t="s">
        <v>17</v>
      </c>
      <c r="W38" s="715" t="e">
        <f t="shared" si="12"/>
        <v>#N/A</v>
      </c>
      <c r="X38" s="1490"/>
      <c r="Y38" s="3510"/>
      <c r="Z38" s="1491" t="str">
        <f t="shared" si="13"/>
        <v>宗地面积</v>
      </c>
      <c r="AA38" s="1488" t="e">
        <f t="shared" si="3"/>
        <v>#N/A</v>
      </c>
      <c r="AB38" s="1488" t="e">
        <f t="shared" si="4"/>
        <v>#N/A</v>
      </c>
      <c r="AC38" s="1488" t="e">
        <f t="shared" si="5"/>
        <v>#N/A</v>
      </c>
    </row>
    <row r="39" spans="1:29" ht="15">
      <c r="A39" s="431"/>
      <c r="B39" s="381" t="s">
        <v>2327</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10"/>
      <c r="Q39" s="1487" t="str">
        <f t="shared" ref="Q39:Q45" si="14">B39</f>
        <v>宗地形状</v>
      </c>
      <c r="R39" s="714" t="s">
        <v>17</v>
      </c>
      <c r="S39" s="715">
        <f t="shared" si="10"/>
        <v>100</v>
      </c>
      <c r="T39" s="714" t="s">
        <v>17</v>
      </c>
      <c r="U39" s="715">
        <f t="shared" si="11"/>
        <v>100</v>
      </c>
      <c r="V39" s="714" t="s">
        <v>17</v>
      </c>
      <c r="W39" s="715">
        <f t="shared" si="12"/>
        <v>100</v>
      </c>
      <c r="X39" s="1490"/>
      <c r="Y39" s="3510"/>
      <c r="Z39" s="1491" t="str">
        <f t="shared" si="13"/>
        <v>宗地形状</v>
      </c>
      <c r="AA39" s="1488">
        <f t="shared" si="3"/>
        <v>1</v>
      </c>
      <c r="AB39" s="1488">
        <f t="shared" si="4"/>
        <v>1</v>
      </c>
      <c r="AC39" s="1488">
        <f t="shared" si="5"/>
        <v>1</v>
      </c>
    </row>
    <row r="40" spans="1:29" ht="15">
      <c r="A40" s="431"/>
      <c r="B40" s="381" t="s">
        <v>2328</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10"/>
      <c r="Q40" s="1487" t="str">
        <f t="shared" si="14"/>
        <v>临街宽度及深度</v>
      </c>
      <c r="R40" s="714" t="s">
        <v>17</v>
      </c>
      <c r="S40" s="715">
        <f t="shared" si="10"/>
        <v>100</v>
      </c>
      <c r="T40" s="714" t="s">
        <v>17</v>
      </c>
      <c r="U40" s="715">
        <f t="shared" si="11"/>
        <v>100</v>
      </c>
      <c r="V40" s="714" t="s">
        <v>17</v>
      </c>
      <c r="W40" s="715">
        <f t="shared" si="12"/>
        <v>100</v>
      </c>
      <c r="X40" s="1490"/>
      <c r="Y40" s="3510"/>
      <c r="Z40" s="1491" t="str">
        <f t="shared" si="13"/>
        <v>临街宽度及深度</v>
      </c>
      <c r="AA40" s="1488">
        <f t="shared" si="3"/>
        <v>1</v>
      </c>
      <c r="AB40" s="1488">
        <f t="shared" si="4"/>
        <v>1</v>
      </c>
      <c r="AC40" s="1488">
        <f t="shared" si="5"/>
        <v>1</v>
      </c>
    </row>
    <row r="41" spans="1:29" s="113" customFormat="1" ht="15">
      <c r="A41" s="432"/>
      <c r="B41" s="381" t="s">
        <v>2329</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10"/>
      <c r="Q41" s="1487" t="str">
        <f t="shared" si="14"/>
        <v>宗地开发程度</v>
      </c>
      <c r="R41" s="710" t="s">
        <v>17</v>
      </c>
      <c r="S41" s="711">
        <f t="shared" si="10"/>
        <v>100</v>
      </c>
      <c r="T41" s="710" t="s">
        <v>17</v>
      </c>
      <c r="U41" s="711">
        <f t="shared" si="11"/>
        <v>100</v>
      </c>
      <c r="V41" s="710" t="s">
        <v>17</v>
      </c>
      <c r="W41" s="711">
        <f t="shared" si="12"/>
        <v>100</v>
      </c>
      <c r="X41" s="712"/>
      <c r="Y41" s="3510"/>
      <c r="Z41" s="55" t="str">
        <f t="shared" si="13"/>
        <v>宗地开发程度</v>
      </c>
      <c r="AA41" s="713">
        <f t="shared" si="3"/>
        <v>1</v>
      </c>
      <c r="AB41" s="713">
        <f t="shared" si="4"/>
        <v>1</v>
      </c>
      <c r="AC41" s="713">
        <f t="shared" si="5"/>
        <v>1</v>
      </c>
    </row>
    <row r="42" spans="1:29" ht="15">
      <c r="A42" s="431"/>
      <c r="B42" s="381" t="s">
        <v>2330</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10" t="s">
        <v>2140</v>
      </c>
      <c r="Q42" s="1487" t="str">
        <f t="shared" si="14"/>
        <v>工程地质条件</v>
      </c>
      <c r="R42" s="714" t="s">
        <v>17</v>
      </c>
      <c r="S42" s="715">
        <f t="shared" si="10"/>
        <v>100</v>
      </c>
      <c r="T42" s="714" t="s">
        <v>17</v>
      </c>
      <c r="U42" s="715">
        <f t="shared" si="11"/>
        <v>100</v>
      </c>
      <c r="V42" s="714" t="s">
        <v>17</v>
      </c>
      <c r="W42" s="715">
        <f t="shared" si="12"/>
        <v>100</v>
      </c>
      <c r="X42" s="1490"/>
      <c r="Y42" s="3510"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10"/>
      <c r="Q43" s="1487">
        <f t="shared" si="14"/>
        <v>111</v>
      </c>
      <c r="R43" s="714" t="s">
        <v>17</v>
      </c>
      <c r="S43" s="715">
        <f t="shared" si="10"/>
        <v>100</v>
      </c>
      <c r="T43" s="714" t="s">
        <v>17</v>
      </c>
      <c r="U43" s="715">
        <f t="shared" si="11"/>
        <v>100</v>
      </c>
      <c r="V43" s="714" t="s">
        <v>17</v>
      </c>
      <c r="W43" s="715">
        <f t="shared" si="12"/>
        <v>100</v>
      </c>
      <c r="X43" s="1490"/>
      <c r="Y43" s="351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10"/>
      <c r="Q44" s="1487">
        <f t="shared" si="14"/>
        <v>111</v>
      </c>
      <c r="R44" s="714" t="s">
        <v>17</v>
      </c>
      <c r="S44" s="715">
        <f t="shared" si="10"/>
        <v>100</v>
      </c>
      <c r="T44" s="714" t="s">
        <v>17</v>
      </c>
      <c r="U44" s="715">
        <f t="shared" si="11"/>
        <v>100</v>
      </c>
      <c r="V44" s="714" t="s">
        <v>17</v>
      </c>
      <c r="W44" s="715">
        <f t="shared" si="12"/>
        <v>100</v>
      </c>
      <c r="X44" s="1490"/>
      <c r="Y44" s="3510"/>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10"/>
      <c r="Q45" s="1487">
        <f t="shared" si="14"/>
        <v>111</v>
      </c>
      <c r="R45" s="717" t="s">
        <v>17</v>
      </c>
      <c r="S45" s="718">
        <f t="shared" si="10"/>
        <v>100</v>
      </c>
      <c r="T45" s="717" t="s">
        <v>17</v>
      </c>
      <c r="U45" s="718">
        <f t="shared" si="11"/>
        <v>100</v>
      </c>
      <c r="V45" s="717" t="s">
        <v>17</v>
      </c>
      <c r="W45" s="718">
        <f t="shared" si="12"/>
        <v>100</v>
      </c>
      <c r="X45" s="719"/>
      <c r="Y45" s="3510"/>
      <c r="Z45" s="720">
        <f t="shared" si="13"/>
        <v>111</v>
      </c>
      <c r="AA45" s="1488">
        <f t="shared" si="3"/>
        <v>1</v>
      </c>
      <c r="AB45" s="1488">
        <f t="shared" si="4"/>
        <v>1</v>
      </c>
      <c r="AC45" s="1488">
        <f t="shared" si="5"/>
        <v>1</v>
      </c>
    </row>
    <row r="46" spans="1:29" ht="15">
      <c r="A46" s="438" t="s">
        <v>2295</v>
      </c>
      <c r="B46" s="2119" t="s">
        <v>2331</v>
      </c>
      <c r="C46" s="638" t="s">
        <v>1</v>
      </c>
      <c r="D46" s="440"/>
      <c r="E46" s="441"/>
      <c r="F46" s="442"/>
      <c r="G46" s="443"/>
      <c r="H46" s="444"/>
      <c r="I46" s="441"/>
      <c r="J46" s="444"/>
      <c r="K46" s="723"/>
      <c r="L46" s="2903"/>
      <c r="M46" s="2904"/>
      <c r="N46" s="2895"/>
      <c r="O46" s="2904"/>
      <c r="P46" s="3512" t="str">
        <f>A46</f>
        <v>成交单价</v>
      </c>
      <c r="Q46" s="3512"/>
      <c r="R46" s="3500">
        <f>E46</f>
        <v>0</v>
      </c>
      <c r="S46" s="3500"/>
      <c r="T46" s="3500">
        <f>G46</f>
        <v>0</v>
      </c>
      <c r="U46" s="3500"/>
      <c r="V46" s="3500">
        <f>I46</f>
        <v>0</v>
      </c>
      <c r="W46" s="3500"/>
      <c r="X46" s="699"/>
      <c r="Y46" s="721"/>
      <c r="Z46" s="699"/>
      <c r="AA46" s="699"/>
      <c r="AB46" s="699"/>
      <c r="AC46" s="699"/>
    </row>
    <row r="47" spans="1:29" ht="15.75" thickBot="1">
      <c r="A47" s="445" t="s">
        <v>2244</v>
      </c>
      <c r="B47" s="639"/>
      <c r="C47" s="448" t="e">
        <f>R48</f>
        <v>#DIV/0!</v>
      </c>
      <c r="D47" s="2489" t="s">
        <v>2634</v>
      </c>
      <c r="E47" s="448" t="e">
        <f>R47</f>
        <v>#DIV/0!</v>
      </c>
      <c r="F47" s="2490"/>
      <c r="G47" s="447" t="e">
        <f>T47</f>
        <v>#DIV/0!</v>
      </c>
      <c r="H47" s="2490"/>
      <c r="I47" s="448" t="e">
        <f>V47</f>
        <v>#DIV/0!</v>
      </c>
      <c r="J47" s="2490"/>
      <c r="K47" s="2492">
        <f>F47+H47+J47</f>
        <v>0</v>
      </c>
      <c r="L47" s="2903"/>
      <c r="M47" s="2904"/>
      <c r="N47" s="2904"/>
      <c r="O47" s="2904"/>
      <c r="P47" s="3512" t="str">
        <f>A47</f>
        <v>比较价值（元/平方米）</v>
      </c>
      <c r="Q47" s="3512"/>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3"/>
      <c r="M48" s="2904"/>
      <c r="N48" s="2904"/>
      <c r="O48" s="2904"/>
      <c r="P48" s="3545" t="str">
        <f>A48</f>
        <v>估价对象XX用房的比较价值（楼面单价，元/平方米）</v>
      </c>
      <c r="Q48" s="3546"/>
      <c r="R48" s="3551" t="e">
        <f>ROUND(IF(D47="简单平均",AVERAGE(R47:W47),R47*F47+T47*H47+V47*J47),0)</f>
        <v>#DIV/0!</v>
      </c>
      <c r="S48" s="3551"/>
      <c r="T48" s="3551"/>
      <c r="U48" s="3551"/>
      <c r="V48" s="3551"/>
      <c r="W48" s="355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2333</v>
      </c>
      <c r="B55" s="641" t="s">
        <v>2334</v>
      </c>
      <c r="C55" s="2120" t="s">
        <v>2335</v>
      </c>
      <c r="D55" s="2121" t="s">
        <v>2336</v>
      </c>
      <c r="E55" s="642" t="s">
        <v>2337</v>
      </c>
      <c r="F55" s="1002" t="s">
        <v>2338</v>
      </c>
      <c r="G55" s="3487" t="s">
        <v>2339</v>
      </c>
      <c r="H55" s="3552"/>
      <c r="I55" s="140" t="s">
        <v>2340</v>
      </c>
      <c r="J55" s="2122">
        <f>项目基本情况!F35</f>
        <v>0</v>
      </c>
      <c r="K55" s="2123" t="s">
        <v>2341</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2342</v>
      </c>
      <c r="B56" s="645" t="e">
        <f>C48</f>
        <v>#DIV/0!</v>
      </c>
      <c r="C56" s="646">
        <v>1</v>
      </c>
      <c r="D56" s="1056">
        <v>1</v>
      </c>
      <c r="E56" s="646">
        <f>'数据-汇总表'!E8+'数据-汇总表'!E9</f>
        <v>373.88</v>
      </c>
      <c r="F56" s="998" t="e">
        <f t="shared" ref="F56:F64" si="15">ROUND(B56*E56/10000,0)</f>
        <v>#DIV/0!</v>
      </c>
      <c r="G56" s="3483"/>
      <c r="H56" s="351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2343</v>
      </c>
      <c r="B57" s="224" t="e">
        <f>ROUND($C$48*C57*D57,0)</f>
        <v>#DIV/0!</v>
      </c>
      <c r="C57" s="176">
        <f t="shared" ref="C57:C64" si="16">IF($C$55="北京市系数",I57,J57)</f>
        <v>0</v>
      </c>
      <c r="D57" s="1057">
        <v>0.25</v>
      </c>
      <c r="E57" s="650"/>
      <c r="F57" s="998" t="e">
        <f t="shared" si="15"/>
        <v>#DIV/0!</v>
      </c>
      <c r="G57" s="3228" t="s">
        <v>2344</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2345</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2346</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2347</v>
      </c>
      <c r="B60" s="224" t="e">
        <f t="shared" si="17"/>
        <v>#DIV/0!</v>
      </c>
      <c r="C60" s="176">
        <f t="shared" si="16"/>
        <v>0</v>
      </c>
      <c r="D60" s="1057">
        <v>0.25</v>
      </c>
      <c r="E60" s="223">
        <f>'数据-汇总表'!E11</f>
        <v>0</v>
      </c>
      <c r="F60" s="998" t="e">
        <f t="shared" si="15"/>
        <v>#DIV/0!</v>
      </c>
      <c r="G60" s="2124" t="s">
        <v>2348</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2353</v>
      </c>
      <c r="B63" s="224" t="e">
        <f t="shared" si="17"/>
        <v>#DIV/0!</v>
      </c>
      <c r="C63" s="176">
        <f t="shared" si="16"/>
        <v>0</v>
      </c>
      <c r="D63" s="1057">
        <v>0.25</v>
      </c>
      <c r="E63" s="223">
        <f>'数据-汇总表'!E14</f>
        <v>0</v>
      </c>
      <c r="F63" s="998" t="e">
        <f t="shared" si="15"/>
        <v>#DIV/0!</v>
      </c>
      <c r="G63" s="2124" t="s">
        <v>2344</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2354</v>
      </c>
      <c r="B64" s="224" t="e">
        <f t="shared" si="17"/>
        <v>#DIV/0!</v>
      </c>
      <c r="C64" s="176">
        <f t="shared" si="16"/>
        <v>0</v>
      </c>
      <c r="D64" s="1057">
        <v>0.25</v>
      </c>
      <c r="E64" s="223">
        <f>'数据-汇总表'!E15</f>
        <v>0</v>
      </c>
      <c r="F64" s="998" t="e">
        <f t="shared" si="15"/>
        <v>#DIV/0!</v>
      </c>
      <c r="G64" s="2125" t="s">
        <v>2348</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2355</v>
      </c>
      <c r="B65" s="652" t="s">
        <v>28</v>
      </c>
      <c r="C65" s="652" t="s">
        <v>29</v>
      </c>
      <c r="D65" s="652" t="s">
        <v>816</v>
      </c>
      <c r="E65" s="652">
        <f>IF(B46="楼面地价",SUM(E56:E64),'数据-汇总表'!D3)</f>
        <v>373.88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2249</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2160</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2125</v>
      </c>
      <c r="B72" s="467"/>
      <c r="C72" s="479" t="s">
        <v>2227</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2163</v>
      </c>
      <c r="B74" s="485" t="s">
        <v>2129</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2132</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2134</v>
      </c>
      <c r="B87" s="485" t="s">
        <v>2171</v>
      </c>
      <c r="C87" s="530" t="s">
        <v>2172</v>
      </c>
      <c r="D87" s="530" t="s">
        <v>2173</v>
      </c>
      <c r="E87" s="530" t="s">
        <v>2174</v>
      </c>
      <c r="F87" s="530" t="s">
        <v>2175</v>
      </c>
      <c r="G87" s="530" t="s">
        <v>2176</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2358</v>
      </c>
      <c r="C89" s="535" t="s">
        <v>2172</v>
      </c>
      <c r="D89" s="535" t="s">
        <v>2173</v>
      </c>
      <c r="E89" s="535" t="s">
        <v>2174</v>
      </c>
      <c r="F89" s="535" t="s">
        <v>2175</v>
      </c>
      <c r="G89" s="535" t="s">
        <v>2176</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2272</v>
      </c>
      <c r="C91" s="535" t="s">
        <v>2172</v>
      </c>
      <c r="D91" s="535" t="s">
        <v>2173</v>
      </c>
      <c r="E91" s="535" t="s">
        <v>2174</v>
      </c>
      <c r="F91" s="535" t="s">
        <v>2175</v>
      </c>
      <c r="G91" s="535" t="s">
        <v>2176</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2177</v>
      </c>
      <c r="C93" s="535" t="s">
        <v>2172</v>
      </c>
      <c r="D93" s="535" t="s">
        <v>2173</v>
      </c>
      <c r="E93" s="535" t="s">
        <v>2174</v>
      </c>
      <c r="F93" s="535" t="s">
        <v>2175</v>
      </c>
      <c r="G93" s="535" t="s">
        <v>2176</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2266</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2325</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2366</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2367</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2368</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2369</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1902</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2894"/>
      <c r="M4" s="2895"/>
      <c r="N4" s="2895"/>
      <c r="O4" s="2895"/>
      <c r="P4" s="3541" t="s">
        <v>2226</v>
      </c>
      <c r="Q4" s="3542"/>
      <c r="R4" s="3539" t="s">
        <v>2222</v>
      </c>
      <c r="S4" s="3540"/>
      <c r="T4" s="3539" t="s">
        <v>2223</v>
      </c>
      <c r="U4" s="3540"/>
      <c r="V4" s="3500" t="s">
        <v>2224</v>
      </c>
      <c r="W4" s="3500"/>
      <c r="X4" s="1490"/>
      <c r="Y4" s="3539" t="s">
        <v>2226</v>
      </c>
      <c r="Z4" s="3540"/>
      <c r="AA4" s="3538" t="s">
        <v>2222</v>
      </c>
      <c r="AB4" s="3466" t="s">
        <v>2223</v>
      </c>
      <c r="AC4" s="3538" t="s">
        <v>2224</v>
      </c>
    </row>
    <row r="5" spans="1:29" ht="15">
      <c r="A5" s="364"/>
      <c r="B5" s="365"/>
      <c r="C5" s="3480" t="s">
        <v>2117</v>
      </c>
      <c r="D5" s="3477"/>
      <c r="E5" s="3474" t="s">
        <v>2118</v>
      </c>
      <c r="F5" s="3475"/>
      <c r="G5" s="3480" t="s">
        <v>2119</v>
      </c>
      <c r="H5" s="3477"/>
      <c r="I5" s="3480" t="s">
        <v>2120</v>
      </c>
      <c r="J5" s="3477"/>
      <c r="K5" s="567"/>
      <c r="L5" s="2894"/>
      <c r="M5" s="2895"/>
      <c r="N5" s="2895"/>
      <c r="O5" s="2895"/>
      <c r="P5" s="3543"/>
      <c r="Q5" s="3494"/>
      <c r="R5" s="3472"/>
      <c r="S5" s="3473"/>
      <c r="T5" s="3472"/>
      <c r="U5" s="3473"/>
      <c r="V5" s="3500"/>
      <c r="W5" s="3500"/>
      <c r="X5" s="1490"/>
      <c r="Y5" s="3472"/>
      <c r="Z5" s="3473"/>
      <c r="AA5" s="3466"/>
      <c r="AB5" s="3466"/>
      <c r="AC5" s="3466"/>
    </row>
    <row r="6" spans="1:29" ht="15.75" thickBot="1">
      <c r="A6" s="366"/>
      <c r="B6" s="367"/>
      <c r="C6" s="3553" t="s">
        <v>2371</v>
      </c>
      <c r="D6" s="3554"/>
      <c r="E6" s="3555" t="s">
        <v>2371</v>
      </c>
      <c r="F6" s="3556"/>
      <c r="G6" s="3553" t="s">
        <v>2371</v>
      </c>
      <c r="H6" s="3554"/>
      <c r="I6" s="3553" t="s">
        <v>2371</v>
      </c>
      <c r="J6" s="3554"/>
      <c r="K6" s="567" t="s">
        <v>2122</v>
      </c>
      <c r="L6" s="2894"/>
      <c r="M6" s="2895"/>
      <c r="N6" s="2895"/>
      <c r="O6" s="2895"/>
      <c r="P6" s="3544"/>
      <c r="Q6" s="3496"/>
      <c r="R6" s="3472"/>
      <c r="S6" s="3473"/>
      <c r="T6" s="3497"/>
      <c r="U6" s="3498"/>
      <c r="V6" s="3500"/>
      <c r="W6" s="3500"/>
      <c r="X6" s="1490"/>
      <c r="Y6" s="3497"/>
      <c r="Z6" s="3498"/>
      <c r="AA6" s="3467"/>
      <c r="AB6" s="3467"/>
      <c r="AC6" s="3467"/>
    </row>
    <row r="7" spans="1:29" s="113" customFormat="1" ht="15.75" thickBot="1">
      <c r="A7" s="368" t="s">
        <v>2123</v>
      </c>
      <c r="B7" s="369"/>
      <c r="C7" s="370">
        <f>'数据-取费表'!B2</f>
        <v>44733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68" t="s">
        <v>2124</v>
      </c>
      <c r="Q7" s="3502"/>
      <c r="R7" s="710" t="s">
        <v>17</v>
      </c>
      <c r="S7" s="711">
        <f t="shared" ref="S7:S15" si="0">F7</f>
        <v>0</v>
      </c>
      <c r="T7" s="710" t="s">
        <v>17</v>
      </c>
      <c r="U7" s="711">
        <f t="shared" ref="U7:U15" si="1">H7</f>
        <v>0</v>
      </c>
      <c r="V7" s="710" t="s">
        <v>17</v>
      </c>
      <c r="W7" s="711">
        <f t="shared" ref="W7:W15" si="2">J7</f>
        <v>0</v>
      </c>
      <c r="X7" s="712"/>
      <c r="Y7" s="3468" t="s">
        <v>2124</v>
      </c>
      <c r="Z7" s="3469"/>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68" t="s">
        <v>2127</v>
      </c>
      <c r="Q8" s="3469"/>
      <c r="R8" s="710" t="s">
        <v>17</v>
      </c>
      <c r="S8" s="711">
        <f t="shared" si="0"/>
        <v>0</v>
      </c>
      <c r="T8" s="710" t="s">
        <v>17</v>
      </c>
      <c r="U8" s="711">
        <f t="shared" si="1"/>
        <v>0</v>
      </c>
      <c r="V8" s="710" t="s">
        <v>17</v>
      </c>
      <c r="W8" s="711">
        <f t="shared" si="2"/>
        <v>0</v>
      </c>
      <c r="X8" s="712"/>
      <c r="Y8" s="3468" t="s">
        <v>2127</v>
      </c>
      <c r="Z8" s="3469"/>
      <c r="AA8" s="713" t="e">
        <f t="shared" ref="AA8:AA40" si="3">D8/F8</f>
        <v>#DIV/0!</v>
      </c>
      <c r="AB8" s="713" t="e">
        <f t="shared" ref="AB8:AB40" si="4">D8/H8</f>
        <v>#DIV/0!</v>
      </c>
      <c r="AC8" s="713" t="e">
        <f t="shared" ref="AC8:AC40" si="5">D8/J8</f>
        <v>#DIV/0!</v>
      </c>
    </row>
    <row r="9" spans="1:29" s="113" customFormat="1">
      <c r="A9" s="375" t="s">
        <v>2128</v>
      </c>
      <c r="B9" s="67" t="s">
        <v>2129</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12" t="s">
        <v>2130</v>
      </c>
      <c r="Q9" s="1478" t="str">
        <f t="shared" ref="Q9:Q15" si="6">B9</f>
        <v>用途</v>
      </c>
      <c r="R9" s="710" t="s">
        <v>17</v>
      </c>
      <c r="S9" s="711">
        <f t="shared" si="0"/>
        <v>100</v>
      </c>
      <c r="T9" s="710" t="s">
        <v>17</v>
      </c>
      <c r="U9" s="711">
        <f t="shared" si="1"/>
        <v>100</v>
      </c>
      <c r="V9" s="710" t="s">
        <v>17</v>
      </c>
      <c r="W9" s="711">
        <f t="shared" si="2"/>
        <v>100</v>
      </c>
      <c r="X9" s="712"/>
      <c r="Y9" s="3433"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110</v>
      </c>
      <c r="G10" s="391"/>
      <c r="H10" s="132">
        <f>ROUND(100/'数据-取费表'!G16,0)</f>
        <v>110</v>
      </c>
      <c r="I10" s="391"/>
      <c r="J10" s="132">
        <f>ROUND(100/'数据-取费表'!G16,0)</f>
        <v>110</v>
      </c>
      <c r="K10" s="628"/>
      <c r="L10" s="2898"/>
      <c r="M10" s="2899"/>
      <c r="N10" s="2899"/>
      <c r="O10" s="2952"/>
      <c r="P10" s="3512"/>
      <c r="Q10" s="1478" t="str">
        <f t="shared" si="6"/>
        <v>土地使用年限（年）</v>
      </c>
      <c r="R10" s="710" t="s">
        <v>17</v>
      </c>
      <c r="S10" s="711">
        <f t="shared" si="0"/>
        <v>110</v>
      </c>
      <c r="T10" s="710" t="s">
        <v>17</v>
      </c>
      <c r="U10" s="711">
        <f t="shared" si="1"/>
        <v>110</v>
      </c>
      <c r="V10" s="710" t="s">
        <v>17</v>
      </c>
      <c r="W10" s="711">
        <f t="shared" si="2"/>
        <v>110</v>
      </c>
      <c r="X10" s="712"/>
      <c r="Y10" s="3433"/>
      <c r="Z10" s="55" t="str">
        <f t="shared" si="7"/>
        <v>土地使用年限（年）</v>
      </c>
      <c r="AA10" s="713">
        <f t="shared" si="3"/>
        <v>0.90909090909090906</v>
      </c>
      <c r="AB10" s="713">
        <f t="shared" si="4"/>
        <v>0.90909090909090906</v>
      </c>
      <c r="AC10" s="713">
        <f t="shared" si="5"/>
        <v>0.90909090909090906</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12"/>
      <c r="Q11" s="1478" t="str">
        <f t="shared" si="6"/>
        <v>容积率</v>
      </c>
      <c r="R11" s="710" t="s">
        <v>17</v>
      </c>
      <c r="S11" s="711" t="e">
        <f t="shared" si="0"/>
        <v>#N/A</v>
      </c>
      <c r="T11" s="710" t="s">
        <v>17</v>
      </c>
      <c r="U11" s="711" t="e">
        <f t="shared" si="1"/>
        <v>#N/A</v>
      </c>
      <c r="V11" s="710" t="s">
        <v>17</v>
      </c>
      <c r="W11" s="711" t="e">
        <f t="shared" si="2"/>
        <v>#N/A</v>
      </c>
      <c r="X11" s="712"/>
      <c r="Y11" s="343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12"/>
      <c r="Q12" s="1478">
        <f t="shared" si="6"/>
        <v>111</v>
      </c>
      <c r="R12" s="710" t="s">
        <v>17</v>
      </c>
      <c r="S12" s="711">
        <f t="shared" si="0"/>
        <v>100</v>
      </c>
      <c r="T12" s="710" t="s">
        <v>17</v>
      </c>
      <c r="U12" s="711">
        <f t="shared" si="1"/>
        <v>100</v>
      </c>
      <c r="V12" s="710" t="s">
        <v>17</v>
      </c>
      <c r="W12" s="711">
        <f t="shared" si="2"/>
        <v>100</v>
      </c>
      <c r="X12" s="712"/>
      <c r="Y12" s="343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12"/>
      <c r="Q13" s="1478">
        <f t="shared" si="6"/>
        <v>111</v>
      </c>
      <c r="R13" s="710" t="s">
        <v>17</v>
      </c>
      <c r="S13" s="711">
        <f t="shared" si="0"/>
        <v>100</v>
      </c>
      <c r="T13" s="710" t="s">
        <v>17</v>
      </c>
      <c r="U13" s="711">
        <f t="shared" si="1"/>
        <v>100</v>
      </c>
      <c r="V13" s="710" t="s">
        <v>17</v>
      </c>
      <c r="W13" s="711">
        <f t="shared" si="2"/>
        <v>100</v>
      </c>
      <c r="X13" s="712"/>
      <c r="Y13" s="343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12"/>
      <c r="Q14" s="1478">
        <f t="shared" si="6"/>
        <v>111</v>
      </c>
      <c r="R14" s="710" t="s">
        <v>17</v>
      </c>
      <c r="S14" s="711">
        <f t="shared" si="0"/>
        <v>100</v>
      </c>
      <c r="T14" s="710" t="s">
        <v>17</v>
      </c>
      <c r="U14" s="711">
        <f t="shared" si="1"/>
        <v>100</v>
      </c>
      <c r="V14" s="710" t="s">
        <v>17</v>
      </c>
      <c r="W14" s="711">
        <f t="shared" si="2"/>
        <v>100</v>
      </c>
      <c r="X14" s="712"/>
      <c r="Y14" s="3433"/>
      <c r="Z14" s="55">
        <f t="shared" si="7"/>
        <v>111</v>
      </c>
      <c r="AA14" s="713">
        <f t="shared" si="3"/>
        <v>1</v>
      </c>
      <c r="AB14" s="713">
        <f t="shared" si="4"/>
        <v>1</v>
      </c>
      <c r="AC14" s="713">
        <f t="shared" si="5"/>
        <v>1</v>
      </c>
    </row>
    <row r="15" spans="1:29" ht="57">
      <c r="A15" s="399" t="s">
        <v>2134</v>
      </c>
      <c r="B15" s="585" t="s">
        <v>2372</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05" t="s">
        <v>2135</v>
      </c>
      <c r="Q15" s="1487" t="str">
        <f t="shared" si="6"/>
        <v>产业集聚程度</v>
      </c>
      <c r="R15" s="714" t="s">
        <v>17</v>
      </c>
      <c r="S15" s="715">
        <f t="shared" si="0"/>
        <v>100</v>
      </c>
      <c r="T15" s="714" t="s">
        <v>17</v>
      </c>
      <c r="U15" s="715">
        <f t="shared" si="1"/>
        <v>100</v>
      </c>
      <c r="V15" s="714" t="s">
        <v>17</v>
      </c>
      <c r="W15" s="715">
        <f t="shared" si="2"/>
        <v>100</v>
      </c>
      <c r="X15" s="1490"/>
      <c r="Y15" s="3505" t="s">
        <v>2135</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06"/>
      <c r="Q16" s="1487"/>
      <c r="R16" s="714"/>
      <c r="S16" s="715"/>
      <c r="T16" s="714"/>
      <c r="U16" s="715"/>
      <c r="V16" s="714"/>
      <c r="W16" s="715"/>
      <c r="X16" s="1490"/>
      <c r="Y16" s="3506"/>
      <c r="Z16" s="1491"/>
      <c r="AA16" s="1488">
        <v>1</v>
      </c>
      <c r="AB16" s="1488">
        <v>1</v>
      </c>
      <c r="AC16" s="1488">
        <v>1</v>
      </c>
    </row>
    <row r="17" spans="1:29" ht="85.5">
      <c r="A17" s="387"/>
      <c r="B17" s="587" t="s">
        <v>2284</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06"/>
      <c r="Q17" s="1487" t="str">
        <f>B17</f>
        <v>交通便捷度</v>
      </c>
      <c r="R17" s="714" t="s">
        <v>17</v>
      </c>
      <c r="S17" s="715">
        <f>F17</f>
        <v>100</v>
      </c>
      <c r="T17" s="714" t="s">
        <v>17</v>
      </c>
      <c r="U17" s="715">
        <f>H17</f>
        <v>100</v>
      </c>
      <c r="V17" s="714" t="s">
        <v>17</v>
      </c>
      <c r="W17" s="715">
        <f>J17</f>
        <v>100</v>
      </c>
      <c r="X17" s="1490"/>
      <c r="Y17" s="3506"/>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06"/>
      <c r="Q18" s="1487"/>
      <c r="R18" s="714"/>
      <c r="S18" s="715"/>
      <c r="T18" s="714"/>
      <c r="U18" s="715"/>
      <c r="V18" s="714"/>
      <c r="W18" s="715"/>
      <c r="X18" s="1490"/>
      <c r="Y18" s="3506"/>
      <c r="Z18" s="1491"/>
      <c r="AA18" s="1488">
        <v>1</v>
      </c>
      <c r="AB18" s="1488">
        <v>1</v>
      </c>
      <c r="AC18" s="1488">
        <v>1</v>
      </c>
    </row>
    <row r="19" spans="1:29" ht="15">
      <c r="A19" s="387"/>
      <c r="B19" s="587" t="s">
        <v>2323</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06"/>
      <c r="Q19" s="1487" t="str">
        <f t="shared" ref="Q19:Q33" si="8">B19</f>
        <v>区域土地利用方向</v>
      </c>
      <c r="R19" s="714" t="s">
        <v>17</v>
      </c>
      <c r="S19" s="715">
        <f>F19</f>
        <v>100</v>
      </c>
      <c r="T19" s="714" t="s">
        <v>17</v>
      </c>
      <c r="U19" s="715">
        <f>H19</f>
        <v>100</v>
      </c>
      <c r="V19" s="714" t="s">
        <v>17</v>
      </c>
      <c r="W19" s="715">
        <f>J19</f>
        <v>100</v>
      </c>
      <c r="X19" s="1490"/>
      <c r="Y19" s="3506"/>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06"/>
      <c r="Q20" s="1487"/>
      <c r="R20" s="714"/>
      <c r="S20" s="715"/>
      <c r="T20" s="714"/>
      <c r="U20" s="715"/>
      <c r="V20" s="714"/>
      <c r="W20" s="715"/>
      <c r="X20" s="1490"/>
      <c r="Y20" s="3506"/>
      <c r="Z20" s="1491"/>
      <c r="AA20" s="1488"/>
      <c r="AB20" s="1488"/>
      <c r="AC20" s="1488"/>
    </row>
    <row r="21" spans="1:29" ht="71.25">
      <c r="A21" s="364"/>
      <c r="B21" s="587" t="s">
        <v>2373</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06"/>
      <c r="Q21" s="1487" t="str">
        <f t="shared" si="8"/>
        <v>环境状况</v>
      </c>
      <c r="R21" s="714" t="s">
        <v>17</v>
      </c>
      <c r="S21" s="715">
        <f>F21</f>
        <v>100</v>
      </c>
      <c r="T21" s="714" t="s">
        <v>17</v>
      </c>
      <c r="U21" s="715">
        <f>H21</f>
        <v>100</v>
      </c>
      <c r="V21" s="714" t="s">
        <v>17</v>
      </c>
      <c r="W21" s="715">
        <f>J21</f>
        <v>100</v>
      </c>
      <c r="X21" s="1490"/>
      <c r="Y21" s="3506"/>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06"/>
      <c r="Q22" s="1487"/>
      <c r="R22" s="714"/>
      <c r="S22" s="715"/>
      <c r="T22" s="714"/>
      <c r="U22" s="715"/>
      <c r="V22" s="714"/>
      <c r="W22" s="715"/>
      <c r="X22" s="1490"/>
      <c r="Y22" s="3506"/>
      <c r="Z22" s="1491"/>
      <c r="AA22" s="1488">
        <v>1</v>
      </c>
      <c r="AB22" s="1488">
        <v>1</v>
      </c>
      <c r="AC22" s="1488">
        <v>1</v>
      </c>
    </row>
    <row r="23" spans="1:29" s="113" customFormat="1" ht="42.75">
      <c r="A23" s="605"/>
      <c r="B23" s="589" t="s">
        <v>2229</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06"/>
      <c r="Q23" s="1478" t="str">
        <f t="shared" si="8"/>
        <v>公共配套设施</v>
      </c>
      <c r="R23" s="710" t="s">
        <v>17</v>
      </c>
      <c r="S23" s="711">
        <f>F23</f>
        <v>100</v>
      </c>
      <c r="T23" s="710" t="s">
        <v>17</v>
      </c>
      <c r="U23" s="711">
        <f>H23</f>
        <v>100</v>
      </c>
      <c r="V23" s="710" t="s">
        <v>17</v>
      </c>
      <c r="W23" s="711">
        <f>J23</f>
        <v>100</v>
      </c>
      <c r="X23" s="712"/>
      <c r="Y23" s="3506"/>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06"/>
      <c r="Q24" s="1478"/>
      <c r="R24" s="710"/>
      <c r="S24" s="711"/>
      <c r="T24" s="710"/>
      <c r="U24" s="711"/>
      <c r="V24" s="710"/>
      <c r="W24" s="711"/>
      <c r="X24" s="712"/>
      <c r="Y24" s="3506"/>
      <c r="Z24" s="55"/>
      <c r="AA24" s="713">
        <v>1</v>
      </c>
      <c r="AB24" s="713">
        <v>1</v>
      </c>
      <c r="AC24" s="713">
        <v>1</v>
      </c>
    </row>
    <row r="25" spans="1:29" s="113" customFormat="1" ht="28.5">
      <c r="A25" s="605"/>
      <c r="B25" s="589" t="s">
        <v>2230</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06"/>
      <c r="Q25" s="1478" t="str">
        <f t="shared" ref="Q25" si="9">B25</f>
        <v>基础设施水平</v>
      </c>
      <c r="R25" s="710" t="s">
        <v>17</v>
      </c>
      <c r="S25" s="711">
        <f>F25</f>
        <v>100</v>
      </c>
      <c r="T25" s="710" t="s">
        <v>17</v>
      </c>
      <c r="U25" s="711">
        <f>H25</f>
        <v>100</v>
      </c>
      <c r="V25" s="710" t="s">
        <v>17</v>
      </c>
      <c r="W25" s="711">
        <f>J25</f>
        <v>100</v>
      </c>
      <c r="X25" s="712"/>
      <c r="Y25" s="3506"/>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06"/>
      <c r="Q26" s="1478"/>
      <c r="R26" s="710"/>
      <c r="S26" s="711"/>
      <c r="T26" s="710"/>
      <c r="U26" s="711"/>
      <c r="V26" s="710"/>
      <c r="W26" s="711"/>
      <c r="X26" s="712"/>
      <c r="Y26" s="3506"/>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0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6"/>
      <c r="Z27" s="1491" t="str">
        <f t="shared" ref="Z27:Z40" si="13">Q27</f>
        <v>临街状况</v>
      </c>
      <c r="AA27" s="1488">
        <f t="shared" si="3"/>
        <v>1</v>
      </c>
      <c r="AB27" s="1488">
        <f t="shared" si="4"/>
        <v>1</v>
      </c>
      <c r="AC27" s="1488">
        <f t="shared" si="5"/>
        <v>1</v>
      </c>
    </row>
    <row r="28" spans="1:29" ht="27">
      <c r="A28" s="387"/>
      <c r="B28" s="589" t="s">
        <v>2266</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06"/>
      <c r="Q28" s="1487" t="str">
        <f t="shared" si="8"/>
        <v>毗邻道路的类型与等级</v>
      </c>
      <c r="R28" s="714" t="s">
        <v>17</v>
      </c>
      <c r="S28" s="715">
        <f t="shared" si="10"/>
        <v>100</v>
      </c>
      <c r="T28" s="714" t="s">
        <v>17</v>
      </c>
      <c r="U28" s="715">
        <f t="shared" si="11"/>
        <v>100</v>
      </c>
      <c r="V28" s="714" t="s">
        <v>17</v>
      </c>
      <c r="W28" s="715">
        <f t="shared" si="12"/>
        <v>100</v>
      </c>
      <c r="X28" s="1490"/>
      <c r="Y28" s="3506"/>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06"/>
      <c r="Q29" s="1487"/>
      <c r="R29" s="714"/>
      <c r="S29" s="715"/>
      <c r="T29" s="714"/>
      <c r="U29" s="715"/>
      <c r="V29" s="714"/>
      <c r="W29" s="715"/>
      <c r="X29" s="1490"/>
      <c r="Y29" s="3506"/>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06"/>
      <c r="Q30" s="1487" t="str">
        <f t="shared" si="8"/>
        <v>土地级别</v>
      </c>
      <c r="R30" s="714" t="s">
        <v>17</v>
      </c>
      <c r="S30" s="715">
        <f t="shared" si="10"/>
        <v>100</v>
      </c>
      <c r="T30" s="714" t="s">
        <v>17</v>
      </c>
      <c r="U30" s="715">
        <f t="shared" si="11"/>
        <v>100</v>
      </c>
      <c r="V30" s="714" t="s">
        <v>17</v>
      </c>
      <c r="W30" s="715">
        <f t="shared" si="12"/>
        <v>100</v>
      </c>
      <c r="X30" s="1490"/>
      <c r="Y30" s="3506"/>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06"/>
      <c r="Q31" s="1487">
        <f t="shared" si="8"/>
        <v>111</v>
      </c>
      <c r="R31" s="714" t="s">
        <v>17</v>
      </c>
      <c r="S31" s="715">
        <f t="shared" si="10"/>
        <v>100</v>
      </c>
      <c r="T31" s="714" t="s">
        <v>17</v>
      </c>
      <c r="U31" s="715">
        <f t="shared" si="11"/>
        <v>100</v>
      </c>
      <c r="V31" s="714" t="s">
        <v>17</v>
      </c>
      <c r="W31" s="715">
        <f t="shared" si="12"/>
        <v>100</v>
      </c>
      <c r="X31" s="1490"/>
      <c r="Y31" s="3506"/>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48" t="s">
        <v>2140</v>
      </c>
      <c r="Q32" s="1487">
        <f t="shared" si="8"/>
        <v>111</v>
      </c>
      <c r="R32" s="714" t="s">
        <v>17</v>
      </c>
      <c r="S32" s="715">
        <f t="shared" si="10"/>
        <v>100</v>
      </c>
      <c r="T32" s="714" t="s">
        <v>17</v>
      </c>
      <c r="U32" s="715">
        <f t="shared" si="11"/>
        <v>100</v>
      </c>
      <c r="V32" s="714" t="s">
        <v>17</v>
      </c>
      <c r="W32" s="715">
        <f t="shared" si="12"/>
        <v>100</v>
      </c>
      <c r="X32" s="1490"/>
      <c r="Y32" s="3510" t="s">
        <v>2140</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10"/>
      <c r="Q33" s="1487">
        <f t="shared" si="8"/>
        <v>111</v>
      </c>
      <c r="R33" s="717" t="s">
        <v>17</v>
      </c>
      <c r="S33" s="718">
        <f t="shared" si="10"/>
        <v>100</v>
      </c>
      <c r="T33" s="717" t="s">
        <v>17</v>
      </c>
      <c r="U33" s="718">
        <f t="shared" si="11"/>
        <v>100</v>
      </c>
      <c r="V33" s="717" t="s">
        <v>17</v>
      </c>
      <c r="W33" s="718">
        <f t="shared" si="12"/>
        <v>100</v>
      </c>
      <c r="X33" s="719"/>
      <c r="Y33" s="3510"/>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10"/>
      <c r="Q34" s="1487" t="str">
        <f>B34</f>
        <v>宗地面积</v>
      </c>
      <c r="R34" s="714" t="s">
        <v>17</v>
      </c>
      <c r="S34" s="715" t="e">
        <f t="shared" si="10"/>
        <v>#N/A</v>
      </c>
      <c r="T34" s="714" t="s">
        <v>17</v>
      </c>
      <c r="U34" s="715" t="e">
        <f t="shared" si="11"/>
        <v>#N/A</v>
      </c>
      <c r="V34" s="714" t="s">
        <v>17</v>
      </c>
      <c r="W34" s="715" t="e">
        <f t="shared" si="12"/>
        <v>#N/A</v>
      </c>
      <c r="X34" s="1490"/>
      <c r="Y34" s="3510"/>
      <c r="Z34" s="1491" t="str">
        <f t="shared" si="13"/>
        <v>宗地面积</v>
      </c>
      <c r="AA34" s="1488" t="e">
        <f t="shared" si="3"/>
        <v>#N/A</v>
      </c>
      <c r="AB34" s="1488" t="e">
        <f t="shared" si="4"/>
        <v>#N/A</v>
      </c>
      <c r="AC34" s="1488" t="e">
        <f t="shared" si="5"/>
        <v>#N/A</v>
      </c>
    </row>
    <row r="35" spans="1:31" ht="15">
      <c r="A35" s="431"/>
      <c r="B35" s="381" t="s">
        <v>2327</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10"/>
      <c r="Q35" s="1487" t="str">
        <f t="shared" ref="Q35:Q40" si="14">B35</f>
        <v>宗地形状</v>
      </c>
      <c r="R35" s="714" t="s">
        <v>17</v>
      </c>
      <c r="S35" s="715">
        <f t="shared" si="10"/>
        <v>100</v>
      </c>
      <c r="T35" s="714" t="s">
        <v>17</v>
      </c>
      <c r="U35" s="715">
        <f t="shared" si="11"/>
        <v>100</v>
      </c>
      <c r="V35" s="714" t="s">
        <v>17</v>
      </c>
      <c r="W35" s="715">
        <f t="shared" si="12"/>
        <v>100</v>
      </c>
      <c r="X35" s="1490"/>
      <c r="Y35" s="3510"/>
      <c r="Z35" s="1491" t="str">
        <f t="shared" si="13"/>
        <v>宗地形状</v>
      </c>
      <c r="AA35" s="1488">
        <f t="shared" si="3"/>
        <v>1</v>
      </c>
      <c r="AB35" s="1488">
        <f t="shared" si="4"/>
        <v>1</v>
      </c>
      <c r="AC35" s="1488">
        <f t="shared" si="5"/>
        <v>1</v>
      </c>
    </row>
    <row r="36" spans="1:31" s="113" customFormat="1" ht="15">
      <c r="A36" s="432"/>
      <c r="B36" s="381" t="s">
        <v>2329</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10"/>
      <c r="Q36" s="1487" t="str">
        <f t="shared" si="14"/>
        <v>宗地开发程度</v>
      </c>
      <c r="R36" s="710" t="s">
        <v>17</v>
      </c>
      <c r="S36" s="711">
        <f t="shared" si="10"/>
        <v>100</v>
      </c>
      <c r="T36" s="710" t="s">
        <v>17</v>
      </c>
      <c r="U36" s="711">
        <f t="shared" si="11"/>
        <v>100</v>
      </c>
      <c r="V36" s="710" t="s">
        <v>17</v>
      </c>
      <c r="W36" s="711">
        <f t="shared" si="12"/>
        <v>100</v>
      </c>
      <c r="X36" s="712"/>
      <c r="Y36" s="3510"/>
      <c r="Z36" s="55" t="str">
        <f t="shared" si="13"/>
        <v>宗地开发程度</v>
      </c>
      <c r="AA36" s="713">
        <f t="shared" si="3"/>
        <v>1</v>
      </c>
      <c r="AB36" s="713">
        <f t="shared" si="4"/>
        <v>1</v>
      </c>
      <c r="AC36" s="713">
        <f t="shared" si="5"/>
        <v>1</v>
      </c>
    </row>
    <row r="37" spans="1:31" ht="15">
      <c r="A37" s="431"/>
      <c r="B37" s="381" t="s">
        <v>2330</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10" t="s">
        <v>2140</v>
      </c>
      <c r="Q37" s="1487" t="str">
        <f t="shared" si="14"/>
        <v>工程地质条件</v>
      </c>
      <c r="R37" s="714" t="s">
        <v>17</v>
      </c>
      <c r="S37" s="715">
        <f t="shared" si="10"/>
        <v>100</v>
      </c>
      <c r="T37" s="714" t="s">
        <v>17</v>
      </c>
      <c r="U37" s="715">
        <f t="shared" si="11"/>
        <v>100</v>
      </c>
      <c r="V37" s="714" t="s">
        <v>17</v>
      </c>
      <c r="W37" s="715">
        <f t="shared" si="12"/>
        <v>100</v>
      </c>
      <c r="X37" s="1490"/>
      <c r="Y37" s="3510"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10"/>
      <c r="Q38" s="1487">
        <f t="shared" si="14"/>
        <v>111</v>
      </c>
      <c r="R38" s="714" t="s">
        <v>17</v>
      </c>
      <c r="S38" s="715">
        <f t="shared" si="10"/>
        <v>100</v>
      </c>
      <c r="T38" s="714" t="s">
        <v>17</v>
      </c>
      <c r="U38" s="715">
        <f t="shared" si="11"/>
        <v>100</v>
      </c>
      <c r="V38" s="714" t="s">
        <v>17</v>
      </c>
      <c r="W38" s="715">
        <f t="shared" si="12"/>
        <v>100</v>
      </c>
      <c r="X38" s="1490"/>
      <c r="Y38" s="351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10"/>
      <c r="Q39" s="1487">
        <f t="shared" si="14"/>
        <v>111</v>
      </c>
      <c r="R39" s="714" t="s">
        <v>17</v>
      </c>
      <c r="S39" s="715">
        <f t="shared" si="10"/>
        <v>100</v>
      </c>
      <c r="T39" s="714" t="s">
        <v>17</v>
      </c>
      <c r="U39" s="715">
        <f t="shared" si="11"/>
        <v>100</v>
      </c>
      <c r="V39" s="714" t="s">
        <v>17</v>
      </c>
      <c r="W39" s="715">
        <f t="shared" si="12"/>
        <v>100</v>
      </c>
      <c r="X39" s="1490"/>
      <c r="Y39" s="3510"/>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10"/>
      <c r="Q40" s="1487">
        <f t="shared" si="14"/>
        <v>111</v>
      </c>
      <c r="R40" s="717" t="s">
        <v>17</v>
      </c>
      <c r="S40" s="718">
        <f t="shared" si="10"/>
        <v>100</v>
      </c>
      <c r="T40" s="717" t="s">
        <v>17</v>
      </c>
      <c r="U40" s="718">
        <f t="shared" si="11"/>
        <v>100</v>
      </c>
      <c r="V40" s="717" t="s">
        <v>17</v>
      </c>
      <c r="W40" s="718">
        <f t="shared" si="12"/>
        <v>100</v>
      </c>
      <c r="X40" s="719"/>
      <c r="Y40" s="3510"/>
      <c r="Z40" s="720">
        <f t="shared" si="13"/>
        <v>111</v>
      </c>
      <c r="AA40" s="1488">
        <f t="shared" si="3"/>
        <v>1</v>
      </c>
      <c r="AB40" s="1488">
        <f t="shared" si="4"/>
        <v>1</v>
      </c>
      <c r="AC40" s="1488">
        <f t="shared" si="5"/>
        <v>1</v>
      </c>
    </row>
    <row r="41" spans="1:31" ht="15">
      <c r="A41" s="438" t="s">
        <v>2295</v>
      </c>
      <c r="B41" s="2119" t="s">
        <v>2374</v>
      </c>
      <c r="C41" s="638" t="s">
        <v>1</v>
      </c>
      <c r="D41" s="440"/>
      <c r="E41" s="441"/>
      <c r="F41" s="442"/>
      <c r="G41" s="443"/>
      <c r="H41" s="444"/>
      <c r="I41" s="441"/>
      <c r="J41" s="444"/>
      <c r="K41" s="723"/>
      <c r="L41" s="2903"/>
      <c r="M41" s="2895"/>
      <c r="N41" s="2895"/>
      <c r="O41" s="2904"/>
      <c r="P41" s="3512" t="str">
        <f>A41</f>
        <v>成交单价</v>
      </c>
      <c r="Q41" s="3512"/>
      <c r="R41" s="3500">
        <f>E41</f>
        <v>0</v>
      </c>
      <c r="S41" s="3500"/>
      <c r="T41" s="3500">
        <f>G41</f>
        <v>0</v>
      </c>
      <c r="U41" s="3500"/>
      <c r="V41" s="3500">
        <f>I41</f>
        <v>0</v>
      </c>
      <c r="W41" s="3500"/>
      <c r="X41" s="699"/>
      <c r="Y41" s="721"/>
      <c r="Z41" s="699"/>
      <c r="AA41" s="699"/>
      <c r="AB41" s="699"/>
      <c r="AC41" s="699"/>
    </row>
    <row r="42" spans="1:31" ht="15.75" thickBot="1">
      <c r="A42" s="445" t="s">
        <v>2244</v>
      </c>
      <c r="B42" s="639"/>
      <c r="C42" s="448" t="e">
        <f>R43</f>
        <v>#DIV/0!</v>
      </c>
      <c r="D42" s="2489" t="s">
        <v>2634</v>
      </c>
      <c r="E42" s="448" t="e">
        <f>R42</f>
        <v>#DIV/0!</v>
      </c>
      <c r="F42" s="2490"/>
      <c r="G42" s="447" t="e">
        <f>T42</f>
        <v>#DIV/0!</v>
      </c>
      <c r="H42" s="2490"/>
      <c r="I42" s="448" t="e">
        <f>V42</f>
        <v>#DIV/0!</v>
      </c>
      <c r="J42" s="2490"/>
      <c r="K42" s="2492">
        <f>F42+H42+J42</f>
        <v>0</v>
      </c>
      <c r="L42" s="2903"/>
      <c r="M42" s="2895"/>
      <c r="N42" s="2895"/>
      <c r="O42" s="2904"/>
      <c r="P42" s="3512" t="str">
        <f>A42</f>
        <v>比较价值（元/平方米）</v>
      </c>
      <c r="Q42" s="3512"/>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3"/>
      <c r="M43" s="2895"/>
      <c r="N43" s="2895"/>
      <c r="O43" s="2904"/>
      <c r="P43" s="3545" t="str">
        <f>A43</f>
        <v>估价对象XX用房的比较价值（楼面单价，元/平方米）</v>
      </c>
      <c r="Q43" s="3546"/>
      <c r="R43" s="3551" t="e">
        <f>ROUND(IF(D42="简单平均",AVERAGE(R42:W42),R42*F42+T42*H42+V42*J42),0)</f>
        <v>#DIV/0!</v>
      </c>
      <c r="S43" s="3551"/>
      <c r="T43" s="3551"/>
      <c r="U43" s="3551"/>
      <c r="V43" s="3551"/>
      <c r="W43" s="355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2333</v>
      </c>
      <c r="B50" s="641" t="s">
        <v>2334</v>
      </c>
      <c r="C50" s="2120" t="s">
        <v>2335</v>
      </c>
      <c r="D50" s="2121" t="s">
        <v>2336</v>
      </c>
      <c r="E50" s="642" t="s">
        <v>2337</v>
      </c>
      <c r="F50" s="643" t="s">
        <v>2338</v>
      </c>
      <c r="G50" s="3487" t="s">
        <v>2339</v>
      </c>
      <c r="H50" s="3552"/>
      <c r="I50" s="1491" t="s">
        <v>2375</v>
      </c>
      <c r="J50" s="1491">
        <f>项目基本情况!F35</f>
        <v>0</v>
      </c>
      <c r="K50" s="2123" t="s">
        <v>2341</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2342</v>
      </c>
      <c r="B51" s="645" t="e">
        <f>C43</f>
        <v>#DIV/0!</v>
      </c>
      <c r="C51" s="646">
        <v>1</v>
      </c>
      <c r="D51" s="1056">
        <v>1</v>
      </c>
      <c r="E51" s="646">
        <f>'数据-汇总表'!E8+'数据-汇总表'!E9</f>
        <v>373.88</v>
      </c>
      <c r="F51" s="647" t="e">
        <f t="shared" ref="F51:F60" si="15">ROUND(B51*E51/10000,0)</f>
        <v>#DIV/0!</v>
      </c>
      <c r="G51" s="3483"/>
      <c r="H51" s="351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2343</v>
      </c>
      <c r="B52" s="224" t="e">
        <f>ROUND($C$43*C52*D52,0)</f>
        <v>#DIV/0!</v>
      </c>
      <c r="C52" s="176">
        <f t="shared" ref="C52:C60" si="16">IF($C$50="北京市系数",I52,J52)</f>
        <v>0</v>
      </c>
      <c r="D52" s="1057">
        <v>0.25</v>
      </c>
      <c r="E52" s="650"/>
      <c r="F52" s="647" t="e">
        <f t="shared" si="15"/>
        <v>#DIV/0!</v>
      </c>
      <c r="G52" s="3228" t="s">
        <v>2344</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2345</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2346</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2347</v>
      </c>
      <c r="B56" s="224" t="e">
        <f t="shared" si="17"/>
        <v>#DIV/0!</v>
      </c>
      <c r="C56" s="176">
        <f t="shared" si="16"/>
        <v>0</v>
      </c>
      <c r="D56" s="1057">
        <v>0.25</v>
      </c>
      <c r="E56" s="223">
        <f>'数据-汇总表'!E11</f>
        <v>0</v>
      </c>
      <c r="F56" s="647" t="e">
        <f t="shared" si="15"/>
        <v>#DIV/0!</v>
      </c>
      <c r="G56" s="2124" t="s">
        <v>2348</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2353</v>
      </c>
      <c r="B59" s="224" t="e">
        <f t="shared" si="17"/>
        <v>#DIV/0!</v>
      </c>
      <c r="C59" s="176">
        <f t="shared" si="16"/>
        <v>0</v>
      </c>
      <c r="D59" s="1057">
        <v>0.25</v>
      </c>
      <c r="E59" s="223">
        <f>'数据-汇总表'!E14</f>
        <v>0</v>
      </c>
      <c r="F59" s="647" t="e">
        <f t="shared" si="15"/>
        <v>#DIV/0!</v>
      </c>
      <c r="G59" s="2124" t="s">
        <v>2344</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2354</v>
      </c>
      <c r="B60" s="224" t="e">
        <f t="shared" si="17"/>
        <v>#DIV/0!</v>
      </c>
      <c r="C60" s="176">
        <f t="shared" si="16"/>
        <v>0</v>
      </c>
      <c r="D60" s="1057">
        <v>0.25</v>
      </c>
      <c r="E60" s="223">
        <f>'数据-汇总表'!E15</f>
        <v>0</v>
      </c>
      <c r="F60" s="647" t="e">
        <f t="shared" si="15"/>
        <v>#DIV/0!</v>
      </c>
      <c r="G60" s="2125" t="s">
        <v>2348</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2355</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2249</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2160</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2125</v>
      </c>
      <c r="B68" s="467"/>
      <c r="C68" s="479" t="s">
        <v>2227</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2163</v>
      </c>
      <c r="B70" s="485" t="s">
        <v>2129</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2132</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2134</v>
      </c>
      <c r="B83" s="485" t="s">
        <v>2280</v>
      </c>
      <c r="C83" s="530" t="s">
        <v>2172</v>
      </c>
      <c r="D83" s="530" t="s">
        <v>2173</v>
      </c>
      <c r="E83" s="530" t="s">
        <v>2174</v>
      </c>
      <c r="F83" s="530" t="s">
        <v>2175</v>
      </c>
      <c r="G83" s="530" t="s">
        <v>2176</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2177</v>
      </c>
      <c r="C85" s="535" t="s">
        <v>2172</v>
      </c>
      <c r="D85" s="535" t="s">
        <v>2173</v>
      </c>
      <c r="E85" s="535" t="s">
        <v>2174</v>
      </c>
      <c r="F85" s="535" t="s">
        <v>2175</v>
      </c>
      <c r="G85" s="535" t="s">
        <v>2176</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2266</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2325</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2366</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2368</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2369</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2378</v>
      </c>
      <c r="B1" s="203"/>
      <c r="C1" s="207" t="s">
        <v>2379</v>
      </c>
      <c r="D1" s="348">
        <f>SUM(D29:D30,D33:D39)</f>
        <v>0</v>
      </c>
      <c r="E1" s="2132"/>
      <c r="F1" s="2132"/>
      <c r="G1" s="2132"/>
      <c r="H1" s="2132"/>
      <c r="I1" s="2132"/>
      <c r="J1" s="2132"/>
      <c r="K1" s="1233"/>
      <c r="L1" s="2133" t="s">
        <v>2380</v>
      </c>
      <c r="M1" s="975">
        <f>SUMPRODUCT((区片价!B5:B9=I2)*(区片价!C3:F3=E2)*(区片价!C5:F9))</f>
        <v>0</v>
      </c>
      <c r="N1" s="978">
        <f>SUMPRODUCT((因素修正幅度!B5:B9=I2)*(因素修正幅度!C3:F3=E2)*(因素修正幅度!C5:F9))</f>
        <v>0</v>
      </c>
      <c r="O1" s="2134"/>
      <c r="P1" s="2134"/>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6" t="s">
        <v>2387</v>
      </c>
      <c r="D2" s="2137" t="s">
        <v>2388</v>
      </c>
      <c r="E2" s="2138"/>
      <c r="F2" s="2137" t="s">
        <v>2389</v>
      </c>
      <c r="G2" s="2139">
        <f>IF(E2="商业",项目基本情况!B37,IF(E2="办公",项目基本情况!C37,IF(E2="住宅",项目基本情况!D37,项目基本情况!E37)))</f>
        <v>0</v>
      </c>
      <c r="H2" s="2137" t="s">
        <v>2390</v>
      </c>
      <c r="I2" s="2139">
        <f>IF(E2="商业",项目基本情况!B38,IF(E2="办公",项目基本情况!C38,IF(E2="住宅",项目基本情况!D38,项目基本情况!E38)))</f>
        <v>0</v>
      </c>
      <c r="J2" s="2140"/>
      <c r="K2" s="1233"/>
      <c r="L2" s="2141" t="s">
        <v>2391</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6" t="s">
        <v>2393</v>
      </c>
      <c r="D3" s="2137" t="s">
        <v>2394</v>
      </c>
      <c r="E3" s="2142"/>
      <c r="F3" s="2143" t="s">
        <v>2395</v>
      </c>
      <c r="G3" s="837" t="e">
        <f>IF(F3="宗地容积率",'数据-汇总表'!I4,IF(F3="估价对象容积率",'数据-汇总表'!I6,'数据-汇总表'!I7))</f>
        <v>#DIV/0!</v>
      </c>
      <c r="H3" s="175" t="s">
        <v>2396</v>
      </c>
      <c r="I3" s="862"/>
      <c r="J3" s="2140" t="s">
        <v>2397</v>
      </c>
      <c r="K3" s="1233"/>
      <c r="L3" s="2141" t="s">
        <v>2398</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6"/>
      <c r="B4" s="3577"/>
      <c r="C4" s="3577"/>
      <c r="D4" s="3578"/>
      <c r="E4" s="3578"/>
      <c r="F4" s="3578"/>
      <c r="G4" s="3578"/>
      <c r="H4" s="3578"/>
      <c r="I4" s="3578"/>
      <c r="J4" s="3579"/>
      <c r="K4" s="1233"/>
      <c r="L4" s="2141" t="s">
        <v>2399</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2400</v>
      </c>
      <c r="C5" s="838" t="e">
        <f>ROUND(IF(E2="商业",C6*C7+C16,(IF(E2="住宅",C6*C12+C16,C6+C16))),0)</f>
        <v>#DIV/0!</v>
      </c>
      <c r="D5" s="1474" t="e">
        <f>ROUND(C6+C16,0)</f>
        <v>#DIV/0!</v>
      </c>
      <c r="E5" s="1474"/>
      <c r="F5" s="2146"/>
      <c r="G5" s="2147"/>
      <c r="H5" s="2147"/>
      <c r="I5" s="2147"/>
      <c r="J5" s="2148"/>
      <c r="K5" s="2149"/>
      <c r="L5" s="2141" t="s">
        <v>2401</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2402</v>
      </c>
      <c r="B6" s="2155" t="s">
        <v>2403</v>
      </c>
      <c r="C6" s="839">
        <f>SUMIF(L1:L12,G2,M1:M12)</f>
        <v>0</v>
      </c>
      <c r="D6" s="2156" t="s">
        <v>2404</v>
      </c>
      <c r="E6" s="2157"/>
      <c r="F6" s="2157"/>
      <c r="G6" s="2158"/>
      <c r="H6" s="2158"/>
      <c r="I6" s="2158"/>
      <c r="J6" s="2159"/>
      <c r="K6" s="1519"/>
      <c r="L6" s="2141" t="s">
        <v>2405</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7" t="str">
        <f>IF(E2="商业",IF(C8="不临58条商业街","",2),"")</f>
        <v/>
      </c>
      <c r="B7" s="2160" t="s">
        <v>2406</v>
      </c>
      <c r="C7" s="840" t="e">
        <f>IF(C8="不临58条商业街",1,ROUND(1+(1.6*E8+1.2*E9+0.8*E10+0.4*E11)*C9,4))</f>
        <v>#DIV/0!</v>
      </c>
      <c r="D7" s="2161" t="s">
        <v>2407</v>
      </c>
      <c r="E7" s="863"/>
      <c r="F7" s="2162"/>
      <c r="G7" s="2163"/>
      <c r="H7" s="2163"/>
      <c r="I7" s="2163"/>
      <c r="J7" s="2164"/>
      <c r="K7" s="1519"/>
      <c r="L7" s="2141" t="s">
        <v>2408</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2409</v>
      </c>
      <c r="X7" s="1329">
        <f>G2</f>
        <v>0</v>
      </c>
      <c r="Y7" s="1329" t="s">
        <v>2410</v>
      </c>
      <c r="Z7" s="1330" t="e">
        <f>G3</f>
        <v>#DIV/0!</v>
      </c>
      <c r="AA7" s="1331"/>
      <c r="AB7" s="1331"/>
      <c r="AC7" s="1332"/>
      <c r="AD7" s="1333"/>
      <c r="AE7" s="1333"/>
      <c r="AF7" s="1333"/>
      <c r="AG7" s="1333"/>
      <c r="AH7" s="1333"/>
      <c r="AI7" s="1333"/>
      <c r="AJ7" s="1334"/>
    </row>
    <row r="8" spans="1:36" ht="15">
      <c r="A8" s="3580"/>
      <c r="B8" s="175" t="s">
        <v>2411</v>
      </c>
      <c r="C8" s="2165"/>
      <c r="D8" s="841" t="s">
        <v>139</v>
      </c>
      <c r="E8" s="842" t="e">
        <f>ROUND(C11/E7,4)</f>
        <v>#DIV/0!</v>
      </c>
      <c r="F8" s="2166" t="s">
        <v>2412</v>
      </c>
      <c r="G8" s="2167"/>
      <c r="H8" s="2167"/>
      <c r="I8" s="2167"/>
      <c r="J8" s="2168"/>
      <c r="K8" s="1233"/>
      <c r="L8" s="2141"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3" t="s">
        <v>2414</v>
      </c>
      <c r="X8" s="3574"/>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580"/>
      <c r="B9" s="175" t="s">
        <v>2427</v>
      </c>
      <c r="C9" s="843">
        <f>SUMIF(修正!C71:C138,C8,修正!E71:E138)</f>
        <v>0</v>
      </c>
      <c r="D9" s="176" t="s">
        <v>140</v>
      </c>
      <c r="E9" s="176" t="e">
        <f>ROUND(C11/E7,4)</f>
        <v>#DIV/0!</v>
      </c>
      <c r="F9" s="2166" t="s">
        <v>2428</v>
      </c>
      <c r="G9" s="2167"/>
      <c r="H9" s="2167"/>
      <c r="I9" s="2167"/>
      <c r="J9" s="2168"/>
      <c r="K9" s="1233"/>
      <c r="L9" s="2141"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5"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0"/>
      <c r="B10" s="175" t="s">
        <v>2432</v>
      </c>
      <c r="C10" s="176">
        <f>SUMIF(修正!C71:C138,C8,修正!F71:F138)</f>
        <v>0</v>
      </c>
      <c r="D10" s="176" t="s">
        <v>141</v>
      </c>
      <c r="E10" s="176" t="e">
        <f>ROUND(C11/E7,4)</f>
        <v>#DIV/0!</v>
      </c>
      <c r="F10" s="2166" t="s">
        <v>2433</v>
      </c>
      <c r="G10" s="2167"/>
      <c r="H10" s="2167"/>
      <c r="I10" s="2167"/>
      <c r="J10" s="2168"/>
      <c r="K10" s="1233"/>
      <c r="L10" s="2141"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0"/>
      <c r="B11" s="2169" t="s">
        <v>2435</v>
      </c>
      <c r="C11" s="844">
        <f>C10/4</f>
        <v>0</v>
      </c>
      <c r="D11" s="844" t="s">
        <v>142</v>
      </c>
      <c r="E11" s="844" t="e">
        <f>ROUND(C11/E7,4)</f>
        <v>#DIV/0!</v>
      </c>
      <c r="F11" s="2170" t="s">
        <v>2436</v>
      </c>
      <c r="G11" s="2171"/>
      <c r="H11" s="2171"/>
      <c r="I11" s="2171"/>
      <c r="J11" s="2172"/>
      <c r="K11" s="1233"/>
      <c r="L11" s="2141"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5" t="s">
        <v>2438</v>
      </c>
      <c r="X11" s="1339" t="s">
        <v>2439</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57" t="s">
        <v>2440</v>
      </c>
      <c r="B12" s="2173" t="s">
        <v>2441</v>
      </c>
      <c r="C12" s="840">
        <f>ROUND(C15*D15*E15*F15*G15*H15*I15*J15,4)</f>
        <v>1</v>
      </c>
      <c r="D12" s="2174" t="s">
        <v>2442</v>
      </c>
      <c r="E12" s="2175"/>
      <c r="F12" s="2175"/>
      <c r="G12" s="2176"/>
      <c r="H12" s="2176"/>
      <c r="I12" s="2176"/>
      <c r="J12" s="2177"/>
      <c r="K12" s="1233"/>
      <c r="L12" s="2178"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5"/>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1"/>
      <c r="B13" s="2179" t="s">
        <v>2445</v>
      </c>
      <c r="C13" s="2180" t="s">
        <v>2446</v>
      </c>
      <c r="D13" s="1485" t="s">
        <v>2447</v>
      </c>
      <c r="E13" s="1485" t="s">
        <v>2448</v>
      </c>
      <c r="F13" s="30" t="s">
        <v>2449</v>
      </c>
      <c r="G13" s="2181" t="s">
        <v>2450</v>
      </c>
      <c r="H13" s="2181" t="s">
        <v>2450</v>
      </c>
      <c r="I13" s="2181" t="s">
        <v>2450</v>
      </c>
      <c r="J13" s="2182" t="s">
        <v>2450</v>
      </c>
      <c r="K13" s="1233"/>
      <c r="L13" s="1233"/>
      <c r="M13" s="1233"/>
      <c r="N13" s="1233"/>
      <c r="O13" s="1233"/>
      <c r="P13" s="1233"/>
      <c r="Q13" s="1233"/>
      <c r="R13" s="1327">
        <v>12</v>
      </c>
      <c r="S13" s="1328"/>
      <c r="T13" s="1327" t="e">
        <f t="shared" si="0"/>
        <v>#DIV/0!</v>
      </c>
      <c r="U13" s="1328"/>
      <c r="V13" s="1327" t="e">
        <f t="shared" si="1"/>
        <v>#DIV/0!</v>
      </c>
      <c r="W13" s="3575"/>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81"/>
      <c r="B14" s="2183"/>
      <c r="C14" s="2184"/>
      <c r="D14" s="2185"/>
      <c r="E14" s="2185"/>
      <c r="F14" s="2186"/>
      <c r="G14" s="2187" t="s">
        <v>2451</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82"/>
      <c r="B15" s="2191" t="s">
        <v>2452</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57" t="s">
        <v>2457</v>
      </c>
      <c r="B16" s="2160" t="s">
        <v>2458</v>
      </c>
      <c r="C16" s="2322" t="e">
        <f>ROUND(IF(F17="与级别开发程度一致",0,(G17-E17)/C17),0)</f>
        <v>#DIV/0!</v>
      </c>
      <c r="D16" s="3570" t="s">
        <v>2462</v>
      </c>
      <c r="E16" s="3571"/>
      <c r="F16" s="3570" t="s">
        <v>2459</v>
      </c>
      <c r="G16" s="357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8"/>
      <c r="B17" s="2333" t="s">
        <v>2461</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2464</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2465</v>
      </c>
      <c r="C19" s="845" t="e">
        <f>ROUND(IF(H19="按公示增长率计算",SUMPRODUCT((地价!A3:A37=YEAR(G19)&amp;"-"&amp;ROUNDUP(MONTH(G19)/3,0))*(地价!X2:AB2=E2)*(地价!X3:AB37)),IF(H19="地价指数",M20/M19,(1+I19)^O19)),4)</f>
        <v>#VALUE!</v>
      </c>
      <c r="D19" s="2202" t="s">
        <v>2466</v>
      </c>
      <c r="E19" s="846">
        <v>41640</v>
      </c>
      <c r="F19" s="2202" t="s">
        <v>2467</v>
      </c>
      <c r="G19" s="847">
        <f>'数据-取费表'!B2</f>
        <v>44733</v>
      </c>
      <c r="H19" s="2203"/>
      <c r="I19" s="848" t="str">
        <f>IF(H19="季度增幅（自定义）",SUMIF(N21:N24,E2,O21:O24),"")</f>
        <v/>
      </c>
      <c r="J19" s="2200"/>
      <c r="K19" s="1240"/>
      <c r="L19" s="2204" t="s">
        <v>2468</v>
      </c>
      <c r="M19" s="1449">
        <f>ROUND(SUMIF(地价!B2:F2,E2,地价!B37:F37),0)</f>
        <v>0</v>
      </c>
      <c r="N19" s="2205"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2470</v>
      </c>
      <c r="C20" s="850" t="e">
        <f>ROUND(POWER(1+G20,J20-I20)*(POWER(1+G20,I20)-1)/(POWER(1+G20,J20)-1),4)</f>
        <v>#DIV/0!</v>
      </c>
      <c r="D20" s="2209" t="s">
        <v>2471</v>
      </c>
      <c r="E20" s="1456">
        <f>存贷款利率!E21/100</f>
        <v>4.3499999999999997E-2</v>
      </c>
      <c r="F20" s="2209" t="s">
        <v>2463</v>
      </c>
      <c r="G20" s="854">
        <f>SUMIF(M26:P26,E2,M28:P28)</f>
        <v>0</v>
      </c>
      <c r="H20" s="2209" t="s">
        <v>2472</v>
      </c>
      <c r="I20" s="855" t="e">
        <f>SUMIF('数据-取费表'!C6:C15,E2,'数据-取费表'!F6:F15)/COUNTIF('数据-取费表'!C6:C15,E2)</f>
        <v>#DIV/0!</v>
      </c>
      <c r="J20" s="856">
        <f>IF(E2="住宅",70,IF(E2="商业",40,50))</f>
        <v>50</v>
      </c>
      <c r="K20" s="1240"/>
      <c r="L20" s="2210" t="s">
        <v>2473</v>
      </c>
      <c r="M20" s="1450">
        <f>ROUND(SUMPRODUCT((地价!A4:A37=YEAR(G19)&amp;"-"&amp;ROUNDUP(MONTH(G19)/3,0))*(地价!B2:F2=E2)*(地价!B4:F37)),0)</f>
        <v>0</v>
      </c>
      <c r="N20" s="2211" t="s">
        <v>2474</v>
      </c>
      <c r="O20" s="2212" t="s">
        <v>2475</v>
      </c>
      <c r="P20" s="2213" t="s">
        <v>2476</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2477</v>
      </c>
      <c r="C21" s="857" t="e">
        <f>IF(B21="容积率修正",IF(G3&lt;=10,D22,J22),C23)</f>
        <v>#DIV/0!</v>
      </c>
      <c r="D21" s="2216"/>
      <c r="E21" s="2216"/>
      <c r="F21" s="2216"/>
      <c r="G21" s="2216"/>
      <c r="H21" s="2216"/>
      <c r="I21" s="2216"/>
      <c r="J21" s="2217"/>
      <c r="K21" s="1240"/>
      <c r="L21" s="2969"/>
      <c r="M21" s="2969"/>
      <c r="N21" s="2218" t="s">
        <v>2478</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2479</v>
      </c>
      <c r="B22" s="2219" t="s">
        <v>2480</v>
      </c>
      <c r="C22" s="1487" t="s">
        <v>2481</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2482</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2483</v>
      </c>
      <c r="B23" s="2220" t="s">
        <v>2484</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2485</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2486</v>
      </c>
      <c r="C24" s="845">
        <f>SUMIF(A45:A88,E2,B45:B88)</f>
        <v>0</v>
      </c>
      <c r="D24" s="2199"/>
      <c r="E24" s="2226"/>
      <c r="F24" s="2226"/>
      <c r="G24" s="2226"/>
      <c r="H24" s="2226"/>
      <c r="I24" s="2226"/>
      <c r="J24" s="2227"/>
      <c r="K24" s="1240"/>
      <c r="L24" s="2969"/>
      <c r="M24" s="2969"/>
      <c r="N24" s="2228" t="s">
        <v>2487</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2488</v>
      </c>
      <c r="C25" s="851"/>
      <c r="D25" s="2163"/>
      <c r="E25" s="2163"/>
      <c r="F25" s="2230"/>
      <c r="G25" s="2163"/>
      <c r="H25" s="2163"/>
      <c r="I25" s="2163"/>
      <c r="J25" s="2164"/>
      <c r="K25" s="1233"/>
      <c r="L25" s="2134"/>
      <c r="M25" s="2134"/>
      <c r="N25" s="2964" t="s">
        <v>2489</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2490</v>
      </c>
      <c r="C26" s="2493" t="e">
        <f>IF(B21="容积率修正",E29+SUM(E33:E39),SUM(V2:V16)+SUM(E33:E39))</f>
        <v>#DIV/0!</v>
      </c>
      <c r="D26" s="2232"/>
      <c r="E26" s="2188"/>
      <c r="F26" s="2233"/>
      <c r="G26" s="2188"/>
      <c r="H26" s="2188"/>
      <c r="I26" s="2188"/>
      <c r="J26" s="2234"/>
      <c r="K26" s="1233"/>
      <c r="L26" s="2967" t="s">
        <v>2388</v>
      </c>
      <c r="M26" s="2161" t="s">
        <v>2453</v>
      </c>
      <c r="N26" s="2161" t="s">
        <v>2454</v>
      </c>
      <c r="O26" s="2161" t="s">
        <v>2455</v>
      </c>
      <c r="P26" s="2968" t="s">
        <v>2456</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2491</v>
      </c>
      <c r="C27" s="852" t="e">
        <f>E30+SUM(I33:I39)</f>
        <v>#DIV/0!</v>
      </c>
      <c r="D27" s="2236"/>
      <c r="E27" s="2237"/>
      <c r="F27" s="2238"/>
      <c r="G27" s="2237"/>
      <c r="H27" s="2237"/>
      <c r="I27" s="2237"/>
      <c r="J27" s="2239"/>
      <c r="K27" s="1233"/>
      <c r="L27" s="2194"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2492</v>
      </c>
      <c r="C28" s="2242" t="s">
        <v>2493</v>
      </c>
      <c r="D28" s="2242" t="s">
        <v>2494</v>
      </c>
      <c r="E28" s="2243" t="s">
        <v>2495</v>
      </c>
      <c r="F28" s="2244"/>
      <c r="G28" s="2176"/>
      <c r="H28" s="2176"/>
      <c r="I28" s="2176"/>
      <c r="J28" s="2177"/>
      <c r="K28" s="1233"/>
      <c r="L28" s="2195"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2496</v>
      </c>
      <c r="C29" s="180" t="e">
        <f>ROUND(C5*C18*C19*C20*C21*C24,0)</f>
        <v>#DIV/0!</v>
      </c>
      <c r="D29" s="2247"/>
      <c r="E29" s="860" t="e">
        <f>ROUND(C29*D29/10000,0)</f>
        <v>#DIV/0!</v>
      </c>
      <c r="F29" s="2248" t="s">
        <v>2497</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2498</v>
      </c>
      <c r="C30" s="193" t="e">
        <f>ROUND(IF(E2="工业",C29*M39,C29*M38),0)</f>
        <v>#DIV/0!</v>
      </c>
      <c r="D30" s="2253"/>
      <c r="E30" s="860" t="e">
        <f>ROUND(C30*D30/10000,0)</f>
        <v>#DIV/0!</v>
      </c>
      <c r="F30" s="2254" t="s">
        <v>2499</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2500</v>
      </c>
      <c r="C31" s="2259" t="s">
        <v>2501</v>
      </c>
      <c r="D31" s="2176"/>
      <c r="E31" s="2259"/>
      <c r="F31" s="2259"/>
      <c r="G31" s="2174" t="s">
        <v>2502</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2493</v>
      </c>
      <c r="D32" s="455" t="s">
        <v>2494</v>
      </c>
      <c r="E32" s="455" t="s">
        <v>2495</v>
      </c>
      <c r="F32" s="348" t="s">
        <v>2503</v>
      </c>
      <c r="G32" s="2262" t="s">
        <v>2493</v>
      </c>
      <c r="H32" s="2262" t="s">
        <v>2494</v>
      </c>
      <c r="I32" s="2262"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7"/>
      <c r="B33" s="2263" t="s">
        <v>2504</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2" t="s">
        <v>2806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8"/>
      <c r="B34" s="2180" t="s">
        <v>2505</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8"/>
      <c r="B35" s="2180" t="s">
        <v>2506</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9"/>
      <c r="B36" s="2180" t="s">
        <v>2507</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2508</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2509</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2510</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2511</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2512</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2456</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2617</v>
      </c>
      <c r="C41" s="348" t="e">
        <f>ROUND(POWER(1+E41,H41-G41)*(POWER(1+E41,G41)-1)/(POWER(1+E41,H41)-1),4)</f>
        <v>#DIV/0!</v>
      </c>
      <c r="D41" s="176" t="s">
        <v>2463</v>
      </c>
      <c r="E41" s="2320">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2513</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2514</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2515</v>
      </c>
      <c r="B47" s="1486" t="s">
        <v>2516</v>
      </c>
      <c r="C47" s="1486" t="s">
        <v>2517</v>
      </c>
      <c r="D47" s="1486" t="s">
        <v>2518</v>
      </c>
      <c r="E47" s="758" t="s">
        <v>2519</v>
      </c>
      <c r="F47" s="2281" t="s">
        <v>2520</v>
      </c>
      <c r="G47" s="1486" t="s">
        <v>574</v>
      </c>
      <c r="H47" s="2282"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38.25">
      <c r="A48" s="2280" t="s">
        <v>2523</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2524</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2525</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2526</v>
      </c>
      <c r="B51" s="2285" t="s">
        <v>2527</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2528</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2529</v>
      </c>
      <c r="B53" s="2286" t="s">
        <v>2530</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2531</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2532</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2533</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2534</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2515</v>
      </c>
      <c r="B58" s="1486"/>
      <c r="C58" s="1486" t="s">
        <v>2517</v>
      </c>
      <c r="D58" s="1486" t="s">
        <v>2518</v>
      </c>
      <c r="E58" s="758" t="s">
        <v>2519</v>
      </c>
      <c r="F58" s="2281" t="s">
        <v>2535</v>
      </c>
      <c r="G58" s="1486" t="s">
        <v>574</v>
      </c>
      <c r="H58" s="2282"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38.25">
      <c r="A59" s="2280" t="s">
        <v>2536</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2524</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2525</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2526</v>
      </c>
      <c r="B62" s="2285" t="s">
        <v>2527</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2528</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2529</v>
      </c>
      <c r="B64" s="2286" t="s">
        <v>2530</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2531</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2532</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2533</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2537</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2515</v>
      </c>
      <c r="B69" s="1486"/>
      <c r="C69" s="1486" t="s">
        <v>2517</v>
      </c>
      <c r="D69" s="1486" t="s">
        <v>2518</v>
      </c>
      <c r="E69" s="758" t="s">
        <v>2519</v>
      </c>
      <c r="F69" s="2281" t="s">
        <v>2535</v>
      </c>
      <c r="G69" s="1486" t="s">
        <v>574</v>
      </c>
      <c r="H69" s="2282"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51">
      <c r="A70" s="2280" t="s">
        <v>2538</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2524</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2525</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2539</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2531</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2532</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2529</v>
      </c>
      <c r="B76" s="2286" t="s">
        <v>2530</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2533</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2540</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2541</v>
      </c>
      <c r="B79" s="2277">
        <f>1+E81</f>
        <v>1</v>
      </c>
      <c r="C79" s="753"/>
      <c r="D79" s="753"/>
      <c r="E79" s="754"/>
      <c r="F79" s="2279"/>
      <c r="G79" s="6"/>
      <c r="H79" s="6"/>
      <c r="I79" s="6"/>
      <c r="J79" s="7"/>
      <c r="K79" s="7"/>
      <c r="L79" s="7"/>
      <c r="M79" s="7"/>
      <c r="N79" s="7"/>
      <c r="Z79" s="2135"/>
      <c r="AA79" s="2201"/>
      <c r="AG79" s="1235"/>
      <c r="AK79" s="2201"/>
    </row>
    <row r="80" spans="1:37" ht="24.75">
      <c r="A80" s="2280" t="s">
        <v>2515</v>
      </c>
      <c r="B80" s="1486"/>
      <c r="C80" s="1486" t="s">
        <v>2517</v>
      </c>
      <c r="D80" s="1486" t="s">
        <v>2518</v>
      </c>
      <c r="E80" s="758" t="s">
        <v>2519</v>
      </c>
      <c r="F80" s="2281" t="s">
        <v>2535</v>
      </c>
      <c r="G80" s="1486" t="s">
        <v>574</v>
      </c>
      <c r="H80" s="2282" t="s">
        <v>2521</v>
      </c>
      <c r="I80" s="1486" t="s">
        <v>2522</v>
      </c>
      <c r="J80" s="560" t="s">
        <v>2172</v>
      </c>
      <c r="K80" s="560" t="s">
        <v>2173</v>
      </c>
      <c r="L80" s="560" t="s">
        <v>2174</v>
      </c>
      <c r="M80" s="560" t="s">
        <v>2175</v>
      </c>
      <c r="N80" s="560" t="s">
        <v>2176</v>
      </c>
      <c r="Z80" s="2135"/>
      <c r="AA80" s="2201"/>
      <c r="AG80" s="1235"/>
      <c r="AK80" s="2201"/>
    </row>
    <row r="81" spans="1:37" ht="38.25">
      <c r="A81" s="2280" t="s">
        <v>2542</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2524</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2525</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2539</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2531</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2532</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2529</v>
      </c>
      <c r="B87" s="2286" t="s">
        <v>2543</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2544</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9" t="s">
        <v>2545</v>
      </c>
      <c r="B90" s="3559"/>
      <c r="C90" s="3559"/>
      <c r="D90" s="3559"/>
      <c r="E90" s="3559"/>
      <c r="F90" s="3559"/>
      <c r="G90" s="3559"/>
      <c r="H90" s="3559"/>
      <c r="I90" s="3559"/>
      <c r="J90" s="3559"/>
      <c r="K90" s="2294"/>
      <c r="L90" s="2294"/>
      <c r="M90" s="2294"/>
      <c r="N90" s="2294"/>
    </row>
    <row r="91" spans="1:37">
      <c r="A91" s="3561" t="s">
        <v>2546</v>
      </c>
      <c r="B91" s="3561" t="s">
        <v>2547</v>
      </c>
      <c r="C91" s="2248" t="s">
        <v>2548</v>
      </c>
      <c r="D91" s="2249"/>
      <c r="E91" s="2249"/>
      <c r="F91" s="2249"/>
      <c r="G91" s="2249"/>
      <c r="H91" s="2249"/>
      <c r="I91" s="2249"/>
      <c r="J91" s="2295"/>
      <c r="K91" s="2296"/>
      <c r="L91" s="2296"/>
      <c r="M91" s="2296"/>
      <c r="N91" s="2296"/>
    </row>
    <row r="92" spans="1:37">
      <c r="A92" s="3561"/>
      <c r="B92" s="3561"/>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562" t="s">
        <v>2549</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3"/>
      <c r="B99" s="2297" t="s">
        <v>2431</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2" t="s">
        <v>2550</v>
      </c>
      <c r="B101" s="2301" t="s">
        <v>2551</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63"/>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63"/>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63"/>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63"/>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63"/>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63"/>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63"/>
      <c r="B108" s="3565" t="s">
        <v>2552</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4"/>
      <c r="B109" s="3566"/>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60" t="s">
        <v>2553</v>
      </c>
      <c r="B110" s="3560"/>
      <c r="C110" s="3560"/>
      <c r="D110" s="3560"/>
      <c r="E110" s="3560"/>
      <c r="F110" s="3560"/>
      <c r="G110" s="3560"/>
      <c r="H110" s="3560"/>
      <c r="I110" s="3560"/>
      <c r="J110" s="3560"/>
      <c r="K110" s="2303"/>
      <c r="L110" s="2303"/>
      <c r="M110" s="2303"/>
      <c r="N110" s="2303"/>
    </row>
    <row r="112" spans="1:14" ht="13.5" thickBot="1"/>
    <row r="113" spans="1:13" ht="25.5" thickBot="1">
      <c r="A113" s="824" t="s">
        <v>2554</v>
      </c>
      <c r="B113" s="1178" t="e">
        <f>G3</f>
        <v>#DIV/0!</v>
      </c>
      <c r="C113" s="825" t="s">
        <v>2555</v>
      </c>
      <c r="D113" s="826" t="e">
        <f>SUMPRODUCT((A115:A118=F113)*(B114:M114=H113)*B115:M118)</f>
        <v>#DIV/0!</v>
      </c>
      <c r="E113" s="2139" t="s">
        <v>2388</v>
      </c>
      <c r="F113" s="2305">
        <f>E2</f>
        <v>0</v>
      </c>
      <c r="G113" s="2139" t="s">
        <v>2389</v>
      </c>
      <c r="H113" s="2305">
        <f>G2</f>
        <v>0</v>
      </c>
      <c r="I113" s="2139"/>
      <c r="J113" s="2306"/>
      <c r="K113" s="2306"/>
      <c r="L113" s="2306"/>
      <c r="M113" s="2306"/>
    </row>
    <row r="114" spans="1:13">
      <c r="A114" s="829"/>
      <c r="B114" s="2307" t="s">
        <v>2556</v>
      </c>
      <c r="C114" s="2307" t="s">
        <v>2557</v>
      </c>
      <c r="D114" s="2307" t="s">
        <v>2558</v>
      </c>
      <c r="E114" s="2308" t="s">
        <v>2559</v>
      </c>
      <c r="F114" s="2308" t="s">
        <v>2560</v>
      </c>
      <c r="G114" s="2308" t="s">
        <v>2561</v>
      </c>
      <c r="H114" s="2309" t="s">
        <v>2562</v>
      </c>
      <c r="I114" s="2309" t="s">
        <v>2563</v>
      </c>
      <c r="J114" s="2310" t="s">
        <v>2564</v>
      </c>
      <c r="K114" s="2310" t="s">
        <v>2565</v>
      </c>
      <c r="L114" s="2310" t="s">
        <v>2566</v>
      </c>
      <c r="M114" s="2311" t="s">
        <v>2567</v>
      </c>
    </row>
    <row r="115" spans="1:13">
      <c r="A115" s="830" t="s">
        <v>2453</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2454</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2455</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2456</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2940</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2941</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2942</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2943</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2944</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2945</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2946</v>
      </c>
      <c r="B19" s="3210" t="s">
        <v>2947</v>
      </c>
      <c r="C19" s="3211" t="s">
        <v>2948</v>
      </c>
      <c r="D19" s="3212"/>
      <c r="E19" s="3206" t="s">
        <v>2949</v>
      </c>
      <c r="F19" s="803"/>
      <c r="G19" s="803"/>
    </row>
    <row r="20" spans="1:13" s="808" customFormat="1" ht="19.5" customHeight="1">
      <c r="A20" s="3590" t="s">
        <v>2950</v>
      </c>
      <c r="B20" s="3583" t="s">
        <v>2951</v>
      </c>
      <c r="C20" s="3213" t="s">
        <v>2952</v>
      </c>
      <c r="D20" s="3214"/>
      <c r="E20" s="3215">
        <v>1</v>
      </c>
      <c r="F20" s="3216" t="s">
        <v>2953</v>
      </c>
      <c r="G20" s="807"/>
      <c r="H20" s="801"/>
      <c r="I20" s="801"/>
    </row>
    <row r="21" spans="1:13" s="808" customFormat="1" ht="19.5" customHeight="1">
      <c r="A21" s="3591"/>
      <c r="B21" s="3584"/>
      <c r="C21" s="805" t="s">
        <v>2954</v>
      </c>
      <c r="D21" s="806"/>
      <c r="E21" s="3217">
        <v>1</v>
      </c>
      <c r="F21" s="3216" t="s">
        <v>2955</v>
      </c>
      <c r="G21" s="807"/>
      <c r="H21" s="801"/>
      <c r="I21" s="801"/>
    </row>
    <row r="22" spans="1:13" s="808" customFormat="1" ht="19.5" customHeight="1">
      <c r="A22" s="3591"/>
      <c r="B22" s="3584"/>
      <c r="C22" s="805" t="s">
        <v>2956</v>
      </c>
      <c r="D22" s="806"/>
      <c r="E22" s="3217">
        <v>0.9</v>
      </c>
      <c r="F22" s="3216" t="s">
        <v>2957</v>
      </c>
      <c r="G22" s="807"/>
      <c r="H22" s="801"/>
      <c r="I22" s="801"/>
    </row>
    <row r="23" spans="1:13" s="808" customFormat="1" ht="19.5" customHeight="1">
      <c r="A23" s="3591"/>
      <c r="B23" s="3584"/>
      <c r="C23" s="805" t="s">
        <v>2958</v>
      </c>
      <c r="D23" s="806"/>
      <c r="E23" s="3217">
        <v>0.9</v>
      </c>
      <c r="F23" s="3216" t="s">
        <v>2959</v>
      </c>
      <c r="G23" s="807"/>
      <c r="H23" s="801"/>
      <c r="I23" s="801"/>
    </row>
    <row r="24" spans="1:13" s="808" customFormat="1" ht="19.5" customHeight="1">
      <c r="A24" s="3591"/>
      <c r="B24" s="3584"/>
      <c r="C24" s="805" t="s">
        <v>2960</v>
      </c>
      <c r="D24" s="806"/>
      <c r="E24" s="3217">
        <v>0.8</v>
      </c>
      <c r="F24" s="3216" t="s">
        <v>2961</v>
      </c>
      <c r="G24" s="807"/>
      <c r="H24" s="801"/>
      <c r="I24" s="801"/>
    </row>
    <row r="25" spans="1:13" s="808" customFormat="1" ht="19.5" customHeight="1" thickBot="1">
      <c r="A25" s="3592"/>
      <c r="B25" s="3585"/>
      <c r="C25" s="3218" t="s">
        <v>2962</v>
      </c>
      <c r="D25" s="3219"/>
      <c r="E25" s="3220">
        <v>0.8</v>
      </c>
      <c r="F25" s="3216" t="s">
        <v>2963</v>
      </c>
      <c r="G25" s="807"/>
      <c r="H25" s="801"/>
      <c r="I25" s="801"/>
    </row>
    <row r="26" spans="1:13" s="808" customFormat="1" ht="19.5" customHeight="1" thickBot="1">
      <c r="A26" s="3221" t="s">
        <v>2964</v>
      </c>
      <c r="B26" s="3222" t="s">
        <v>2951</v>
      </c>
      <c r="C26" s="3223" t="s">
        <v>2965</v>
      </c>
      <c r="D26" s="3224"/>
      <c r="E26" s="3225">
        <v>1</v>
      </c>
      <c r="F26" s="3216" t="s">
        <v>2966</v>
      </c>
      <c r="G26" s="807"/>
      <c r="H26" s="801"/>
      <c r="I26" s="801"/>
    </row>
    <row r="27" spans="1:13" s="808" customFormat="1" ht="19.5" customHeight="1">
      <c r="A27" s="3586" t="s">
        <v>2967</v>
      </c>
      <c r="B27" s="3583" t="s">
        <v>2967</v>
      </c>
      <c r="C27" s="3213" t="s">
        <v>2968</v>
      </c>
      <c r="D27" s="3214"/>
      <c r="E27" s="3215">
        <v>1</v>
      </c>
      <c r="F27" s="3216" t="s">
        <v>2969</v>
      </c>
      <c r="G27" s="807"/>
      <c r="H27" s="801"/>
      <c r="I27" s="801"/>
    </row>
    <row r="28" spans="1:13" s="808" customFormat="1" ht="19.5" customHeight="1">
      <c r="A28" s="3587"/>
      <c r="B28" s="3584"/>
      <c r="C28" s="805" t="s">
        <v>2970</v>
      </c>
      <c r="D28" s="806"/>
      <c r="E28" s="3217">
        <v>1</v>
      </c>
      <c r="F28" s="3216" t="s">
        <v>2971</v>
      </c>
      <c r="G28" s="807"/>
      <c r="H28" s="801"/>
      <c r="I28" s="801"/>
    </row>
    <row r="29" spans="1:13" s="808" customFormat="1" ht="19.5" customHeight="1">
      <c r="A29" s="3587"/>
      <c r="B29" s="3584"/>
      <c r="C29" s="805" t="s">
        <v>2972</v>
      </c>
      <c r="D29" s="806"/>
      <c r="E29" s="3217">
        <v>0.8</v>
      </c>
      <c r="F29" s="3216" t="s">
        <v>2973</v>
      </c>
      <c r="G29" s="807"/>
      <c r="H29" s="801"/>
      <c r="I29" s="801"/>
    </row>
    <row r="30" spans="1:13" s="808" customFormat="1" ht="19.5" customHeight="1">
      <c r="A30" s="3587"/>
      <c r="B30" s="3584"/>
      <c r="C30" s="805" t="s">
        <v>2974</v>
      </c>
      <c r="D30" s="806"/>
      <c r="E30" s="3217">
        <v>0.8</v>
      </c>
      <c r="F30" s="3216" t="s">
        <v>2975</v>
      </c>
      <c r="G30" s="807"/>
      <c r="H30" s="801"/>
      <c r="I30" s="801"/>
    </row>
    <row r="31" spans="1:13" s="808" customFormat="1" ht="19.5" customHeight="1">
      <c r="A31" s="3587"/>
      <c r="B31" s="3584"/>
      <c r="C31" s="805" t="s">
        <v>2976</v>
      </c>
      <c r="D31" s="806"/>
      <c r="E31" s="3217">
        <v>0.8</v>
      </c>
      <c r="F31" s="3216" t="s">
        <v>2977</v>
      </c>
      <c r="G31" s="807"/>
      <c r="H31" s="801"/>
      <c r="I31" s="801"/>
    </row>
    <row r="32" spans="1:13" s="808" customFormat="1" ht="19.5" customHeight="1">
      <c r="A32" s="3587"/>
      <c r="B32" s="3584"/>
      <c r="C32" s="805" t="s">
        <v>2978</v>
      </c>
      <c r="D32" s="806"/>
      <c r="E32" s="3217">
        <v>0.7</v>
      </c>
      <c r="F32" s="3216" t="s">
        <v>2979</v>
      </c>
      <c r="G32" s="807"/>
      <c r="H32" s="801"/>
      <c r="I32" s="801"/>
    </row>
    <row r="33" spans="1:9" s="808" customFormat="1" ht="19.5" customHeight="1">
      <c r="A33" s="3587"/>
      <c r="B33" s="3584"/>
      <c r="C33" s="805" t="s">
        <v>2980</v>
      </c>
      <c r="D33" s="806"/>
      <c r="E33" s="3217">
        <v>0.8</v>
      </c>
      <c r="F33" s="3216" t="s">
        <v>2981</v>
      </c>
      <c r="G33" s="807"/>
      <c r="H33" s="801"/>
      <c r="I33" s="801"/>
    </row>
    <row r="34" spans="1:9" s="808" customFormat="1" ht="19.5" customHeight="1">
      <c r="A34" s="3587"/>
      <c r="B34" s="3584"/>
      <c r="C34" s="805" t="s">
        <v>2982</v>
      </c>
      <c r="D34" s="806"/>
      <c r="E34" s="3217">
        <v>0.6</v>
      </c>
      <c r="F34" s="3216" t="s">
        <v>2983</v>
      </c>
      <c r="G34" s="807"/>
      <c r="H34" s="801"/>
      <c r="I34" s="801"/>
    </row>
    <row r="35" spans="1:9" s="808" customFormat="1" ht="19.5" customHeight="1">
      <c r="A35" s="3587"/>
      <c r="B35" s="3584"/>
      <c r="C35" s="805" t="s">
        <v>2984</v>
      </c>
      <c r="D35" s="806"/>
      <c r="E35" s="3217">
        <v>0.2</v>
      </c>
      <c r="F35" s="3216" t="s">
        <v>2985</v>
      </c>
      <c r="G35" s="807"/>
      <c r="H35" s="801"/>
      <c r="I35" s="801"/>
    </row>
    <row r="36" spans="1:9" s="808" customFormat="1" ht="19.5" customHeight="1">
      <c r="A36" s="3587"/>
      <c r="B36" s="3584"/>
      <c r="C36" s="805" t="s">
        <v>2986</v>
      </c>
      <c r="D36" s="806"/>
      <c r="E36" s="3217">
        <v>0.2</v>
      </c>
      <c r="F36" s="3216" t="s">
        <v>2987</v>
      </c>
      <c r="G36" s="807"/>
      <c r="H36" s="801"/>
      <c r="I36" s="801"/>
    </row>
    <row r="37" spans="1:9" s="808" customFormat="1" ht="19.5" customHeight="1">
      <c r="A37" s="3587"/>
      <c r="B37" s="3589" t="s">
        <v>2988</v>
      </c>
      <c r="C37" s="805" t="s">
        <v>2989</v>
      </c>
      <c r="D37" s="806"/>
      <c r="E37" s="3217">
        <v>0.6</v>
      </c>
      <c r="F37" s="3216" t="s">
        <v>2990</v>
      </c>
      <c r="G37" s="807"/>
      <c r="H37" s="801"/>
      <c r="I37" s="801"/>
    </row>
    <row r="38" spans="1:9" s="808" customFormat="1" ht="19.5" customHeight="1">
      <c r="A38" s="3587"/>
      <c r="B38" s="3584"/>
      <c r="C38" s="805" t="s">
        <v>2991</v>
      </c>
      <c r="D38" s="806"/>
      <c r="E38" s="3217">
        <v>0.6</v>
      </c>
      <c r="F38" s="3216" t="s">
        <v>2992</v>
      </c>
      <c r="G38" s="807"/>
      <c r="H38" s="801"/>
      <c r="I38" s="801"/>
    </row>
    <row r="39" spans="1:9" s="808" customFormat="1" ht="19.5" customHeight="1" thickBot="1">
      <c r="A39" s="3588"/>
      <c r="B39" s="3585"/>
      <c r="C39" s="3218" t="s">
        <v>2993</v>
      </c>
      <c r="D39" s="3219"/>
      <c r="E39" s="3220">
        <v>0.6</v>
      </c>
      <c r="F39" s="3216" t="s">
        <v>2994</v>
      </c>
      <c r="G39" s="807"/>
      <c r="H39" s="801"/>
      <c r="I39" s="801"/>
    </row>
    <row r="40" spans="1:9" s="808" customFormat="1" ht="19.5" customHeight="1" thickBot="1">
      <c r="A40" s="3221" t="s">
        <v>2995</v>
      </c>
      <c r="B40" s="3222" t="s">
        <v>2995</v>
      </c>
      <c r="C40" s="3223" t="s">
        <v>2996</v>
      </c>
      <c r="D40" s="3224"/>
      <c r="E40" s="3225">
        <v>1</v>
      </c>
      <c r="F40" s="3216" t="s">
        <v>2997</v>
      </c>
      <c r="G40" s="807"/>
      <c r="H40" s="801"/>
      <c r="I40" s="801"/>
    </row>
    <row r="41" spans="1:9" s="808" customFormat="1" ht="19.5" customHeight="1">
      <c r="A41" s="3590" t="s">
        <v>2998</v>
      </c>
      <c r="B41" s="3583" t="s">
        <v>2999</v>
      </c>
      <c r="C41" s="3213" t="s">
        <v>3000</v>
      </c>
      <c r="D41" s="3214"/>
      <c r="E41" s="3215">
        <v>1</v>
      </c>
      <c r="F41" s="3216" t="s">
        <v>3001</v>
      </c>
      <c r="G41" s="807"/>
      <c r="H41" s="801"/>
      <c r="I41" s="801"/>
    </row>
    <row r="42" spans="1:9" s="808" customFormat="1" ht="19.5" customHeight="1">
      <c r="A42" s="3591"/>
      <c r="B42" s="3584"/>
      <c r="C42" s="805" t="s">
        <v>3002</v>
      </c>
      <c r="D42" s="806"/>
      <c r="E42" s="3217">
        <v>1</v>
      </c>
      <c r="F42" s="3216" t="s">
        <v>3003</v>
      </c>
      <c r="G42" s="807"/>
      <c r="H42" s="801"/>
      <c r="I42" s="801"/>
    </row>
    <row r="43" spans="1:9" s="808" customFormat="1" ht="19.5" customHeight="1">
      <c r="A43" s="3591"/>
      <c r="B43" s="3593"/>
      <c r="C43" s="805" t="s">
        <v>3004</v>
      </c>
      <c r="D43" s="806"/>
      <c r="E43" s="3217">
        <v>1.5</v>
      </c>
      <c r="F43" s="3216" t="s">
        <v>3005</v>
      </c>
      <c r="G43" s="807"/>
      <c r="H43" s="801"/>
      <c r="I43" s="801"/>
    </row>
    <row r="44" spans="1:9" s="808" customFormat="1" ht="19.5" customHeight="1">
      <c r="A44" s="3591"/>
      <c r="B44" s="3226" t="s">
        <v>2967</v>
      </c>
      <c r="C44" s="805" t="s">
        <v>3006</v>
      </c>
      <c r="D44" s="806"/>
      <c r="E44" s="3217">
        <v>2</v>
      </c>
      <c r="F44" s="3216" t="s">
        <v>3007</v>
      </c>
      <c r="G44" s="807"/>
      <c r="H44" s="801"/>
      <c r="I44" s="801"/>
    </row>
    <row r="45" spans="1:9" s="808" customFormat="1" ht="19.5" customHeight="1">
      <c r="A45" s="3591"/>
      <c r="B45" s="3589" t="s">
        <v>3008</v>
      </c>
      <c r="C45" s="805" t="s">
        <v>3009</v>
      </c>
      <c r="D45" s="806"/>
      <c r="E45" s="3217">
        <v>1</v>
      </c>
      <c r="F45" s="3216" t="s">
        <v>3010</v>
      </c>
      <c r="G45" s="807"/>
      <c r="H45" s="801"/>
      <c r="I45" s="801"/>
    </row>
    <row r="46" spans="1:9" s="808" customFormat="1" ht="19.5" customHeight="1">
      <c r="A46" s="3591"/>
      <c r="B46" s="3584"/>
      <c r="C46" s="805" t="s">
        <v>3011</v>
      </c>
      <c r="D46" s="806"/>
      <c r="E46" s="3217">
        <v>1</v>
      </c>
      <c r="F46" s="3216" t="s">
        <v>3012</v>
      </c>
      <c r="G46" s="807"/>
      <c r="H46" s="801"/>
      <c r="I46" s="801"/>
    </row>
    <row r="47" spans="1:9" s="808" customFormat="1" ht="19.5" customHeight="1">
      <c r="A47" s="3591"/>
      <c r="B47" s="3584"/>
      <c r="C47" s="805" t="s">
        <v>3013</v>
      </c>
      <c r="D47" s="806"/>
      <c r="E47" s="3217">
        <v>1</v>
      </c>
      <c r="F47" s="3216" t="s">
        <v>3014</v>
      </c>
      <c r="G47" s="807"/>
      <c r="H47" s="801"/>
      <c r="I47" s="801"/>
    </row>
    <row r="48" spans="1:9" s="808" customFormat="1" ht="19.5" customHeight="1">
      <c r="A48" s="3591"/>
      <c r="B48" s="3584"/>
      <c r="C48" s="805" t="s">
        <v>3015</v>
      </c>
      <c r="D48" s="806"/>
      <c r="E48" s="3217">
        <v>1</v>
      </c>
      <c r="F48" s="3216" t="s">
        <v>3016</v>
      </c>
      <c r="G48" s="807"/>
      <c r="H48" s="801"/>
      <c r="I48" s="801"/>
    </row>
    <row r="49" spans="1:9" s="808" customFormat="1" ht="19.5" customHeight="1">
      <c r="A49" s="3591"/>
      <c r="B49" s="3584"/>
      <c r="C49" s="805" t="s">
        <v>3017</v>
      </c>
      <c r="D49" s="806"/>
      <c r="E49" s="3217">
        <v>1</v>
      </c>
      <c r="F49" s="3216" t="s">
        <v>3018</v>
      </c>
      <c r="G49" s="807"/>
      <c r="H49" s="801"/>
      <c r="I49" s="801"/>
    </row>
    <row r="50" spans="1:9" s="808" customFormat="1" ht="19.5" customHeight="1">
      <c r="A50" s="3591"/>
      <c r="B50" s="3584"/>
      <c r="C50" s="805" t="s">
        <v>3019</v>
      </c>
      <c r="D50" s="806"/>
      <c r="E50" s="3217">
        <v>1</v>
      </c>
      <c r="F50" s="3216" t="s">
        <v>3020</v>
      </c>
      <c r="G50" s="807"/>
      <c r="H50" s="801"/>
      <c r="I50" s="801"/>
    </row>
    <row r="51" spans="1:9" s="808" customFormat="1" ht="19.5" customHeight="1" thickBot="1">
      <c r="A51" s="3592"/>
      <c r="B51" s="3585"/>
      <c r="C51" s="3218" t="s">
        <v>3021</v>
      </c>
      <c r="D51" s="3219"/>
      <c r="E51" s="3220">
        <v>1</v>
      </c>
      <c r="F51" s="3216" t="s">
        <v>3022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3023</v>
      </c>
      <c r="D72" s="859"/>
      <c r="E72" s="816" t="s">
        <v>1</v>
      </c>
      <c r="F72" s="859" t="s">
        <v>1</v>
      </c>
    </row>
    <row r="73" spans="1:7" s="801" customFormat="1" ht="13.5">
      <c r="A73" s="3226">
        <v>1</v>
      </c>
      <c r="B73" s="3589" t="s">
        <v>3024</v>
      </c>
      <c r="C73" s="3206" t="s">
        <v>3025</v>
      </c>
      <c r="D73" s="3206" t="s">
        <v>3026</v>
      </c>
      <c r="E73" s="3227">
        <v>0.2</v>
      </c>
      <c r="F73" s="3226">
        <v>25</v>
      </c>
    </row>
    <row r="74" spans="1:7" s="801" customFormat="1" ht="24">
      <c r="A74" s="3226">
        <v>2</v>
      </c>
      <c r="B74" s="3584"/>
      <c r="C74" s="3206" t="s">
        <v>3027</v>
      </c>
      <c r="D74" s="3206" t="s">
        <v>3028</v>
      </c>
      <c r="E74" s="3227">
        <v>0.2</v>
      </c>
      <c r="F74" s="3226">
        <v>25</v>
      </c>
    </row>
    <row r="75" spans="1:7" s="801" customFormat="1" ht="24">
      <c r="A75" s="3226">
        <v>3</v>
      </c>
      <c r="B75" s="3584"/>
      <c r="C75" s="3206" t="s">
        <v>3029</v>
      </c>
      <c r="D75" s="3206" t="s">
        <v>3030</v>
      </c>
      <c r="E75" s="3227">
        <v>0.2</v>
      </c>
      <c r="F75" s="3226">
        <v>25</v>
      </c>
    </row>
    <row r="76" spans="1:7" s="801" customFormat="1" ht="13.5">
      <c r="A76" s="3226">
        <v>4</v>
      </c>
      <c r="B76" s="3584"/>
      <c r="C76" s="3206" t="s">
        <v>3031</v>
      </c>
      <c r="D76" s="3206" t="s">
        <v>3032</v>
      </c>
      <c r="E76" s="3227">
        <v>0.15</v>
      </c>
      <c r="F76" s="3226">
        <v>20</v>
      </c>
    </row>
    <row r="77" spans="1:7" s="801" customFormat="1" ht="24">
      <c r="A77" s="3226">
        <v>5</v>
      </c>
      <c r="B77" s="3584"/>
      <c r="C77" s="3206" t="s">
        <v>3033</v>
      </c>
      <c r="D77" s="3206" t="s">
        <v>3034</v>
      </c>
      <c r="E77" s="3227">
        <v>0.15</v>
      </c>
      <c r="F77" s="3226">
        <v>20</v>
      </c>
    </row>
    <row r="78" spans="1:7" s="801" customFormat="1" ht="24">
      <c r="A78" s="3226">
        <v>6</v>
      </c>
      <c r="B78" s="3584"/>
      <c r="C78" s="3206" t="s">
        <v>3035</v>
      </c>
      <c r="D78" s="3206" t="s">
        <v>3036</v>
      </c>
      <c r="E78" s="3227">
        <v>0.15</v>
      </c>
      <c r="F78" s="3226">
        <v>20</v>
      </c>
    </row>
    <row r="79" spans="1:7" s="801" customFormat="1" ht="24">
      <c r="A79" s="3226">
        <v>7</v>
      </c>
      <c r="B79" s="3584"/>
      <c r="C79" s="3206" t="s">
        <v>3037</v>
      </c>
      <c r="D79" s="3206" t="s">
        <v>3038</v>
      </c>
      <c r="E79" s="3227">
        <v>0.15</v>
      </c>
      <c r="F79" s="3226">
        <v>20</v>
      </c>
    </row>
    <row r="80" spans="1:7" s="801" customFormat="1" ht="24">
      <c r="A80" s="3226">
        <v>8</v>
      </c>
      <c r="B80" s="3584"/>
      <c r="C80" s="3206" t="s">
        <v>3039</v>
      </c>
      <c r="D80" s="3206" t="s">
        <v>3040</v>
      </c>
      <c r="E80" s="3227">
        <v>0.1</v>
      </c>
      <c r="F80" s="3226">
        <v>15</v>
      </c>
    </row>
    <row r="81" spans="1:6" s="801" customFormat="1" ht="24">
      <c r="A81" s="3226">
        <v>9</v>
      </c>
      <c r="B81" s="3584"/>
      <c r="C81" s="3206" t="s">
        <v>3041</v>
      </c>
      <c r="D81" s="3206" t="s">
        <v>3042</v>
      </c>
      <c r="E81" s="3227">
        <v>0.1</v>
      </c>
      <c r="F81" s="3226">
        <v>15</v>
      </c>
    </row>
    <row r="82" spans="1:6" s="801" customFormat="1" ht="24">
      <c r="A82" s="3226">
        <v>10</v>
      </c>
      <c r="B82" s="3584"/>
      <c r="C82" s="3206" t="s">
        <v>3043</v>
      </c>
      <c r="D82" s="3206" t="s">
        <v>3044</v>
      </c>
      <c r="E82" s="3227">
        <v>0.1</v>
      </c>
      <c r="F82" s="3226">
        <v>15</v>
      </c>
    </row>
    <row r="83" spans="1:6" s="801" customFormat="1" ht="24">
      <c r="A83" s="3226">
        <v>11</v>
      </c>
      <c r="B83" s="3584"/>
      <c r="C83" s="3206" t="s">
        <v>3045</v>
      </c>
      <c r="D83" s="3206" t="s">
        <v>3046</v>
      </c>
      <c r="E83" s="3227">
        <v>0.1</v>
      </c>
      <c r="F83" s="3226">
        <v>15</v>
      </c>
    </row>
    <row r="84" spans="1:6" s="801" customFormat="1" ht="24">
      <c r="A84" s="3226">
        <v>12</v>
      </c>
      <c r="B84" s="3584"/>
      <c r="C84" s="3206" t="s">
        <v>3047</v>
      </c>
      <c r="D84" s="3206" t="s">
        <v>3048</v>
      </c>
      <c r="E84" s="3227">
        <v>0.1</v>
      </c>
      <c r="F84" s="3226">
        <v>15</v>
      </c>
    </row>
    <row r="85" spans="1:6" s="801" customFormat="1" ht="13.5">
      <c r="A85" s="3226">
        <v>13</v>
      </c>
      <c r="B85" s="3584"/>
      <c r="C85" s="3206" t="s">
        <v>3049</v>
      </c>
      <c r="D85" s="3206" t="s">
        <v>3050</v>
      </c>
      <c r="E85" s="3227">
        <v>0.1</v>
      </c>
      <c r="F85" s="3226">
        <v>15</v>
      </c>
    </row>
    <row r="86" spans="1:6" s="801" customFormat="1" ht="13.5">
      <c r="A86" s="3226">
        <v>14</v>
      </c>
      <c r="B86" s="3584"/>
      <c r="C86" s="3206" t="s">
        <v>3051</v>
      </c>
      <c r="D86" s="3206" t="s">
        <v>3052</v>
      </c>
      <c r="E86" s="3227">
        <v>0.1</v>
      </c>
      <c r="F86" s="3226">
        <v>15</v>
      </c>
    </row>
    <row r="87" spans="1:6" s="801" customFormat="1" ht="13.5">
      <c r="A87" s="3226">
        <v>15</v>
      </c>
      <c r="B87" s="3584"/>
      <c r="C87" s="3206" t="s">
        <v>3053</v>
      </c>
      <c r="D87" s="3206" t="s">
        <v>3054</v>
      </c>
      <c r="E87" s="3227">
        <v>0.1</v>
      </c>
      <c r="F87" s="3226">
        <v>15</v>
      </c>
    </row>
    <row r="88" spans="1:6" s="801" customFormat="1" ht="24">
      <c r="A88" s="3226">
        <v>16</v>
      </c>
      <c r="B88" s="3584"/>
      <c r="C88" s="3206" t="s">
        <v>3055</v>
      </c>
      <c r="D88" s="3206" t="s">
        <v>3056</v>
      </c>
      <c r="E88" s="3227">
        <v>0.1</v>
      </c>
      <c r="F88" s="3226">
        <v>15</v>
      </c>
    </row>
    <row r="89" spans="1:6" s="801" customFormat="1" ht="24">
      <c r="A89" s="3226">
        <v>17</v>
      </c>
      <c r="B89" s="3593"/>
      <c r="C89" s="3206" t="s">
        <v>3057</v>
      </c>
      <c r="D89" s="3206" t="s">
        <v>3058</v>
      </c>
      <c r="E89" s="3227">
        <v>0.1</v>
      </c>
      <c r="F89" s="3226">
        <v>15</v>
      </c>
    </row>
    <row r="90" spans="1:6" s="801" customFormat="1" ht="13.5">
      <c r="A90" s="3226">
        <v>18</v>
      </c>
      <c r="B90" s="3589" t="s">
        <v>3059</v>
      </c>
      <c r="C90" s="3206" t="s">
        <v>3060</v>
      </c>
      <c r="D90" s="3206" t="s">
        <v>3061</v>
      </c>
      <c r="E90" s="3227">
        <v>0.2</v>
      </c>
      <c r="F90" s="3226">
        <v>25</v>
      </c>
    </row>
    <row r="91" spans="1:6" s="801" customFormat="1" ht="24">
      <c r="A91" s="3226">
        <v>19</v>
      </c>
      <c r="B91" s="3584"/>
      <c r="C91" s="3206" t="s">
        <v>3062</v>
      </c>
      <c r="D91" s="3206" t="s">
        <v>3063</v>
      </c>
      <c r="E91" s="3227">
        <v>0.2</v>
      </c>
      <c r="F91" s="3226">
        <v>25</v>
      </c>
    </row>
    <row r="92" spans="1:6" s="801" customFormat="1" ht="13.5">
      <c r="A92" s="3226">
        <v>20</v>
      </c>
      <c r="B92" s="3584"/>
      <c r="C92" s="3206" t="s">
        <v>3064</v>
      </c>
      <c r="D92" s="3206" t="s">
        <v>3065</v>
      </c>
      <c r="E92" s="3227">
        <v>0.15</v>
      </c>
      <c r="F92" s="3226">
        <v>20</v>
      </c>
    </row>
    <row r="93" spans="1:6" s="801" customFormat="1" ht="24">
      <c r="A93" s="3226">
        <v>21</v>
      </c>
      <c r="B93" s="3584"/>
      <c r="C93" s="3206" t="s">
        <v>3066</v>
      </c>
      <c r="D93" s="3206" t="s">
        <v>3067</v>
      </c>
      <c r="E93" s="3227">
        <v>0.15</v>
      </c>
      <c r="F93" s="3226">
        <v>20</v>
      </c>
    </row>
    <row r="94" spans="1:6" s="801" customFormat="1" ht="24">
      <c r="A94" s="3226">
        <v>22</v>
      </c>
      <c r="B94" s="3584"/>
      <c r="C94" s="3206" t="s">
        <v>3068</v>
      </c>
      <c r="D94" s="3206" t="s">
        <v>3069</v>
      </c>
      <c r="E94" s="3227">
        <v>0.15</v>
      </c>
      <c r="F94" s="3226">
        <v>20</v>
      </c>
    </row>
    <row r="95" spans="1:6" s="801" customFormat="1" ht="36">
      <c r="A95" s="3226">
        <v>23</v>
      </c>
      <c r="B95" s="3584"/>
      <c r="C95" s="3206" t="s">
        <v>3070</v>
      </c>
      <c r="D95" s="3206" t="s">
        <v>3071</v>
      </c>
      <c r="E95" s="3227">
        <v>0.15</v>
      </c>
      <c r="F95" s="3226">
        <v>20</v>
      </c>
    </row>
    <row r="96" spans="1:6" s="801" customFormat="1" ht="13.5">
      <c r="A96" s="3226">
        <v>24</v>
      </c>
      <c r="B96" s="3584"/>
      <c r="C96" s="3206" t="s">
        <v>3072</v>
      </c>
      <c r="D96" s="3206" t="s">
        <v>3073</v>
      </c>
      <c r="E96" s="3227">
        <v>0.1</v>
      </c>
      <c r="F96" s="3226">
        <v>15</v>
      </c>
    </row>
    <row r="97" spans="1:6" s="801" customFormat="1" ht="24">
      <c r="A97" s="3226">
        <v>25</v>
      </c>
      <c r="B97" s="3584"/>
      <c r="C97" s="3206" t="s">
        <v>3074</v>
      </c>
      <c r="D97" s="3206" t="s">
        <v>3075</v>
      </c>
      <c r="E97" s="3227">
        <v>0.1</v>
      </c>
      <c r="F97" s="3226">
        <v>15</v>
      </c>
    </row>
    <row r="98" spans="1:6" s="801" customFormat="1" ht="24">
      <c r="A98" s="3226">
        <v>26</v>
      </c>
      <c r="B98" s="3584"/>
      <c r="C98" s="3206" t="s">
        <v>3076</v>
      </c>
      <c r="D98" s="3206" t="s">
        <v>3077</v>
      </c>
      <c r="E98" s="3227">
        <v>0.1</v>
      </c>
      <c r="F98" s="3226">
        <v>15</v>
      </c>
    </row>
    <row r="99" spans="1:6" s="801" customFormat="1" ht="24">
      <c r="A99" s="3226">
        <v>27</v>
      </c>
      <c r="B99" s="3584"/>
      <c r="C99" s="3206" t="s">
        <v>3078</v>
      </c>
      <c r="D99" s="3206" t="s">
        <v>3079</v>
      </c>
      <c r="E99" s="3227">
        <v>0.1</v>
      </c>
      <c r="F99" s="3226">
        <v>15</v>
      </c>
    </row>
    <row r="100" spans="1:6" s="801" customFormat="1" ht="24">
      <c r="A100" s="3226">
        <v>28</v>
      </c>
      <c r="B100" s="3584"/>
      <c r="C100" s="3206" t="s">
        <v>3080</v>
      </c>
      <c r="D100" s="3206" t="s">
        <v>3081</v>
      </c>
      <c r="E100" s="3227">
        <v>0.1</v>
      </c>
      <c r="F100" s="3226">
        <v>15</v>
      </c>
    </row>
    <row r="101" spans="1:6" s="801" customFormat="1" ht="24">
      <c r="A101" s="3226">
        <v>29</v>
      </c>
      <c r="B101" s="3584"/>
      <c r="C101" s="3206" t="s">
        <v>3082</v>
      </c>
      <c r="D101" s="3206" t="s">
        <v>3083</v>
      </c>
      <c r="E101" s="3227">
        <v>0.1</v>
      </c>
      <c r="F101" s="3226">
        <v>15</v>
      </c>
    </row>
    <row r="102" spans="1:6" s="801" customFormat="1" ht="24">
      <c r="A102" s="3226">
        <v>30</v>
      </c>
      <c r="B102" s="3584"/>
      <c r="C102" s="3206" t="s">
        <v>3084</v>
      </c>
      <c r="D102" s="3206" t="s">
        <v>3085</v>
      </c>
      <c r="E102" s="3227">
        <v>0.1</v>
      </c>
      <c r="F102" s="3226">
        <v>15</v>
      </c>
    </row>
    <row r="103" spans="1:6" s="801" customFormat="1" ht="24">
      <c r="A103" s="3226">
        <v>31</v>
      </c>
      <c r="B103" s="3584"/>
      <c r="C103" s="3206" t="s">
        <v>3086</v>
      </c>
      <c r="D103" s="3206" t="s">
        <v>3087</v>
      </c>
      <c r="E103" s="3227">
        <v>0.1</v>
      </c>
      <c r="F103" s="3226">
        <v>15</v>
      </c>
    </row>
    <row r="104" spans="1:6" s="801" customFormat="1" ht="24">
      <c r="A104" s="3226">
        <v>32</v>
      </c>
      <c r="B104" s="3584"/>
      <c r="C104" s="3206" t="s">
        <v>3088</v>
      </c>
      <c r="D104" s="3206" t="s">
        <v>3089</v>
      </c>
      <c r="E104" s="3227">
        <v>0.1</v>
      </c>
      <c r="F104" s="3226">
        <v>15</v>
      </c>
    </row>
    <row r="105" spans="1:6" s="801" customFormat="1" ht="24">
      <c r="A105" s="3226">
        <v>33</v>
      </c>
      <c r="B105" s="3584"/>
      <c r="C105" s="3206" t="s">
        <v>3090</v>
      </c>
      <c r="D105" s="3206" t="s">
        <v>3091</v>
      </c>
      <c r="E105" s="3227">
        <v>0.1</v>
      </c>
      <c r="F105" s="3226">
        <v>15</v>
      </c>
    </row>
    <row r="106" spans="1:6" s="801" customFormat="1" ht="24">
      <c r="A106" s="3226">
        <v>34</v>
      </c>
      <c r="B106" s="3593"/>
      <c r="C106" s="3206" t="s">
        <v>3092</v>
      </c>
      <c r="D106" s="3206" t="s">
        <v>3093</v>
      </c>
      <c r="E106" s="3227">
        <v>0.1</v>
      </c>
      <c r="F106" s="3226">
        <v>15</v>
      </c>
    </row>
    <row r="107" spans="1:6" s="801" customFormat="1" ht="24">
      <c r="A107" s="3226">
        <v>35</v>
      </c>
      <c r="B107" s="3589" t="s">
        <v>3094</v>
      </c>
      <c r="C107" s="3226" t="s">
        <v>3095</v>
      </c>
      <c r="D107" s="3206" t="s">
        <v>3096</v>
      </c>
      <c r="E107" s="3227">
        <v>0.15</v>
      </c>
      <c r="F107" s="3226">
        <v>20</v>
      </c>
    </row>
    <row r="108" spans="1:6" s="801" customFormat="1" ht="24">
      <c r="A108" s="3226">
        <v>36</v>
      </c>
      <c r="B108" s="3584"/>
      <c r="C108" s="3226" t="s">
        <v>3097</v>
      </c>
      <c r="D108" s="3206" t="s">
        <v>3098</v>
      </c>
      <c r="E108" s="3227">
        <v>0.15</v>
      </c>
      <c r="F108" s="3226">
        <v>20</v>
      </c>
    </row>
    <row r="109" spans="1:6" s="801" customFormat="1" ht="24">
      <c r="A109" s="3226">
        <v>37</v>
      </c>
      <c r="B109" s="3584"/>
      <c r="C109" s="3226" t="s">
        <v>3099</v>
      </c>
      <c r="D109" s="3206" t="s">
        <v>3100</v>
      </c>
      <c r="E109" s="3227">
        <v>0.15</v>
      </c>
      <c r="F109" s="3226">
        <v>20</v>
      </c>
    </row>
    <row r="110" spans="1:6" s="801" customFormat="1" ht="13.5">
      <c r="A110" s="3226">
        <v>38</v>
      </c>
      <c r="B110" s="3584"/>
      <c r="C110" s="3226" t="s">
        <v>3101</v>
      </c>
      <c r="D110" s="3206" t="s">
        <v>3102</v>
      </c>
      <c r="E110" s="3227">
        <v>0.1</v>
      </c>
      <c r="F110" s="3226">
        <v>15</v>
      </c>
    </row>
    <row r="111" spans="1:6" s="801" customFormat="1" ht="24">
      <c r="A111" s="3226">
        <v>39</v>
      </c>
      <c r="B111" s="3584"/>
      <c r="C111" s="3226" t="s">
        <v>3103</v>
      </c>
      <c r="D111" s="3206" t="s">
        <v>3104</v>
      </c>
      <c r="E111" s="3227">
        <v>0.1</v>
      </c>
      <c r="F111" s="3226">
        <v>15</v>
      </c>
    </row>
    <row r="112" spans="1:6" s="801" customFormat="1" ht="24">
      <c r="A112" s="3226">
        <v>40</v>
      </c>
      <c r="B112" s="3593"/>
      <c r="C112" s="3226" t="s">
        <v>3105</v>
      </c>
      <c r="D112" s="3206" t="s">
        <v>3106</v>
      </c>
      <c r="E112" s="3227">
        <v>0.1</v>
      </c>
      <c r="F112" s="3226">
        <v>15</v>
      </c>
    </row>
    <row r="113" spans="1:6" s="801" customFormat="1" ht="24">
      <c r="A113" s="3226">
        <v>41</v>
      </c>
      <c r="B113" s="3594" t="s">
        <v>3107</v>
      </c>
      <c r="C113" s="3226" t="s">
        <v>3108</v>
      </c>
      <c r="D113" s="3206" t="s">
        <v>3109</v>
      </c>
      <c r="E113" s="3227">
        <v>0.1</v>
      </c>
      <c r="F113" s="3226">
        <v>15</v>
      </c>
    </row>
    <row r="114" spans="1:6" s="801" customFormat="1" ht="13.5">
      <c r="A114" s="3226">
        <v>42</v>
      </c>
      <c r="B114" s="3594"/>
      <c r="C114" s="3226" t="s">
        <v>3110</v>
      </c>
      <c r="D114" s="3206" t="s">
        <v>3111</v>
      </c>
      <c r="E114" s="3227">
        <v>0.1</v>
      </c>
      <c r="F114" s="3226">
        <v>15</v>
      </c>
    </row>
    <row r="115" spans="1:6" s="801" customFormat="1" ht="24">
      <c r="A115" s="3226">
        <v>43</v>
      </c>
      <c r="B115" s="3594"/>
      <c r="C115" s="3226" t="s">
        <v>3112</v>
      </c>
      <c r="D115" s="3206" t="s">
        <v>3113</v>
      </c>
      <c r="E115" s="3227">
        <v>0.1</v>
      </c>
      <c r="F115" s="3226">
        <v>15</v>
      </c>
    </row>
    <row r="116" spans="1:6" s="801" customFormat="1" ht="24">
      <c r="A116" s="3226">
        <v>44</v>
      </c>
      <c r="B116" s="3589" t="s">
        <v>3114</v>
      </c>
      <c r="C116" s="3226" t="s">
        <v>3115</v>
      </c>
      <c r="D116" s="3206" t="s">
        <v>3116</v>
      </c>
      <c r="E116" s="3227">
        <v>0.1</v>
      </c>
      <c r="F116" s="3226">
        <v>15</v>
      </c>
    </row>
    <row r="117" spans="1:6" s="801" customFormat="1" ht="24">
      <c r="A117" s="3226">
        <v>45</v>
      </c>
      <c r="B117" s="3593"/>
      <c r="C117" s="3206" t="s">
        <v>3117</v>
      </c>
      <c r="D117" s="3206" t="s">
        <v>3118</v>
      </c>
      <c r="E117" s="3227">
        <v>0.1</v>
      </c>
      <c r="F117" s="3226">
        <v>15</v>
      </c>
    </row>
    <row r="118" spans="1:6" s="801" customFormat="1" ht="24">
      <c r="A118" s="3226">
        <v>46</v>
      </c>
      <c r="B118" s="3589" t="s">
        <v>3119</v>
      </c>
      <c r="C118" s="3226" t="s">
        <v>3120</v>
      </c>
      <c r="D118" s="3206" t="s">
        <v>3121</v>
      </c>
      <c r="E118" s="3227">
        <v>0.1</v>
      </c>
      <c r="F118" s="3226">
        <v>15</v>
      </c>
    </row>
    <row r="119" spans="1:6" s="801" customFormat="1" ht="24">
      <c r="A119" s="3226">
        <v>47</v>
      </c>
      <c r="B119" s="3593"/>
      <c r="C119" s="3226" t="s">
        <v>3122</v>
      </c>
      <c r="D119" s="3206" t="s">
        <v>3123</v>
      </c>
      <c r="E119" s="3227">
        <v>0.1</v>
      </c>
      <c r="F119" s="3226">
        <v>15</v>
      </c>
    </row>
    <row r="120" spans="1:6" s="801" customFormat="1" ht="24">
      <c r="A120" s="3226">
        <v>48</v>
      </c>
      <c r="B120" s="3589" t="s">
        <v>3124</v>
      </c>
      <c r="C120" s="3226" t="s">
        <v>3125</v>
      </c>
      <c r="D120" s="3206" t="s">
        <v>3126</v>
      </c>
      <c r="E120" s="3227">
        <v>0.1</v>
      </c>
      <c r="F120" s="3226">
        <v>15</v>
      </c>
    </row>
    <row r="121" spans="1:6" s="801" customFormat="1" ht="13.5">
      <c r="A121" s="3226">
        <v>49</v>
      </c>
      <c r="B121" s="3593"/>
      <c r="C121" s="3226" t="s">
        <v>3127</v>
      </c>
      <c r="D121" s="3206" t="s">
        <v>3128</v>
      </c>
      <c r="E121" s="3227">
        <v>0.1</v>
      </c>
      <c r="F121" s="3226">
        <v>15</v>
      </c>
    </row>
    <row r="122" spans="1:6" s="801" customFormat="1" ht="24">
      <c r="A122" s="3226">
        <v>50</v>
      </c>
      <c r="B122" s="3594" t="s">
        <v>3129</v>
      </c>
      <c r="C122" s="3226" t="s">
        <v>3130</v>
      </c>
      <c r="D122" s="3206" t="s">
        <v>3131</v>
      </c>
      <c r="E122" s="3227">
        <v>0.1</v>
      </c>
      <c r="F122" s="3226">
        <v>15</v>
      </c>
    </row>
    <row r="123" spans="1:6" s="801" customFormat="1" ht="24">
      <c r="A123" s="3226">
        <v>51</v>
      </c>
      <c r="B123" s="3594"/>
      <c r="C123" s="3226" t="s">
        <v>3132</v>
      </c>
      <c r="D123" s="3206" t="s">
        <v>3133</v>
      </c>
      <c r="E123" s="3227">
        <v>0.1</v>
      </c>
      <c r="F123" s="3226">
        <v>15</v>
      </c>
    </row>
    <row r="124" spans="1:6" s="801" customFormat="1" ht="24">
      <c r="A124" s="3226">
        <v>52</v>
      </c>
      <c r="B124" s="3594" t="s">
        <v>3134</v>
      </c>
      <c r="C124" s="3226" t="s">
        <v>3135</v>
      </c>
      <c r="D124" s="3206" t="s">
        <v>3136</v>
      </c>
      <c r="E124" s="3227">
        <v>0.1</v>
      </c>
      <c r="F124" s="3226">
        <v>15</v>
      </c>
    </row>
    <row r="125" spans="1:6" s="801" customFormat="1" ht="24">
      <c r="A125" s="3226">
        <v>53</v>
      </c>
      <c r="B125" s="3594"/>
      <c r="C125" s="3226" t="s">
        <v>3137</v>
      </c>
      <c r="D125" s="3206" t="s">
        <v>3138</v>
      </c>
      <c r="E125" s="3227">
        <v>0.1</v>
      </c>
      <c r="F125" s="3226">
        <v>15</v>
      </c>
    </row>
    <row r="126" spans="1:6" ht="24">
      <c r="A126" s="3226">
        <v>54</v>
      </c>
      <c r="B126" s="3226" t="s">
        <v>3139</v>
      </c>
      <c r="C126" s="3226" t="s">
        <v>3140</v>
      </c>
      <c r="D126" s="3206" t="s">
        <v>3141</v>
      </c>
      <c r="E126" s="3227">
        <v>0.1</v>
      </c>
      <c r="F126" s="3226">
        <v>15</v>
      </c>
    </row>
    <row r="127" spans="1:6" ht="13.5">
      <c r="A127" s="3226">
        <v>55</v>
      </c>
      <c r="B127" s="3594" t="s">
        <v>3142</v>
      </c>
      <c r="C127" s="3226" t="s">
        <v>3143</v>
      </c>
      <c r="D127" s="3206" t="s">
        <v>3144</v>
      </c>
      <c r="E127" s="3227">
        <v>0.1</v>
      </c>
      <c r="F127" s="3226">
        <v>15</v>
      </c>
    </row>
    <row r="128" spans="1:6" ht="13.5">
      <c r="A128" s="3226">
        <v>56</v>
      </c>
      <c r="B128" s="3594"/>
      <c r="C128" s="3226" t="s">
        <v>3145</v>
      </c>
      <c r="D128" s="3206" t="s">
        <v>3146</v>
      </c>
      <c r="E128" s="3227">
        <v>0.1</v>
      </c>
      <c r="F128" s="3226">
        <v>15</v>
      </c>
    </row>
    <row r="129" spans="1:6" ht="24">
      <c r="A129" s="3226">
        <v>57</v>
      </c>
      <c r="B129" s="3594"/>
      <c r="C129" s="3226" t="s">
        <v>3147</v>
      </c>
      <c r="D129" s="3206" t="s">
        <v>3148</v>
      </c>
      <c r="E129" s="3227">
        <v>0.1</v>
      </c>
      <c r="F129" s="3226">
        <v>15</v>
      </c>
    </row>
    <row r="130" spans="1:6" ht="24">
      <c r="A130" s="3226">
        <v>58</v>
      </c>
      <c r="B130" s="3594" t="s">
        <v>3149</v>
      </c>
      <c r="C130" s="3226" t="s">
        <v>3150</v>
      </c>
      <c r="D130" s="3206" t="s">
        <v>3151</v>
      </c>
      <c r="E130" s="3227">
        <v>0.1</v>
      </c>
      <c r="F130" s="3226">
        <v>15</v>
      </c>
    </row>
    <row r="131" spans="1:6" ht="24">
      <c r="A131" s="3226">
        <v>59</v>
      </c>
      <c r="B131" s="3594"/>
      <c r="C131" s="3226" t="s">
        <v>3152</v>
      </c>
      <c r="D131" s="3206" t="s">
        <v>3153</v>
      </c>
      <c r="E131" s="3227">
        <v>0.1</v>
      </c>
      <c r="F131" s="3226">
        <v>15</v>
      </c>
    </row>
    <row r="132" spans="1:6" ht="24">
      <c r="A132" s="3226">
        <v>60</v>
      </c>
      <c r="B132" s="3589" t="s">
        <v>3154</v>
      </c>
      <c r="C132" s="3226" t="s">
        <v>3155</v>
      </c>
      <c r="D132" s="3206" t="s">
        <v>3156</v>
      </c>
      <c r="E132" s="3227">
        <v>0.1</v>
      </c>
      <c r="F132" s="3226">
        <v>15</v>
      </c>
    </row>
    <row r="133" spans="1:6" ht="24">
      <c r="A133" s="3226">
        <v>61</v>
      </c>
      <c r="B133" s="3593"/>
      <c r="C133" s="3226" t="s">
        <v>3157</v>
      </c>
      <c r="D133" s="3206" t="s">
        <v>3158</v>
      </c>
      <c r="E133" s="3227">
        <v>0.1</v>
      </c>
      <c r="F133" s="3226">
        <v>15</v>
      </c>
    </row>
    <row r="134" spans="1:6" ht="24">
      <c r="A134" s="3226">
        <v>62</v>
      </c>
      <c r="B134" s="3226" t="s">
        <v>3159</v>
      </c>
      <c r="C134" s="3226" t="s">
        <v>3160</v>
      </c>
      <c r="D134" s="3206" t="s">
        <v>3161</v>
      </c>
      <c r="E134" s="3227">
        <v>0.1</v>
      </c>
      <c r="F134" s="3226">
        <v>15</v>
      </c>
    </row>
    <row r="135" spans="1:6" ht="24">
      <c r="A135" s="3226">
        <v>63</v>
      </c>
      <c r="B135" s="3594" t="s">
        <v>3162</v>
      </c>
      <c r="C135" s="3226" t="s">
        <v>3163</v>
      </c>
      <c r="D135" s="3206" t="s">
        <v>3164</v>
      </c>
      <c r="E135" s="3227">
        <v>0.1</v>
      </c>
      <c r="F135" s="3226">
        <v>15</v>
      </c>
    </row>
    <row r="136" spans="1:6" ht="13.5">
      <c r="A136" s="3226">
        <v>64</v>
      </c>
      <c r="B136" s="3594"/>
      <c r="C136" s="3226" t="s">
        <v>3165</v>
      </c>
      <c r="D136" s="3206" t="s">
        <v>3166</v>
      </c>
      <c r="E136" s="3227">
        <v>0.1</v>
      </c>
      <c r="F136" s="3226">
        <v>15</v>
      </c>
    </row>
    <row r="137" spans="1:6" ht="24">
      <c r="A137" s="3226">
        <v>65</v>
      </c>
      <c r="B137" s="3226" t="s">
        <v>3167</v>
      </c>
      <c r="C137" s="3226" t="s">
        <v>3168</v>
      </c>
      <c r="D137" s="3206" t="s">
        <v>3169</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1341</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29"/>
      <c r="B4" s="3272" t="s">
        <v>1350</v>
      </c>
      <c r="C4" s="3272"/>
      <c r="D4" s="3272"/>
      <c r="E4" s="1629"/>
    </row>
    <row r="5" spans="1:5" ht="16.5" thickTop="1">
      <c r="A5" s="1627"/>
      <c r="B5" s="3270" t="s">
        <v>1342</v>
      </c>
      <c r="C5" s="1630" t="s">
        <v>1343</v>
      </c>
      <c r="D5" s="940">
        <f ca="1">结果表816!H101</f>
        <v>860</v>
      </c>
      <c r="E5" s="1627"/>
    </row>
    <row r="6" spans="1:5" ht="15.75">
      <c r="A6" s="1627"/>
      <c r="B6" s="3270"/>
      <c r="C6" s="1630" t="s">
        <v>1344</v>
      </c>
      <c r="D6" s="940" t="str">
        <f ca="1">NUMBERSTRING(INT(D5*10000),2)&amp;"元整"</f>
        <v>捌佰陆拾万元整</v>
      </c>
      <c r="E6" s="1627"/>
    </row>
    <row r="7" spans="1:5" ht="15.75">
      <c r="A7" s="1627"/>
      <c r="B7" s="3275"/>
      <c r="C7" s="1631" t="s">
        <v>1345</v>
      </c>
      <c r="D7" s="941">
        <f ca="1">结果表816!H102</f>
        <v>38048</v>
      </c>
      <c r="E7" s="1627"/>
    </row>
    <row r="8" spans="1:5" ht="15.75">
      <c r="A8" s="1627"/>
      <c r="B8" s="3276" t="str">
        <f>结果表816!E103</f>
        <v>2.估价师知悉的法定优先受偿款</v>
      </c>
      <c r="C8" s="1632" t="s">
        <v>1346</v>
      </c>
      <c r="D8" s="941">
        <f>结果表816!H103</f>
        <v>0</v>
      </c>
      <c r="E8" s="1627"/>
    </row>
    <row r="9" spans="1:5" ht="15.75">
      <c r="A9" s="1627"/>
      <c r="B9" s="3278"/>
      <c r="C9" s="1630" t="s">
        <v>1344</v>
      </c>
      <c r="D9" s="940" t="str">
        <f>NUMBERSTRING(INT(D8*10000),2)&amp;"元整"</f>
        <v>零元整</v>
      </c>
      <c r="E9" s="1627"/>
    </row>
    <row r="10" spans="1:5" ht="15">
      <c r="A10" s="1627"/>
      <c r="B10" s="1633" t="s">
        <v>1349</v>
      </c>
      <c r="C10" s="1634" t="s">
        <v>1347</v>
      </c>
      <c r="D10" s="942">
        <f>结果表816!H104</f>
        <v>0</v>
      </c>
      <c r="E10" s="1627"/>
    </row>
    <row r="11" spans="1:5" ht="15">
      <c r="A11" s="1627"/>
      <c r="B11" s="1633" t="s">
        <v>1351</v>
      </c>
      <c r="C11" s="1634" t="s">
        <v>1352</v>
      </c>
      <c r="D11" s="942">
        <f>结果表816!H105</f>
        <v>0</v>
      </c>
      <c r="E11" s="1627"/>
    </row>
    <row r="12" spans="1:5" ht="15">
      <c r="A12" s="1627"/>
      <c r="B12" s="1633" t="s">
        <v>1353</v>
      </c>
      <c r="C12" s="1634" t="s">
        <v>1352</v>
      </c>
      <c r="D12" s="942">
        <f>结果表816!H106</f>
        <v>0</v>
      </c>
      <c r="E12" s="1627"/>
    </row>
    <row r="13" spans="1:5" ht="15.75">
      <c r="A13" s="1627"/>
      <c r="B13" s="3269" t="str">
        <f>结果表816!E107</f>
        <v>3.房地产抵押价值</v>
      </c>
      <c r="C13" s="1635" t="s">
        <v>1343</v>
      </c>
      <c r="D13" s="943">
        <f ca="1">结果表816!H107</f>
        <v>860</v>
      </c>
      <c r="E13" s="1627"/>
    </row>
    <row r="14" spans="1:5" ht="15.75">
      <c r="A14" s="1627"/>
      <c r="B14" s="3270"/>
      <c r="C14" s="1630" t="s">
        <v>1344</v>
      </c>
      <c r="D14" s="940" t="str">
        <f ca="1">NUMBERSTRING(INT(D13*10000),2)&amp;"元整"</f>
        <v>捌佰陆拾万元整</v>
      </c>
      <c r="E14" s="1627"/>
    </row>
    <row r="15" spans="1:5" ht="15">
      <c r="A15" s="1627"/>
      <c r="B15" s="3275"/>
      <c r="C15" s="1631" t="s">
        <v>1354</v>
      </c>
      <c r="D15" s="949">
        <f ca="1">结果表816!H108</f>
        <v>23002</v>
      </c>
      <c r="E15" s="1627"/>
    </row>
    <row r="16" spans="1:5" ht="15">
      <c r="A16" s="1627"/>
      <c r="B16" s="3276" t="str">
        <f>结果表816!E109</f>
        <v>——</v>
      </c>
      <c r="C16" s="1635" t="s">
        <v>1355</v>
      </c>
      <c r="D16" s="1636" t="str">
        <f>结果表816!H109</f>
        <v>——</v>
      </c>
      <c r="E16" s="1627"/>
    </row>
    <row r="17" spans="1:5" ht="15.75">
      <c r="A17" s="1627"/>
      <c r="B17" s="3277"/>
      <c r="C17" s="1630" t="s">
        <v>1356</v>
      </c>
      <c r="D17" s="940" t="e">
        <f>NUMBERSTRING(INT(D16*10000),2)&amp;"元整"</f>
        <v>#VALUE!</v>
      </c>
      <c r="E17" s="1627"/>
    </row>
    <row r="18" spans="1:5" ht="15">
      <c r="A18" s="1627"/>
      <c r="B18" s="3278"/>
      <c r="C18" s="1631" t="s">
        <v>1345</v>
      </c>
      <c r="D18" s="949" t="str">
        <f>结果表816!H110</f>
        <v>——</v>
      </c>
      <c r="E18" s="1627"/>
    </row>
    <row r="19" spans="1:5" ht="15.75">
      <c r="A19" s="1627"/>
      <c r="B19" s="3269" t="str">
        <f>结果表816!E111</f>
        <v>——</v>
      </c>
      <c r="C19" s="1635" t="s">
        <v>1343</v>
      </c>
      <c r="D19" s="941" t="str">
        <f>结果表816!H111</f>
        <v>——</v>
      </c>
      <c r="E19" s="1627"/>
    </row>
    <row r="20" spans="1:5" ht="15.75">
      <c r="A20" s="1627"/>
      <c r="B20" s="3270"/>
      <c r="C20" s="1630" t="s">
        <v>1356</v>
      </c>
      <c r="D20" s="940" t="e">
        <f>NUMBERSTRING(INT(D19*10000),2)&amp;"元整"</f>
        <v>#VALUE!</v>
      </c>
      <c r="E20" s="1627"/>
    </row>
    <row r="21" spans="1:5" ht="15.75" thickBot="1">
      <c r="A21" s="1627"/>
      <c r="B21" s="3271"/>
      <c r="C21" s="1637" t="s">
        <v>1354</v>
      </c>
      <c r="D21" s="950" t="str">
        <f>结果表816!H112</f>
        <v>——</v>
      </c>
      <c r="E21" s="1627"/>
    </row>
    <row r="22" spans="1:5" ht="15" thickTop="1">
      <c r="A22" s="1627"/>
      <c r="B22" s="1638" t="s">
        <v>1357</v>
      </c>
      <c r="C22" s="1627"/>
      <c r="D22" s="1627"/>
      <c r="E22" s="1627"/>
    </row>
    <row r="23" spans="1:5">
      <c r="A23" s="1627"/>
      <c r="B23" s="1627"/>
      <c r="C23" s="1627"/>
      <c r="D23" s="1627"/>
      <c r="E23" s="1627"/>
    </row>
    <row r="24" spans="1:5" ht="18.75">
      <c r="A24" s="1639"/>
      <c r="B24" s="1640" t="s">
        <v>1348</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2576</v>
      </c>
      <c r="B1" s="2314"/>
      <c r="C1" s="2314"/>
      <c r="D1" s="2314"/>
      <c r="E1" s="2314"/>
      <c r="F1" s="2974"/>
      <c r="G1" s="2974"/>
      <c r="H1" s="2974"/>
      <c r="I1" s="2974"/>
      <c r="J1" s="2974"/>
      <c r="K1" s="2974"/>
      <c r="L1" s="2974"/>
      <c r="M1" s="2974"/>
      <c r="N1" s="2974"/>
      <c r="O1" s="2974"/>
      <c r="P1" s="2974"/>
    </row>
    <row r="2" spans="1:16" ht="15.75">
      <c r="A2" s="2312" t="s">
        <v>2568</v>
      </c>
      <c r="B2" s="2778" t="e">
        <f ca="1">SUMIF(B6:B13,"&lt;&gt;#ref!",B6:B13)</f>
        <v>#DIV/0!</v>
      </c>
      <c r="C2" s="2312" t="s">
        <v>2569</v>
      </c>
      <c r="D2" s="2312" t="s">
        <v>2570</v>
      </c>
      <c r="E2" s="2788">
        <f ca="1">SUMIF(E6:E13,"&lt;&gt;#ref!",E6:E13)</f>
        <v>0</v>
      </c>
      <c r="F2" s="2974"/>
      <c r="G2" s="2974"/>
      <c r="H2" s="2974"/>
      <c r="I2" s="2974"/>
      <c r="J2" s="2974"/>
      <c r="K2" s="2974"/>
      <c r="L2" s="2974"/>
      <c r="M2" s="2974"/>
      <c r="N2" s="2974"/>
      <c r="O2" s="2974"/>
      <c r="P2" s="2974"/>
    </row>
    <row r="3" spans="1:16" ht="15.75">
      <c r="A3" s="2312" t="s">
        <v>2571</v>
      </c>
      <c r="B3" s="2778" t="e">
        <f ca="1">ROUND(B2*10000/E2,0)</f>
        <v>#DIV/0!</v>
      </c>
      <c r="C3" s="2312" t="s">
        <v>2577</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2572</v>
      </c>
      <c r="B5" s="2786" t="s">
        <v>2573</v>
      </c>
      <c r="C5" s="2313"/>
      <c r="D5" s="2974"/>
      <c r="E5" s="2787" t="s">
        <v>2574</v>
      </c>
      <c r="F5" s="2974"/>
      <c r="G5" s="2974"/>
      <c r="H5" s="2974"/>
      <c r="I5" s="2974"/>
      <c r="J5" s="2974"/>
      <c r="K5" s="2974"/>
      <c r="L5" s="2974"/>
      <c r="M5" s="2974"/>
      <c r="N5" s="2974"/>
      <c r="O5" s="2974"/>
      <c r="P5" s="2974"/>
    </row>
    <row r="6" spans="1:16" ht="15.75">
      <c r="A6" s="2785" t="s">
        <v>2575</v>
      </c>
      <c r="B6" s="2778" t="e">
        <f ca="1">SUMIF(INDIRECT("'"&amp;A6&amp;"'"&amp;"!A:A"),"总价",INDIRECT("'"&amp;A6&amp;"'"&amp;"!B:B"))</f>
        <v>#DIV/0!</v>
      </c>
      <c r="C6" s="2312" t="s">
        <v>2569</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2569</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2569</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2569</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2569</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2569</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2569</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2569</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0" t="s">
        <v>876</v>
      </c>
      <c r="C1" s="3600"/>
      <c r="D1" s="3600"/>
      <c r="E1" s="3600"/>
      <c r="F1" s="3600"/>
      <c r="G1" s="3596" t="s">
        <v>877</v>
      </c>
      <c r="H1" s="3596"/>
      <c r="I1" s="3596"/>
      <c r="J1" s="3596"/>
      <c r="K1" s="3596"/>
      <c r="L1" s="3596"/>
      <c r="N1" s="3596" t="s">
        <v>878</v>
      </c>
      <c r="O1" s="3596"/>
      <c r="P1" s="3596"/>
      <c r="Q1" s="3596"/>
      <c r="S1" s="3596" t="s">
        <v>879</v>
      </c>
      <c r="T1" s="3596"/>
      <c r="U1" s="3596"/>
      <c r="V1" s="3596"/>
      <c r="X1" s="3595" t="s">
        <v>880</v>
      </c>
      <c r="Y1" s="3596"/>
      <c r="Z1" s="3596"/>
      <c r="AA1" s="3596"/>
      <c r="AB1" s="3596"/>
      <c r="AD1" s="3595" t="s">
        <v>881</v>
      </c>
      <c r="AE1" s="3596"/>
      <c r="AF1" s="3596"/>
      <c r="AG1" s="3596"/>
      <c r="AH1" s="3596"/>
    </row>
    <row r="2" spans="1:34" s="2341" customFormat="1" ht="14.25" thickBot="1">
      <c r="B2" s="2342" t="s">
        <v>882</v>
      </c>
      <c r="C2" s="2342" t="s">
        <v>883</v>
      </c>
      <c r="D2" s="2343" t="s">
        <v>884</v>
      </c>
      <c r="E2" s="2343" t="s">
        <v>885</v>
      </c>
      <c r="F2" s="2342" t="s">
        <v>886</v>
      </c>
      <c r="G2" s="2344"/>
      <c r="I2" s="2342" t="s">
        <v>882</v>
      </c>
      <c r="J2" s="2343" t="s">
        <v>1105</v>
      </c>
      <c r="K2" s="2343" t="s">
        <v>572</v>
      </c>
      <c r="L2" s="2342" t="s">
        <v>886</v>
      </c>
      <c r="N2" s="2342" t="s">
        <v>882</v>
      </c>
      <c r="O2" s="2343" t="s">
        <v>1105</v>
      </c>
      <c r="P2" s="2343" t="s">
        <v>572</v>
      </c>
      <c r="Q2" s="2342" t="s">
        <v>886</v>
      </c>
      <c r="S2" s="2342" t="s">
        <v>882</v>
      </c>
      <c r="T2" s="2343" t="s">
        <v>1105</v>
      </c>
      <c r="U2" s="2343" t="s">
        <v>572</v>
      </c>
      <c r="V2" s="2342" t="s">
        <v>886</v>
      </c>
      <c r="X2" s="2342" t="s">
        <v>882</v>
      </c>
      <c r="Y2" s="2342" t="s">
        <v>883</v>
      </c>
      <c r="Z2" s="2343" t="s">
        <v>884</v>
      </c>
      <c r="AA2" s="2343" t="s">
        <v>885</v>
      </c>
      <c r="AB2" s="2342" t="s">
        <v>886</v>
      </c>
      <c r="AD2" s="2342" t="s">
        <v>882</v>
      </c>
      <c r="AE2" s="2342" t="s">
        <v>883</v>
      </c>
      <c r="AF2" s="2343" t="s">
        <v>884</v>
      </c>
      <c r="AG2" s="2343" t="s">
        <v>885</v>
      </c>
      <c r="AH2" s="2342" t="s">
        <v>886</v>
      </c>
    </row>
    <row r="3" spans="1:34" s="2351" customFormat="1" ht="14.25">
      <c r="A3" s="2345" t="s">
        <v>2609</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2610</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2626</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2624</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2623</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2622</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2620</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2618</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2621</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2616</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2615</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2608</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2606</v>
      </c>
      <c r="B22" s="2389">
        <v>439</v>
      </c>
      <c r="C22" s="2389">
        <v>327</v>
      </c>
      <c r="D22" s="2389">
        <f>C22</f>
        <v>327</v>
      </c>
      <c r="E22" s="2389">
        <v>627</v>
      </c>
      <c r="F22" s="2390">
        <v>283</v>
      </c>
      <c r="G22" s="360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2607</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1106</v>
      </c>
      <c r="B24" s="2375">
        <f t="shared" si="199"/>
        <v>419.31181600000002</v>
      </c>
      <c r="C24" s="2375">
        <f t="shared" si="200"/>
        <v>313.95436800000004</v>
      </c>
      <c r="D24" s="2375">
        <f t="shared" si="201"/>
        <v>313.95436800000004</v>
      </c>
      <c r="E24" s="2375">
        <f t="shared" si="202"/>
        <v>596.63028431999999</v>
      </c>
      <c r="F24" s="2375">
        <f t="shared" si="203"/>
        <v>274.74220703999998</v>
      </c>
      <c r="G24" s="359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887</v>
      </c>
      <c r="B25" s="2375">
        <f>B26*(1+N25)</f>
        <v>405.524</v>
      </c>
      <c r="C25" s="2375">
        <f>C26*(1+O25)</f>
        <v>307.79840000000002</v>
      </c>
      <c r="D25" s="2375">
        <f>C25</f>
        <v>307.79840000000002</v>
      </c>
      <c r="E25" s="2375">
        <f>E26*(1+P25)</f>
        <v>574.67759999999998</v>
      </c>
      <c r="F25" s="2375">
        <f>F26*(1+Q25)</f>
        <v>270.20280000000002</v>
      </c>
      <c r="G25" s="360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888</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889</v>
      </c>
      <c r="B38" s="2389">
        <v>299</v>
      </c>
      <c r="C38" s="2389">
        <v>252</v>
      </c>
      <c r="D38" s="2389">
        <f t="shared" si="213"/>
        <v>252</v>
      </c>
      <c r="E38" s="2389">
        <v>409</v>
      </c>
      <c r="F38" s="2390">
        <v>227</v>
      </c>
      <c r="G38" s="360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890</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891</v>
      </c>
      <c r="B40" s="2375">
        <f t="shared" si="222"/>
        <v>288.2649053828776</v>
      </c>
      <c r="C40" s="2375">
        <f t="shared" si="222"/>
        <v>243.64564425013293</v>
      </c>
      <c r="D40" s="2375">
        <f t="shared" si="213"/>
        <v>243.64564425013293</v>
      </c>
      <c r="E40" s="2375">
        <f t="shared" si="223"/>
        <v>393.31080825986544</v>
      </c>
      <c r="F40" s="2375">
        <f t="shared" si="223"/>
        <v>223.07903790551154</v>
      </c>
      <c r="G40" s="360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892</v>
      </c>
      <c r="B41" s="2375">
        <f t="shared" si="222"/>
        <v>282.50186729015837</v>
      </c>
      <c r="C41" s="2375">
        <f t="shared" si="222"/>
        <v>238.09796174155468</v>
      </c>
      <c r="D41" s="2375">
        <f t="shared" si="213"/>
        <v>238.09796174155468</v>
      </c>
      <c r="E41" s="2375">
        <f t="shared" si="223"/>
        <v>385.33438646014054</v>
      </c>
      <c r="F41" s="2375">
        <f t="shared" si="223"/>
        <v>221.55034055567739</v>
      </c>
      <c r="G41" s="360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893</v>
      </c>
      <c r="B42" s="2424">
        <v>278</v>
      </c>
      <c r="C42" s="2424">
        <v>234</v>
      </c>
      <c r="D42" s="2424">
        <f t="shared" si="213"/>
        <v>234</v>
      </c>
      <c r="E42" s="2424">
        <v>379</v>
      </c>
      <c r="F42" s="2425">
        <v>220</v>
      </c>
      <c r="G42" s="359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894</v>
      </c>
      <c r="B43" s="2375">
        <f>B42/(1+N42)</f>
        <v>275.49301357645425</v>
      </c>
      <c r="C43" s="2375">
        <f>C42/(1+O42)</f>
        <v>232.41954707985698</v>
      </c>
      <c r="D43" s="2375">
        <f t="shared" si="213"/>
        <v>232.41954707985698</v>
      </c>
      <c r="E43" s="2375">
        <f t="shared" ref="E43:F45" si="224">E42/(1+P42)</f>
        <v>375.32184591008121</v>
      </c>
      <c r="F43" s="2375">
        <f t="shared" si="224"/>
        <v>218.03766105054513</v>
      </c>
      <c r="G43" s="359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895</v>
      </c>
      <c r="B44" s="2375">
        <f>B43/(1+N43)</f>
        <v>275.24529281292263</v>
      </c>
      <c r="C44" s="2375">
        <f>C43/(1+O43)</f>
        <v>231.74747938962707</v>
      </c>
      <c r="D44" s="2375">
        <f t="shared" si="213"/>
        <v>231.74747938962707</v>
      </c>
      <c r="E44" s="2375">
        <f t="shared" si="224"/>
        <v>375.35938184826603</v>
      </c>
      <c r="F44" s="2375">
        <f t="shared" si="224"/>
        <v>216.78033510692495</v>
      </c>
      <c r="G44" s="359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896</v>
      </c>
      <c r="B45" s="2375">
        <f>B44/(1+N44)</f>
        <v>275.19025476197027</v>
      </c>
      <c r="C45" s="2426">
        <v>232</v>
      </c>
      <c r="D45" s="2426">
        <f t="shared" si="213"/>
        <v>232</v>
      </c>
      <c r="E45" s="2375">
        <f t="shared" si="224"/>
        <v>375.65990977608692</v>
      </c>
      <c r="F45" s="2375">
        <f t="shared" si="224"/>
        <v>214.12518283971252</v>
      </c>
      <c r="G45" s="359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897</v>
      </c>
      <c r="B46" s="2389">
        <v>275</v>
      </c>
      <c r="C46" s="2389">
        <v>232</v>
      </c>
      <c r="D46" s="2389">
        <f t="shared" si="213"/>
        <v>232</v>
      </c>
      <c r="E46" s="2389">
        <v>376</v>
      </c>
      <c r="F46" s="2390">
        <v>213</v>
      </c>
      <c r="G46" s="359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898</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899</v>
      </c>
      <c r="B48" s="2375">
        <f t="shared" si="225"/>
        <v>275.19335084830601</v>
      </c>
      <c r="C48" s="2375">
        <f t="shared" si="225"/>
        <v>230.18088050139744</v>
      </c>
      <c r="D48" s="2375">
        <f t="shared" si="213"/>
        <v>230.18088050139744</v>
      </c>
      <c r="E48" s="2375">
        <f t="shared" si="226"/>
        <v>377.58482925212331</v>
      </c>
      <c r="F48" s="2375">
        <f t="shared" si="226"/>
        <v>210.90687997847917</v>
      </c>
      <c r="G48" s="359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900</v>
      </c>
      <c r="B49" s="2375">
        <f t="shared" si="225"/>
        <v>276.29854502841971</v>
      </c>
      <c r="C49" s="2375">
        <f t="shared" si="225"/>
        <v>229.79023709833027</v>
      </c>
      <c r="D49" s="2375">
        <f t="shared" si="213"/>
        <v>229.79023709833027</v>
      </c>
      <c r="E49" s="2375">
        <f t="shared" si="226"/>
        <v>379.78759731655936</v>
      </c>
      <c r="F49" s="2375">
        <f t="shared" si="226"/>
        <v>211.32953905659235</v>
      </c>
      <c r="G49" s="359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901</v>
      </c>
      <c r="B50" s="2389">
        <v>269</v>
      </c>
      <c r="C50" s="2389">
        <v>221</v>
      </c>
      <c r="D50" s="2389">
        <f t="shared" si="213"/>
        <v>221</v>
      </c>
      <c r="E50" s="2389">
        <v>373</v>
      </c>
      <c r="F50" s="2390">
        <v>196</v>
      </c>
      <c r="G50" s="359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902</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903</v>
      </c>
      <c r="B52" s="2375">
        <f t="shared" si="227"/>
        <v>242.95398227588385</v>
      </c>
      <c r="C52" s="2375">
        <f t="shared" si="227"/>
        <v>199.59137053614126</v>
      </c>
      <c r="D52" s="2375">
        <f t="shared" si="213"/>
        <v>199.59137053614126</v>
      </c>
      <c r="E52" s="2375">
        <f t="shared" si="228"/>
        <v>335.92189522342125</v>
      </c>
      <c r="F52" s="2375">
        <f t="shared" si="228"/>
        <v>183.10139991109489</v>
      </c>
      <c r="G52" s="359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904</v>
      </c>
      <c r="B53" s="2375">
        <f t="shared" si="227"/>
        <v>232.06990378821649</v>
      </c>
      <c r="C53" s="2375">
        <f t="shared" si="227"/>
        <v>192.74878854286936</v>
      </c>
      <c r="D53" s="2375">
        <f t="shared" si="213"/>
        <v>192.74878854286936</v>
      </c>
      <c r="E53" s="2375">
        <f t="shared" si="228"/>
        <v>319.71247284992984</v>
      </c>
      <c r="F53" s="2375">
        <f t="shared" si="228"/>
        <v>175.67053622862409</v>
      </c>
      <c r="G53" s="359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905</v>
      </c>
      <c r="B54" s="2389">
        <v>220</v>
      </c>
      <c r="C54" s="2389">
        <v>187</v>
      </c>
      <c r="D54" s="2389">
        <f t="shared" si="213"/>
        <v>187</v>
      </c>
      <c r="E54" s="2389">
        <v>301</v>
      </c>
      <c r="F54" s="2390">
        <v>168</v>
      </c>
      <c r="G54" s="359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906</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907</v>
      </c>
      <c r="B56" s="2375">
        <f t="shared" si="229"/>
        <v>210.630522469011</v>
      </c>
      <c r="C56" s="2375">
        <f t="shared" si="229"/>
        <v>181.69567812247232</v>
      </c>
      <c r="D56" s="2375">
        <f t="shared" si="213"/>
        <v>181.69567812247232</v>
      </c>
      <c r="E56" s="2375">
        <f t="shared" si="230"/>
        <v>286.13517466736738</v>
      </c>
      <c r="F56" s="2375">
        <f t="shared" si="230"/>
        <v>165.47535084591149</v>
      </c>
      <c r="G56" s="359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908</v>
      </c>
      <c r="B57" s="2375">
        <f t="shared" si="229"/>
        <v>208.83454537875372</v>
      </c>
      <c r="C57" s="2375">
        <f t="shared" si="229"/>
        <v>183.77230517090351</v>
      </c>
      <c r="D57" s="2375">
        <f t="shared" si="213"/>
        <v>183.77230517090351</v>
      </c>
      <c r="E57" s="2375">
        <f t="shared" si="230"/>
        <v>281.10342338870947</v>
      </c>
      <c r="F57" s="2375">
        <f t="shared" si="230"/>
        <v>168.97309388942256</v>
      </c>
      <c r="G57" s="359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909</v>
      </c>
      <c r="B58" s="2424">
        <v>214</v>
      </c>
      <c r="C58" s="2424">
        <v>188</v>
      </c>
      <c r="D58" s="2424">
        <f t="shared" si="213"/>
        <v>188</v>
      </c>
      <c r="E58" s="2424">
        <v>289</v>
      </c>
      <c r="F58" s="2425">
        <v>166</v>
      </c>
      <c r="G58" s="359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910</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911</v>
      </c>
      <c r="B60" s="2375">
        <f t="shared" si="231"/>
        <v>206.31694671589116</v>
      </c>
      <c r="C60" s="2375">
        <f t="shared" si="231"/>
        <v>183.61041121036101</v>
      </c>
      <c r="D60" s="2375">
        <f t="shared" si="213"/>
        <v>183.61041121036101</v>
      </c>
      <c r="E60" s="2375">
        <f t="shared" si="232"/>
        <v>276.66850301795557</v>
      </c>
      <c r="F60" s="2375">
        <f t="shared" si="232"/>
        <v>165.1360938278614</v>
      </c>
      <c r="G60" s="359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912</v>
      </c>
      <c r="B61" s="2427">
        <f t="shared" si="231"/>
        <v>196.62341248059772</v>
      </c>
      <c r="C61" s="2427">
        <f t="shared" si="231"/>
        <v>170.99125648199012</v>
      </c>
      <c r="D61" s="2427">
        <f t="shared" si="213"/>
        <v>170.99125648199012</v>
      </c>
      <c r="E61" s="2427">
        <f t="shared" si="232"/>
        <v>266.07857570490052</v>
      </c>
      <c r="F61" s="2427">
        <f t="shared" si="232"/>
        <v>154.53499328828505</v>
      </c>
      <c r="G61" s="359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913</v>
      </c>
      <c r="B62" s="2389">
        <v>188</v>
      </c>
      <c r="C62" s="2389">
        <v>165</v>
      </c>
      <c r="D62" s="2389">
        <f t="shared" si="213"/>
        <v>165</v>
      </c>
      <c r="E62" s="2389">
        <v>254</v>
      </c>
      <c r="F62" s="2390">
        <v>148</v>
      </c>
      <c r="G62" s="359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914</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915</v>
      </c>
      <c r="B64" s="2375">
        <f t="shared" si="235"/>
        <v>168.82017748715555</v>
      </c>
      <c r="C64" s="2375">
        <f t="shared" si="235"/>
        <v>148.06267029972753</v>
      </c>
      <c r="D64" s="2375">
        <f t="shared" si="213"/>
        <v>148.06267029972753</v>
      </c>
      <c r="E64" s="2375">
        <f t="shared" si="236"/>
        <v>216.46288379323747</v>
      </c>
      <c r="F64" s="2375">
        <f t="shared" si="236"/>
        <v>134.23529411764704</v>
      </c>
      <c r="G64" s="359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916</v>
      </c>
      <c r="B65" s="2375">
        <f t="shared" si="235"/>
        <v>163.84913591779542</v>
      </c>
      <c r="C65" s="2375">
        <f t="shared" si="235"/>
        <v>145.0283378746594</v>
      </c>
      <c r="D65" s="2375">
        <f t="shared" si="213"/>
        <v>145.0283378746594</v>
      </c>
      <c r="E65" s="2375">
        <f t="shared" si="236"/>
        <v>204.95180722891567</v>
      </c>
      <c r="F65" s="2375">
        <f t="shared" si="236"/>
        <v>125.95920303605313</v>
      </c>
      <c r="G65" s="359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917</v>
      </c>
      <c r="B66" s="2403">
        <v>159</v>
      </c>
      <c r="C66" s="2403">
        <v>141</v>
      </c>
      <c r="D66" s="2403">
        <f t="shared" si="213"/>
        <v>141</v>
      </c>
      <c r="E66" s="2403">
        <v>195</v>
      </c>
      <c r="F66" s="2404">
        <v>122</v>
      </c>
      <c r="G66" s="359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918</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919</v>
      </c>
      <c r="B68" s="2375">
        <f t="shared" si="239"/>
        <v>146.57412060301507</v>
      </c>
      <c r="C68" s="2375">
        <f t="shared" si="239"/>
        <v>136.46831955922866</v>
      </c>
      <c r="D68" s="2375">
        <f t="shared" si="213"/>
        <v>136.46831955922866</v>
      </c>
      <c r="E68" s="2375">
        <f t="shared" si="240"/>
        <v>166.73864894795128</v>
      </c>
      <c r="F68" s="2375">
        <f t="shared" si="240"/>
        <v>115.05882352941177</v>
      </c>
      <c r="G68" s="359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920</v>
      </c>
      <c r="B69" s="2375">
        <f t="shared" si="239"/>
        <v>144.04145728643215</v>
      </c>
      <c r="C69" s="2375">
        <f t="shared" si="239"/>
        <v>136.12396694214877</v>
      </c>
      <c r="D69" s="2375">
        <f t="shared" si="213"/>
        <v>136.12396694214877</v>
      </c>
      <c r="E69" s="2375">
        <f t="shared" si="240"/>
        <v>158.32225913621264</v>
      </c>
      <c r="F69" s="2375">
        <f t="shared" si="240"/>
        <v>114.04278074866311</v>
      </c>
      <c r="G69" s="359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921</v>
      </c>
      <c r="B70" s="2403">
        <v>138</v>
      </c>
      <c r="C70" s="2403">
        <v>131</v>
      </c>
      <c r="D70" s="2403">
        <f t="shared" si="213"/>
        <v>131</v>
      </c>
      <c r="E70" s="2403">
        <v>155</v>
      </c>
      <c r="F70" s="2404">
        <v>114</v>
      </c>
      <c r="G70" s="359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922</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923</v>
      </c>
      <c r="B72" s="2375">
        <f t="shared" si="243"/>
        <v>124.29032258064517</v>
      </c>
      <c r="C72" s="2375">
        <f t="shared" si="243"/>
        <v>123.8968609865471</v>
      </c>
      <c r="D72" s="2375">
        <f t="shared" si="213"/>
        <v>123.8968609865471</v>
      </c>
      <c r="E72" s="2375">
        <f t="shared" si="244"/>
        <v>138.00507614213197</v>
      </c>
      <c r="F72" s="2375">
        <f t="shared" si="244"/>
        <v>107.96106557377048</v>
      </c>
      <c r="G72" s="359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924</v>
      </c>
      <c r="B73" s="2375">
        <f t="shared" si="243"/>
        <v>122.57204301075269</v>
      </c>
      <c r="C73" s="2375">
        <f t="shared" si="243"/>
        <v>123.4932735426009</v>
      </c>
      <c r="D73" s="2375">
        <f t="shared" si="213"/>
        <v>123.4932735426009</v>
      </c>
      <c r="E73" s="2375">
        <f t="shared" si="244"/>
        <v>129.82233502538071</v>
      </c>
      <c r="F73" s="2375">
        <f t="shared" si="244"/>
        <v>107.39446721311475</v>
      </c>
      <c r="G73" s="359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925</v>
      </c>
      <c r="B74" s="2424">
        <v>121</v>
      </c>
      <c r="C74" s="2424">
        <v>122</v>
      </c>
      <c r="D74" s="2424">
        <f t="shared" si="213"/>
        <v>122</v>
      </c>
      <c r="E74" s="2424">
        <v>124</v>
      </c>
      <c r="F74" s="2425">
        <v>107</v>
      </c>
      <c r="G74" s="359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926</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927</v>
      </c>
      <c r="B76" s="2375">
        <f t="shared" si="247"/>
        <v>116.99099099099099</v>
      </c>
      <c r="C76" s="2375">
        <f t="shared" si="247"/>
        <v>118.84848484848486</v>
      </c>
      <c r="D76" s="2375">
        <f t="shared" si="213"/>
        <v>118.84848484848486</v>
      </c>
      <c r="E76" s="2375">
        <f t="shared" si="248"/>
        <v>117.60960960960961</v>
      </c>
      <c r="F76" s="2375">
        <f t="shared" si="248"/>
        <v>104</v>
      </c>
      <c r="G76" s="359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928</v>
      </c>
      <c r="B77" s="2427">
        <f t="shared" si="247"/>
        <v>112.48648648648648</v>
      </c>
      <c r="C77" s="2427">
        <f t="shared" si="247"/>
        <v>115.21212121212122</v>
      </c>
      <c r="D77" s="2427">
        <f t="shared" si="213"/>
        <v>115.21212121212122</v>
      </c>
      <c r="E77" s="2427">
        <f t="shared" si="248"/>
        <v>110.4024024024024</v>
      </c>
      <c r="F77" s="2427">
        <f t="shared" si="248"/>
        <v>104</v>
      </c>
      <c r="G77" s="359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929</v>
      </c>
      <c r="B78" s="2444">
        <v>111</v>
      </c>
      <c r="C78" s="2444">
        <v>114</v>
      </c>
      <c r="D78" s="2444">
        <f t="shared" si="213"/>
        <v>114</v>
      </c>
      <c r="E78" s="2444">
        <v>108</v>
      </c>
      <c r="F78" s="2445">
        <v>104</v>
      </c>
      <c r="G78" s="3597">
        <v>2003</v>
      </c>
      <c r="H78" s="2434">
        <v>4</v>
      </c>
      <c r="I78" s="2446"/>
      <c r="J78" s="2446"/>
      <c r="K78" s="2446"/>
      <c r="L78" s="2446"/>
      <c r="N78" s="2447"/>
      <c r="O78" s="2446"/>
      <c r="P78" s="2446"/>
      <c r="Q78" s="2446"/>
      <c r="S78" s="2447"/>
      <c r="T78" s="2446"/>
      <c r="U78" s="2446"/>
      <c r="V78" s="2446"/>
      <c r="X78" s="2438"/>
      <c r="Y78" s="2438"/>
      <c r="Z78" s="2438"/>
    </row>
    <row r="79" spans="1:26">
      <c r="A79" s="2374" t="s">
        <v>930</v>
      </c>
      <c r="B79" s="2448">
        <f t="shared" ref="B79:C81" si="249">B80+(B$78-B$82)/4</f>
        <v>109.75</v>
      </c>
      <c r="C79" s="2448">
        <f t="shared" si="249"/>
        <v>112.25</v>
      </c>
      <c r="D79" s="2448">
        <f t="shared" si="213"/>
        <v>112.25</v>
      </c>
      <c r="E79" s="2448">
        <f t="shared" ref="E79:F81" si="250">E80+(E$78-E$82)/4</f>
        <v>107.25</v>
      </c>
      <c r="F79" s="2448">
        <f t="shared" si="250"/>
        <v>103.5</v>
      </c>
      <c r="G79" s="3598">
        <v>2003</v>
      </c>
      <c r="H79" s="2400">
        <v>3</v>
      </c>
      <c r="I79" s="2446"/>
      <c r="J79" s="2446"/>
      <c r="K79" s="2446"/>
      <c r="L79" s="2446"/>
      <c r="X79" s="2438"/>
      <c r="Y79" s="2438"/>
      <c r="Z79" s="2438"/>
    </row>
    <row r="80" spans="1:26">
      <c r="A80" s="2374" t="s">
        <v>931</v>
      </c>
      <c r="B80" s="2448">
        <f t="shared" si="249"/>
        <v>108.5</v>
      </c>
      <c r="C80" s="2448">
        <f t="shared" si="249"/>
        <v>110.5</v>
      </c>
      <c r="D80" s="2448">
        <f t="shared" si="213"/>
        <v>110.5</v>
      </c>
      <c r="E80" s="2448">
        <f t="shared" si="250"/>
        <v>106.5</v>
      </c>
      <c r="F80" s="2448">
        <f t="shared" si="250"/>
        <v>103</v>
      </c>
      <c r="G80" s="3598">
        <v>2003</v>
      </c>
      <c r="H80" s="2387">
        <v>2</v>
      </c>
      <c r="I80" s="2446"/>
      <c r="J80" s="2446"/>
      <c r="K80" s="2446"/>
      <c r="L80" s="2446"/>
      <c r="X80" s="2438"/>
      <c r="Y80" s="2438"/>
      <c r="Z80" s="2438"/>
    </row>
    <row r="81" spans="1:26" ht="13.5" thickBot="1">
      <c r="A81" s="2374" t="s">
        <v>932</v>
      </c>
      <c r="B81" s="2448">
        <f t="shared" si="249"/>
        <v>107.25</v>
      </c>
      <c r="C81" s="2448">
        <f t="shared" si="249"/>
        <v>108.75</v>
      </c>
      <c r="D81" s="2448">
        <f t="shared" si="213"/>
        <v>108.75</v>
      </c>
      <c r="E81" s="2448">
        <f t="shared" si="250"/>
        <v>105.75</v>
      </c>
      <c r="F81" s="2448">
        <f t="shared" si="250"/>
        <v>102.5</v>
      </c>
      <c r="G81" s="3599">
        <v>2003</v>
      </c>
      <c r="H81" s="2449">
        <v>1</v>
      </c>
      <c r="I81" s="2446"/>
      <c r="J81" s="2446"/>
      <c r="K81" s="2446"/>
      <c r="L81" s="2446"/>
      <c r="S81" s="2377"/>
      <c r="T81" s="2362"/>
      <c r="U81" s="2362"/>
      <c r="X81" s="2438"/>
      <c r="Y81" s="2438"/>
      <c r="Z81" s="2438"/>
    </row>
    <row r="82" spans="1:26" ht="13.5" thickBot="1">
      <c r="A82" s="2374" t="s">
        <v>933</v>
      </c>
      <c r="B82" s="2450">
        <v>106</v>
      </c>
      <c r="C82" s="2450">
        <v>107</v>
      </c>
      <c r="D82" s="2450">
        <f t="shared" si="213"/>
        <v>107</v>
      </c>
      <c r="E82" s="2450">
        <v>105</v>
      </c>
      <c r="F82" s="2451">
        <v>102</v>
      </c>
      <c r="G82" s="3597">
        <v>2002</v>
      </c>
      <c r="H82" s="2395">
        <v>4</v>
      </c>
      <c r="I82" s="2446"/>
      <c r="J82" s="2446"/>
      <c r="K82" s="2446"/>
      <c r="L82" s="2446"/>
      <c r="N82" s="2447"/>
      <c r="O82" s="2446"/>
      <c r="P82" s="2446"/>
      <c r="Q82" s="2446"/>
      <c r="S82" s="2447"/>
      <c r="T82" s="2446"/>
      <c r="U82" s="2446"/>
      <c r="V82" s="2446"/>
      <c r="X82" s="2438"/>
      <c r="Y82" s="2438"/>
      <c r="Z82" s="2438"/>
    </row>
    <row r="83" spans="1:26">
      <c r="A83" s="2374" t="s">
        <v>934</v>
      </c>
      <c r="B83" s="2448">
        <f t="shared" ref="B83:C85" si="251">B84+(B$82-B$86)/4</f>
        <v>105</v>
      </c>
      <c r="C83" s="2448">
        <f t="shared" si="251"/>
        <v>106</v>
      </c>
      <c r="D83" s="2448">
        <f t="shared" si="213"/>
        <v>106</v>
      </c>
      <c r="E83" s="2448">
        <f t="shared" ref="E83:F85" si="252">E84+(E$82-E$86)/4</f>
        <v>104.5</v>
      </c>
      <c r="F83" s="2448">
        <f t="shared" si="252"/>
        <v>101.5</v>
      </c>
      <c r="G83" s="3598">
        <v>2002</v>
      </c>
      <c r="H83" s="2400">
        <v>3</v>
      </c>
      <c r="I83" s="2446"/>
      <c r="J83" s="2446"/>
      <c r="K83" s="2446"/>
      <c r="L83" s="2446"/>
      <c r="X83" s="2438"/>
      <c r="Y83" s="2438"/>
      <c r="Z83" s="2438"/>
    </row>
    <row r="84" spans="1:26">
      <c r="A84" s="2374" t="s">
        <v>935</v>
      </c>
      <c r="B84" s="2448">
        <f t="shared" si="251"/>
        <v>104</v>
      </c>
      <c r="C84" s="2448">
        <f t="shared" si="251"/>
        <v>105</v>
      </c>
      <c r="D84" s="2448">
        <f t="shared" si="213"/>
        <v>105</v>
      </c>
      <c r="E84" s="2448">
        <f t="shared" si="252"/>
        <v>104</v>
      </c>
      <c r="F84" s="2448">
        <f t="shared" si="252"/>
        <v>101</v>
      </c>
      <c r="G84" s="3598">
        <v>2002</v>
      </c>
      <c r="H84" s="2387">
        <v>2</v>
      </c>
      <c r="I84" s="2446"/>
      <c r="J84" s="2446"/>
      <c r="K84" s="2446"/>
      <c r="L84" s="2446"/>
      <c r="X84" s="2438"/>
      <c r="Y84" s="2438"/>
      <c r="Z84" s="2438"/>
    </row>
    <row r="85" spans="1:26" s="2411" customFormat="1" ht="13.5" thickBot="1">
      <c r="A85" s="2407" t="s">
        <v>936</v>
      </c>
      <c r="B85" s="2414">
        <f t="shared" si="251"/>
        <v>103</v>
      </c>
      <c r="C85" s="2414">
        <f t="shared" si="251"/>
        <v>104</v>
      </c>
      <c r="D85" s="2414">
        <f t="shared" si="213"/>
        <v>104</v>
      </c>
      <c r="E85" s="2414">
        <f t="shared" si="252"/>
        <v>103.5</v>
      </c>
      <c r="F85" s="2414">
        <f t="shared" si="252"/>
        <v>100.5</v>
      </c>
      <c r="G85" s="359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937</v>
      </c>
      <c r="G88" s="2461"/>
      <c r="N88" s="2461"/>
      <c r="S88" s="2461"/>
    </row>
    <row r="89" spans="1:26" s="2460" customFormat="1">
      <c r="A89" s="2460" t="s">
        <v>938</v>
      </c>
      <c r="G89" s="2461"/>
      <c r="N89" s="2461"/>
      <c r="S89" s="2461"/>
    </row>
    <row r="90" spans="1:26" s="2460" customFormat="1">
      <c r="A90" s="2460" t="s">
        <v>939</v>
      </c>
      <c r="G90" s="2461"/>
      <c r="I90" s="2462"/>
      <c r="J90" s="2462"/>
      <c r="K90" s="2462"/>
      <c r="L90" s="2462"/>
      <c r="N90" s="2463"/>
      <c r="O90" s="2462"/>
      <c r="P90" s="2462"/>
      <c r="Q90" s="2462"/>
      <c r="S90" s="2463"/>
      <c r="T90" s="2462"/>
      <c r="U90" s="2462"/>
      <c r="V90" s="2462"/>
    </row>
    <row r="91" spans="1:26" s="2460" customFormat="1">
      <c r="A91" s="2460" t="s">
        <v>940</v>
      </c>
      <c r="G91" s="2461"/>
      <c r="N91" s="2461"/>
      <c r="S91" s="2461"/>
    </row>
    <row r="98" spans="7:22" ht="13.5" thickBot="1"/>
    <row r="99" spans="7:22">
      <c r="G99" s="2361"/>
      <c r="S99" s="2464" t="s">
        <v>941</v>
      </c>
      <c r="T99" s="2465" t="s">
        <v>942</v>
      </c>
      <c r="U99" s="2465" t="s">
        <v>943</v>
      </c>
      <c r="V99" s="2465" t="s">
        <v>944</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09" t="s">
        <v>2579</v>
      </c>
      <c r="D1" s="3610"/>
      <c r="E1" s="3610"/>
      <c r="F1" s="3610"/>
      <c r="G1" s="3610"/>
      <c r="H1" s="3610"/>
      <c r="I1" s="3610"/>
      <c r="J1" s="3610"/>
      <c r="K1" s="3610"/>
      <c r="L1" s="3610"/>
      <c r="M1" s="3610"/>
      <c r="N1" s="3610"/>
      <c r="O1" s="3610"/>
      <c r="P1" s="3610"/>
      <c r="Q1" s="3610"/>
      <c r="R1" s="3610"/>
      <c r="S1" s="3611"/>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2588</v>
      </c>
      <c r="B17" s="2316"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8"/>
      <c r="E20" s="1476"/>
      <c r="F20" s="1095" t="e">
        <f ca="1">SUMIF(INDIRECT("'"&amp;H20&amp;"'"&amp;"!A:A"),"承租人权益价值",INDIRECT("'"&amp;H20&amp;"'"&amp;"!c:c"))</f>
        <v>#REF!</v>
      </c>
      <c r="G20" s="1095" t="s">
        <v>2592</v>
      </c>
      <c r="H20" s="2319"/>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06" t="s">
        <v>33</v>
      </c>
      <c r="D22" s="3607"/>
      <c r="E22" s="3607"/>
      <c r="F22" s="3607"/>
      <c r="G22" s="3607"/>
      <c r="H22" s="3607"/>
      <c r="I22" s="3607"/>
      <c r="J22" s="3607"/>
      <c r="K22" s="3607"/>
      <c r="L22" s="3607"/>
      <c r="M22" s="3607"/>
      <c r="N22" s="3607"/>
      <c r="O22" s="3607"/>
      <c r="P22" s="3607"/>
      <c r="Q22" s="3608"/>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29513</v>
      </c>
      <c r="C2" s="2" t="s">
        <v>133</v>
      </c>
      <c r="D2" s="205"/>
      <c r="E2" s="205"/>
      <c r="F2" s="205"/>
      <c r="G2" s="205"/>
    </row>
    <row r="3" spans="1:7" s="206" customFormat="1" ht="18" customHeight="1" thickBot="1">
      <c r="A3" s="209" t="s">
        <v>85</v>
      </c>
      <c r="B3" s="210">
        <f ca="1">ROUND(B2*10000/'数据-汇总表'!E3,0)</f>
        <v>789371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875</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7</v>
      </c>
      <c r="D10" s="935">
        <f>'数据-汇总表'!E6</f>
        <v>373.88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v>
      </c>
      <c r="D19" s="939">
        <f>'数据-汇总表'!E3</f>
        <v>373.88</v>
      </c>
      <c r="E19" s="217">
        <f>'数据-取费表'!B31</f>
        <v>200</v>
      </c>
      <c r="F19" s="237"/>
      <c r="G19" s="1" t="s">
        <v>861</v>
      </c>
    </row>
    <row r="20" spans="1:7" s="220" customFormat="1" ht="13.5" customHeight="1">
      <c r="A20" s="866" t="s">
        <v>844</v>
      </c>
      <c r="B20" s="216" t="s">
        <v>104</v>
      </c>
      <c r="C20" s="238">
        <f>ROUND((C5+C19)*F20,0)</f>
        <v>412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1786</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4206</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4206</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29311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168</v>
      </c>
      <c r="D34" s="223"/>
      <c r="E34" s="226"/>
      <c r="F34" s="263">
        <f>IF('数据-取费表'!B24=0,1,'数据-取费表'!N16)</f>
        <v>1</v>
      </c>
      <c r="G34" s="225" t="s">
        <v>116</v>
      </c>
    </row>
    <row r="35" spans="1:7" ht="13.5" customHeight="1">
      <c r="A35" s="869" t="s">
        <v>615</v>
      </c>
      <c r="B35" s="221" t="s">
        <v>60</v>
      </c>
      <c r="C35" s="226">
        <f>ROUND(C34*F35,0)</f>
        <v>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v>
      </c>
      <c r="D37" s="223">
        <f>'数据-汇总表'!E3</f>
        <v>373.88</v>
      </c>
      <c r="E37" s="255">
        <f>'数据-取费表'!B35</f>
        <v>200</v>
      </c>
      <c r="F37" s="265"/>
      <c r="G37" s="267" t="s">
        <v>119</v>
      </c>
    </row>
    <row r="38" spans="1:7" ht="13.5" customHeight="1">
      <c r="A38" s="869" t="s">
        <v>618</v>
      </c>
      <c r="B38" s="221" t="s">
        <v>63</v>
      </c>
      <c r="C38" s="226">
        <f>ROUND(C34*F38,0)</f>
        <v>3</v>
      </c>
      <c r="D38" s="226"/>
      <c r="E38" s="226"/>
      <c r="F38" s="265">
        <f>'数据-取费表'!B36</f>
        <v>1.4999999999999999E-2</v>
      </c>
      <c r="G38" s="225" t="s">
        <v>117</v>
      </c>
    </row>
    <row r="39" spans="1:7" s="220" customFormat="1" ht="13.5" customHeight="1">
      <c r="A39" s="866" t="s">
        <v>602</v>
      </c>
      <c r="B39" s="216" t="s">
        <v>104</v>
      </c>
      <c r="C39" s="238">
        <f>ROUND(C33*F20,0)</f>
        <v>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8</v>
      </c>
      <c r="D42" s="244"/>
      <c r="E42" s="244"/>
      <c r="F42" s="245"/>
      <c r="G42" s="3457" t="s">
        <v>121</v>
      </c>
    </row>
    <row r="43" spans="1:7" ht="13.5" customHeight="1">
      <c r="A43" s="869" t="s">
        <v>611</v>
      </c>
      <c r="B43" s="221" t="s">
        <v>851</v>
      </c>
      <c r="C43" s="244">
        <f ca="1">ROUND(IF('数据-取费表'!B22&lt;=1,C39*F22*'数据-取费表'!B21/2,C39*(POWER((1+F22),'数据-取费表'!B21/2)-1)),0)</f>
        <v>0</v>
      </c>
      <c r="D43" s="244"/>
      <c r="E43" s="244"/>
      <c r="F43" s="245"/>
      <c r="G43" s="3458"/>
    </row>
    <row r="44" spans="1:7" ht="13.5" customHeight="1">
      <c r="A44" s="869" t="s">
        <v>612</v>
      </c>
      <c r="B44" s="221" t="s">
        <v>853</v>
      </c>
      <c r="C44" s="244">
        <f ca="1">ROUND(IF('数据-取费表'!B22&lt;=1,C40*F22*'数据-取费表'!B21/2,C40*(POWER((1+F22),'数据-取费表'!B21/2)-1)),4)</f>
        <v>8.0000000000000004E-4</v>
      </c>
      <c r="D44" s="244"/>
      <c r="E44" s="244"/>
      <c r="F44" s="245"/>
      <c r="G44" s="3459"/>
    </row>
    <row r="45" spans="1:7" s="220" customFormat="1" ht="13.5" customHeight="1">
      <c r="A45" s="866" t="s">
        <v>605</v>
      </c>
      <c r="B45" s="250" t="s">
        <v>112</v>
      </c>
      <c r="C45" s="251">
        <f>C46</f>
        <v>37</v>
      </c>
      <c r="D45" s="241">
        <f>C47</f>
        <v>4.0000000000000001E-3</v>
      </c>
      <c r="E45" s="242" t="s">
        <v>129</v>
      </c>
      <c r="F45" s="252"/>
      <c r="G45" s="253" t="s">
        <v>859</v>
      </c>
    </row>
    <row r="46" spans="1:7" s="220" customFormat="1" ht="13.5" customHeight="1">
      <c r="A46" s="869" t="s">
        <v>613</v>
      </c>
      <c r="B46" s="254" t="s">
        <v>852</v>
      </c>
      <c r="C46" s="255">
        <f>ROUND((C33+C39)*F27,0)</f>
        <v>37</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252</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202</v>
      </c>
      <c r="D51" s="238"/>
      <c r="E51" s="238"/>
      <c r="F51" s="270"/>
      <c r="G51" s="240" t="s">
        <v>64</v>
      </c>
    </row>
    <row r="52" spans="1:7" s="214" customFormat="1" ht="16.5" thickBot="1">
      <c r="A52" s="271" t="s">
        <v>65</v>
      </c>
      <c r="B52" s="272"/>
      <c r="C52" s="273">
        <f ca="1">C31+C51</f>
        <v>29513</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2" t="s">
        <v>156</v>
      </c>
      <c r="B1" s="3612"/>
      <c r="C1" s="3612"/>
      <c r="D1" s="3612"/>
      <c r="E1" s="3612"/>
      <c r="F1" s="36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3" t="s">
        <v>169</v>
      </c>
      <c r="B2" s="3613"/>
      <c r="C2" s="3613"/>
      <c r="D2" s="3613"/>
      <c r="E2" s="3613"/>
      <c r="F2" s="36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2" t="s">
        <v>658</v>
      </c>
      <c r="B1" s="361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1026</v>
      </c>
      <c r="C1" s="1417">
        <f>项目基本情况!D3</f>
        <v>44733</v>
      </c>
      <c r="D1" s="1423" t="s">
        <v>1027</v>
      </c>
      <c r="E1" s="1418">
        <f>'数据-取费表'!B22</f>
        <v>2</v>
      </c>
      <c r="F1" s="1423" t="s">
        <v>1028</v>
      </c>
      <c r="G1" s="1419">
        <f ca="1">INDIRECT("d"&amp;$K$1)/100</f>
        <v>3.7000000000000005E-2</v>
      </c>
      <c r="H1" s="1423" t="s">
        <v>1058</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1029</v>
      </c>
      <c r="E2" s="1361"/>
      <c r="F2" s="1361" t="s">
        <v>1030</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1031</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1032</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1033</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1034</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1035</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1036</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1037</v>
      </c>
      <c r="C10" s="1389"/>
      <c r="D10" s="1389"/>
      <c r="E10" s="1389"/>
      <c r="F10" s="1389"/>
      <c r="G10" s="1389"/>
      <c r="H10" s="1389"/>
      <c r="I10" s="1363"/>
      <c r="J10" s="1363"/>
      <c r="K10" s="1389"/>
      <c r="L10" s="1390" t="s">
        <v>1038</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1039</v>
      </c>
      <c r="C11" s="1394" t="s">
        <v>1040</v>
      </c>
      <c r="D11" s="1395" t="s">
        <v>1041</v>
      </c>
      <c r="E11" s="1396"/>
      <c r="F11" s="1395" t="s">
        <v>1042</v>
      </c>
      <c r="G11" s="1397"/>
      <c r="H11" s="1396"/>
      <c r="I11" s="1395" t="s">
        <v>1043</v>
      </c>
      <c r="J11" s="1396"/>
      <c r="K11" s="1392"/>
      <c r="L11" s="1393" t="s">
        <v>1039</v>
      </c>
      <c r="M11" s="1394" t="s">
        <v>1040</v>
      </c>
      <c r="N11" s="1393" t="s">
        <v>1044</v>
      </c>
      <c r="O11" s="1395" t="s">
        <v>1045</v>
      </c>
      <c r="P11" s="1397"/>
      <c r="Q11" s="1397"/>
      <c r="R11" s="1397"/>
      <c r="S11" s="1397"/>
      <c r="T11" s="1396"/>
      <c r="U11" s="1395" t="s">
        <v>1046</v>
      </c>
      <c r="V11" s="1397"/>
      <c r="W11" s="1396"/>
      <c r="X11" s="1393" t="s">
        <v>1047</v>
      </c>
      <c r="Y11" s="1393" t="s">
        <v>1048</v>
      </c>
      <c r="Z11" s="1393" t="s">
        <v>1049</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1050</v>
      </c>
      <c r="E12" s="1402" t="s">
        <v>1051</v>
      </c>
      <c r="F12" s="1402" t="s">
        <v>1052</v>
      </c>
      <c r="G12" s="1402" t="s">
        <v>1053</v>
      </c>
      <c r="H12" s="1402" t="s">
        <v>1035</v>
      </c>
      <c r="I12" s="1403" t="s">
        <v>1054</v>
      </c>
      <c r="J12" s="1403" t="s">
        <v>1054</v>
      </c>
      <c r="K12" s="1399"/>
      <c r="L12" s="1400"/>
      <c r="M12" s="1401"/>
      <c r="N12" s="1400"/>
      <c r="O12" s="1403" t="s">
        <v>1055</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1056</v>
      </c>
      <c r="C13" s="3002">
        <v>44701</v>
      </c>
      <c r="D13" s="3003">
        <v>3.7</v>
      </c>
      <c r="E13" s="3003">
        <f>D13</f>
        <v>3.7</v>
      </c>
      <c r="F13" s="3003">
        <f>D13</f>
        <v>3.7</v>
      </c>
      <c r="G13" s="3003">
        <f>D13</f>
        <v>3.7</v>
      </c>
      <c r="H13" s="3003">
        <v>4.45</v>
      </c>
      <c r="I13" s="1407"/>
      <c r="J13" s="1407"/>
      <c r="K13" s="1405"/>
      <c r="L13" s="1406" t="s">
        <v>1056</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2810</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1057</v>
      </c>
      <c r="Y42" s="1411" t="s">
        <v>1057</v>
      </c>
      <c r="Z42" s="1411" t="s">
        <v>1057</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1057</v>
      </c>
      <c r="Y43" s="1411" t="s">
        <v>1057</v>
      </c>
      <c r="Z43" s="1411" t="s">
        <v>1057</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1057</v>
      </c>
      <c r="Y44" s="1411" t="s">
        <v>1057</v>
      </c>
      <c r="Z44" s="1411" t="s">
        <v>1057</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1057</v>
      </c>
      <c r="Y45" s="1411" t="s">
        <v>1057</v>
      </c>
      <c r="Z45" s="1411" t="s">
        <v>1057</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1057</v>
      </c>
      <c r="Y46" s="1411" t="s">
        <v>1057</v>
      </c>
      <c r="Z46" s="1411" t="s">
        <v>1057</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1057</v>
      </c>
      <c r="Y47" s="1411" t="s">
        <v>1057</v>
      </c>
      <c r="Z47" s="1411" t="s">
        <v>1057</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1057</v>
      </c>
      <c r="Y48" s="1411" t="s">
        <v>1057</v>
      </c>
      <c r="Z48" s="1411" t="s">
        <v>1057</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1057</v>
      </c>
      <c r="Y49" s="1411" t="s">
        <v>1057</v>
      </c>
      <c r="Z49" s="1411" t="s">
        <v>1057</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1057</v>
      </c>
      <c r="Y50" s="1411" t="s">
        <v>1057</v>
      </c>
      <c r="Z50" s="1411" t="s">
        <v>1057</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1057</v>
      </c>
      <c r="V51" s="1411" t="s">
        <v>1057</v>
      </c>
      <c r="W51" s="1411" t="s">
        <v>1057</v>
      </c>
      <c r="X51" s="1411" t="s">
        <v>1057</v>
      </c>
      <c r="Y51" s="1411" t="s">
        <v>1057</v>
      </c>
      <c r="Z51" s="1411" t="s">
        <v>1057</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1057</v>
      </c>
      <c r="J63" s="1411" t="s">
        <v>1057</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1093</v>
      </c>
      <c r="E1" s="1463" t="s">
        <v>1097</v>
      </c>
      <c r="F1" s="1464" t="s">
        <v>1101</v>
      </c>
    </row>
    <row r="2" spans="1:13" ht="20.25">
      <c r="A2" s="1470" t="s">
        <v>1094</v>
      </c>
    </row>
    <row r="3" spans="1:13" ht="16.5">
      <c r="A3" s="1471" t="s">
        <v>1095</v>
      </c>
    </row>
    <row r="4" spans="1:13" ht="14.25">
      <c r="A4" s="1461" t="s">
        <v>1096</v>
      </c>
      <c r="B4" s="1466" t="s">
        <v>1098</v>
      </c>
      <c r="C4" s="1467"/>
      <c r="D4" s="1468"/>
      <c r="E4" s="1466" t="s">
        <v>27</v>
      </c>
      <c r="F4" s="1467"/>
      <c r="G4" s="1468"/>
      <c r="H4" s="1466" t="s">
        <v>1099</v>
      </c>
      <c r="I4" s="1467"/>
      <c r="J4" s="1468"/>
      <c r="K4" s="1466" t="s">
        <v>6</v>
      </c>
      <c r="L4" s="1467"/>
      <c r="M4" s="1468"/>
    </row>
    <row r="5" spans="1:13" ht="14.25">
      <c r="A5" s="1462" t="s">
        <v>1100</v>
      </c>
      <c r="B5" s="1461" t="s">
        <v>1102</v>
      </c>
      <c r="C5" s="1461" t="s">
        <v>1103</v>
      </c>
      <c r="D5" s="1461" t="s">
        <v>1104</v>
      </c>
      <c r="E5" s="1461" t="s">
        <v>1102</v>
      </c>
      <c r="F5" s="1461" t="s">
        <v>1103</v>
      </c>
      <c r="G5" s="1461" t="s">
        <v>1104</v>
      </c>
      <c r="H5" s="1461" t="s">
        <v>1102</v>
      </c>
      <c r="I5" s="1461" t="s">
        <v>1103</v>
      </c>
      <c r="J5" s="1461" t="s">
        <v>1104</v>
      </c>
      <c r="K5" s="1461" t="s">
        <v>1102</v>
      </c>
      <c r="L5" s="1461" t="s">
        <v>1103</v>
      </c>
      <c r="M5" s="1461" t="s">
        <v>1104</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7" sqref="R27"/>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1361</v>
      </c>
      <c r="B2" s="3280" t="s">
        <v>1362</v>
      </c>
      <c r="C2" s="3280" t="s">
        <v>1363</v>
      </c>
      <c r="D2" s="3280" t="str">
        <f>结果表816!D116</f>
        <v>出让国有建设用地使用权价值</v>
      </c>
      <c r="E2" s="3280"/>
      <c r="F2" s="3280" t="str">
        <f>结果表816!F116</f>
        <v>在建建筑物价值</v>
      </c>
      <c r="G2" s="3280"/>
      <c r="H2" s="3280" t="str">
        <f>IF(项目基本情况!B9="房地产市场价值","房地产市场价值","房地产价值")</f>
        <v>房地产价值</v>
      </c>
      <c r="I2" s="3280"/>
    </row>
    <row r="3" spans="1:9" ht="15">
      <c r="A3" s="3281"/>
      <c r="B3" s="3281"/>
      <c r="C3" s="3281"/>
      <c r="D3" s="944" t="s">
        <v>1358</v>
      </c>
      <c r="E3" s="944" t="s">
        <v>1364</v>
      </c>
      <c r="F3" s="944" t="s">
        <v>1358</v>
      </c>
      <c r="G3" s="944" t="s">
        <v>1359</v>
      </c>
      <c r="H3" s="944" t="s">
        <v>1358</v>
      </c>
      <c r="I3" s="944" t="s">
        <v>1359</v>
      </c>
    </row>
    <row r="4" spans="1:9" ht="15">
      <c r="A4" s="1641" t="str">
        <f>项目基本情况!S2</f>
        <v>北京市房地产</v>
      </c>
      <c r="B4" s="944">
        <f>项目基本情况!C17</f>
        <v>373.88</v>
      </c>
      <c r="C4" s="944">
        <f>项目基本情况!C18</f>
        <v>0</v>
      </c>
      <c r="D4" s="944" t="e">
        <f ca="1">结果表816!D118</f>
        <v>#REF!</v>
      </c>
      <c r="E4" s="944" t="e">
        <f ca="1">结果表816!E118</f>
        <v>#REF!</v>
      </c>
      <c r="F4" s="944" t="e">
        <f ca="1">结果表816!F118</f>
        <v>#REF!</v>
      </c>
      <c r="G4" s="944" t="e">
        <f ca="1">结果表816!G118</f>
        <v>#REF!</v>
      </c>
      <c r="H4" s="944">
        <f ca="1">结果表816!H118</f>
        <v>860</v>
      </c>
      <c r="I4" s="944">
        <f ca="1">结果表816!I118</f>
        <v>38048</v>
      </c>
    </row>
    <row r="5" spans="1:9" ht="30" customHeight="1">
      <c r="A5" s="3281" t="s">
        <v>1360</v>
      </c>
      <c r="B5" s="3281"/>
      <c r="C5" s="3281"/>
      <c r="D5" s="3282" t="e">
        <f ca="1">结果表816!D119</f>
        <v>#REF!</v>
      </c>
      <c r="E5" s="3282"/>
      <c r="F5" s="3282" t="e">
        <f ca="1">结果表816!F119</f>
        <v>#REF!</v>
      </c>
      <c r="G5" s="3282"/>
      <c r="H5" s="3282" t="str">
        <f ca="1">结果表816!H119</f>
        <v>捌佰陆拾万元整</v>
      </c>
      <c r="I5" s="3282"/>
    </row>
    <row r="6" spans="1:9" ht="15.75">
      <c r="A6" s="3283" t="str">
        <f>结果表816!A120</f>
        <v>估价师知悉的法定优先受偿款</v>
      </c>
      <c r="B6" s="3283"/>
      <c r="C6" s="3283"/>
      <c r="D6" s="3283">
        <f>结果表816!D120</f>
        <v>0</v>
      </c>
      <c r="E6" s="3283"/>
      <c r="F6" s="3283"/>
      <c r="G6" s="3283"/>
      <c r="H6" s="3283"/>
      <c r="I6" s="3283"/>
    </row>
    <row r="7" spans="1:9" ht="15">
      <c r="A7" s="3281" t="s">
        <v>1360</v>
      </c>
      <c r="B7" s="3281"/>
      <c r="C7" s="3281"/>
      <c r="D7" s="3284" t="str">
        <f>结果表816!D121</f>
        <v>零元整</v>
      </c>
      <c r="E7" s="3285"/>
      <c r="F7" s="3285"/>
      <c r="G7" s="3285"/>
      <c r="H7" s="3285"/>
      <c r="I7" s="3286"/>
    </row>
    <row r="8" spans="1:9" ht="15.75">
      <c r="A8" s="3283" t="str">
        <f>结果表816!A122</f>
        <v>房地产抵押价值</v>
      </c>
      <c r="B8" s="3283"/>
      <c r="C8" s="3283"/>
      <c r="D8" s="3283">
        <f ca="1">结果表816!D122</f>
        <v>860</v>
      </c>
      <c r="E8" s="3283"/>
      <c r="F8" s="3283"/>
      <c r="G8" s="3283"/>
      <c r="H8" s="3283"/>
      <c r="I8" s="3283"/>
    </row>
    <row r="9" spans="1:9" ht="15">
      <c r="A9" s="3281" t="s">
        <v>1360</v>
      </c>
      <c r="B9" s="3281"/>
      <c r="C9" s="3281"/>
      <c r="D9" s="3282" t="str">
        <f ca="1">结果表816!D123</f>
        <v>捌佰陆拾万元整</v>
      </c>
      <c r="E9" s="3282"/>
      <c r="F9" s="3282"/>
      <c r="G9" s="3282"/>
      <c r="H9" s="3282"/>
      <c r="I9" s="3282"/>
    </row>
    <row r="10" spans="1:9" ht="15.75">
      <c r="A10" s="3283" t="str">
        <f>结果表816!A124</f>
        <v/>
      </c>
      <c r="B10" s="3283"/>
      <c r="C10" s="3283"/>
      <c r="D10" s="3283" t="str">
        <f>结果表816!D124</f>
        <v>——</v>
      </c>
      <c r="E10" s="3283"/>
      <c r="F10" s="3283"/>
      <c r="G10" s="3283"/>
      <c r="H10" s="3283"/>
      <c r="I10" s="3283"/>
    </row>
    <row r="11" spans="1:9" ht="15">
      <c r="A11" s="3281" t="s">
        <v>1360</v>
      </c>
      <c r="B11" s="3281"/>
      <c r="C11" s="3281"/>
      <c r="D11" s="3282" t="e">
        <f>结果表816!D125</f>
        <v>#VALUE!</v>
      </c>
      <c r="E11" s="3282"/>
      <c r="F11" s="3282"/>
      <c r="G11" s="3282"/>
      <c r="H11" s="3282"/>
      <c r="I11" s="3282"/>
    </row>
    <row r="12" spans="1:9" ht="15.75">
      <c r="A12" s="3283" t="str">
        <f>结果表816!A126</f>
        <v/>
      </c>
      <c r="B12" s="3283"/>
      <c r="C12" s="3283"/>
      <c r="D12" s="3283" t="str">
        <f>结果表816!D126</f>
        <v>——</v>
      </c>
      <c r="E12" s="3283"/>
      <c r="F12" s="3283"/>
      <c r="G12" s="3283"/>
      <c r="H12" s="3283"/>
      <c r="I12" s="3283"/>
    </row>
    <row r="13" spans="1:9" ht="15.75" thickBot="1">
      <c r="A13" s="3287" t="s">
        <v>1360</v>
      </c>
      <c r="B13" s="3287"/>
      <c r="C13" s="3287"/>
      <c r="D13" s="3288" t="e">
        <f>结果表816!D127</f>
        <v>#VALUE!</v>
      </c>
      <c r="E13" s="3288"/>
      <c r="F13" s="3288"/>
      <c r="G13" s="3288"/>
      <c r="H13" s="3288"/>
      <c r="I13" s="3288"/>
    </row>
    <row r="14" spans="1:9" ht="15" thickTop="1">
      <c r="A14" s="3289" t="s">
        <v>1365</v>
      </c>
      <c r="B14" s="3289"/>
      <c r="C14" s="3289"/>
      <c r="D14" s="3289"/>
      <c r="E14" s="3289"/>
      <c r="F14" s="3289"/>
      <c r="G14" s="3289"/>
      <c r="H14" s="3289"/>
      <c r="I14" s="3289"/>
    </row>
    <row r="16" spans="1:9" ht="18.75">
      <c r="A16" s="1642" t="s">
        <v>1348</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0" t="s">
        <v>1382</v>
      </c>
      <c r="B1" s="3290"/>
      <c r="C1" s="3290"/>
      <c r="D1" s="3290"/>
    </row>
    <row r="2" spans="1:4" ht="18">
      <c r="A2" s="3291" t="s">
        <v>1366</v>
      </c>
      <c r="B2" s="3291"/>
      <c r="C2" s="3291"/>
      <c r="D2" s="3291"/>
    </row>
    <row r="3" spans="1:4" ht="18.75">
      <c r="A3" s="1645" t="s">
        <v>1367</v>
      </c>
      <c r="B3" s="1645" t="s">
        <v>1368</v>
      </c>
      <c r="C3" s="1645" t="s">
        <v>1369</v>
      </c>
      <c r="D3" s="1645" t="s">
        <v>1370</v>
      </c>
    </row>
    <row r="4" spans="1:4" ht="56.25" customHeight="1">
      <c r="A4" s="1646">
        <f>项目基本情况!B4</f>
        <v>0</v>
      </c>
      <c r="B4" s="1647">
        <f>项目基本情况!C4</f>
        <v>0</v>
      </c>
      <c r="C4" s="1648"/>
      <c r="D4" s="1649" t="s">
        <v>1371</v>
      </c>
    </row>
    <row r="5" spans="1:4" ht="56.25" customHeight="1">
      <c r="A5" s="1646">
        <f>项目基本情况!D4</f>
        <v>0</v>
      </c>
      <c r="B5" s="1647">
        <f>项目基本情况!E4</f>
        <v>0</v>
      </c>
      <c r="C5" s="1650"/>
      <c r="D5" s="1649" t="s">
        <v>1371</v>
      </c>
    </row>
    <row r="6" spans="1:4" ht="18">
      <c r="A6" s="3291" t="s">
        <v>1372</v>
      </c>
      <c r="B6" s="3291"/>
      <c r="C6" s="3291"/>
      <c r="D6" s="3291"/>
    </row>
    <row r="7" spans="1:4" ht="18.75">
      <c r="A7" s="1645" t="s">
        <v>1367</v>
      </c>
      <c r="B7" s="1647" t="s">
        <v>1373</v>
      </c>
      <c r="C7" s="1645" t="s">
        <v>1369</v>
      </c>
      <c r="D7" s="1645" t="s">
        <v>1370</v>
      </c>
    </row>
    <row r="8" spans="1:4" ht="56.25" customHeight="1">
      <c r="A8" s="1651" t="s">
        <v>656</v>
      </c>
      <c r="B8" s="1651" t="s">
        <v>1</v>
      </c>
      <c r="C8" s="1648"/>
      <c r="D8" s="1649" t="s">
        <v>1371</v>
      </c>
    </row>
    <row r="9" spans="1:4">
      <c r="A9" s="684"/>
      <c r="B9" s="684"/>
      <c r="C9" s="684"/>
      <c r="D9" s="684"/>
    </row>
    <row r="10" spans="1:4" ht="18.75">
      <c r="A10" s="1652" t="s">
        <v>1374</v>
      </c>
      <c r="B10" s="684"/>
      <c r="C10" s="684"/>
      <c r="D10" s="684"/>
    </row>
    <row r="11" spans="1:4" ht="30" customHeight="1">
      <c r="A11" s="3292" t="s">
        <v>1375</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93" t="str">
        <f>IF(项目基本情况!B8="抵押","4.本次评估估价师所知悉的法定优先受偿款情况说明如下：","——")</f>
        <v>4.本次评估估价师所知悉的法定优先受偿款情况说明如下：</v>
      </c>
      <c r="B14" s="3294"/>
      <c r="C14" s="3294"/>
      <c r="D14" s="3294"/>
    </row>
    <row r="15" spans="1:4" ht="42" customHeight="1">
      <c r="A15" s="32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6" t="s">
        <v>1376</v>
      </c>
      <c r="B16" s="3296"/>
      <c r="C16" s="3296"/>
      <c r="D16" s="3296"/>
    </row>
    <row r="17" spans="1:4" ht="144" customHeight="1">
      <c r="A17" s="3296" t="s">
        <v>1377</v>
      </c>
      <c r="B17" s="3296"/>
      <c r="C17" s="3296"/>
      <c r="D17" s="3296"/>
    </row>
    <row r="18" spans="1:4" ht="15.75" customHeight="1">
      <c r="A18" s="3293" t="str">
        <f>IF(项目基本情况!B8="抵押",结果表816!K120,"——")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816!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3"/>
      <c r="C20" s="3293"/>
      <c r="D20" s="3293"/>
    </row>
    <row r="21" spans="1:4" ht="57.75" customHeight="1">
      <c r="A21" s="3297" t="str">
        <f>IF(结果表816!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1378</v>
      </c>
      <c r="B22" s="3298"/>
      <c r="C22" s="3298"/>
      <c r="D22" s="3298"/>
    </row>
    <row r="23" spans="1:4">
      <c r="A23" s="1653"/>
      <c r="B23" s="1625"/>
      <c r="C23" s="1625"/>
      <c r="D23" s="1625"/>
    </row>
    <row r="24" spans="1:4">
      <c r="A24" s="1653"/>
      <c r="B24" s="1625"/>
      <c r="C24" s="1625"/>
      <c r="D24" s="1625"/>
    </row>
    <row r="25" spans="1:4" ht="18.75">
      <c r="A25" s="1654" t="s">
        <v>1379</v>
      </c>
    </row>
    <row r="26" spans="1:4" ht="18">
      <c r="A26" s="1623"/>
    </row>
    <row r="27" spans="1:4" ht="18.75">
      <c r="A27" s="1623" t="s">
        <v>1380</v>
      </c>
    </row>
    <row r="30" spans="1:4" ht="18.75">
      <c r="D30" s="1654" t="s">
        <v>1381</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1383</v>
      </c>
    </row>
    <row r="3" spans="1:7">
      <c r="A3" s="1659" t="s">
        <v>82</v>
      </c>
      <c r="B3" s="1643" t="s">
        <v>1384</v>
      </c>
      <c r="G3" s="1660"/>
    </row>
    <row r="4" spans="1:7">
      <c r="G4" s="1660"/>
    </row>
    <row r="5" spans="1:7">
      <c r="A5" s="1662" t="s">
        <v>73</v>
      </c>
      <c r="B5" s="1643" t="s">
        <v>1385</v>
      </c>
      <c r="G5" s="1660"/>
    </row>
    <row r="6" spans="1:7">
      <c r="G6" s="1660"/>
    </row>
    <row r="7" spans="1:7">
      <c r="A7" s="1663" t="s">
        <v>135</v>
      </c>
      <c r="B7" s="1643" t="s">
        <v>1386</v>
      </c>
      <c r="G7" s="1660"/>
    </row>
    <row r="8" spans="1:7">
      <c r="G8" s="1660"/>
    </row>
    <row r="9" spans="1:7">
      <c r="A9" s="1664" t="s">
        <v>74</v>
      </c>
      <c r="B9" s="1643" t="s">
        <v>1387</v>
      </c>
    </row>
    <row r="11" spans="1:7">
      <c r="A11" s="1665" t="s">
        <v>75</v>
      </c>
      <c r="B11" s="1666" t="s">
        <v>72</v>
      </c>
    </row>
    <row r="13" spans="1:7">
      <c r="A13" s="1667" t="s">
        <v>1388</v>
      </c>
    </row>
    <row r="15" spans="1:7" ht="13.5">
      <c r="A15" s="3304" t="s">
        <v>1389</v>
      </c>
      <c r="B15" s="3299" t="s">
        <v>136</v>
      </c>
      <c r="C15" s="3300"/>
    </row>
    <row r="16" spans="1:7" ht="13.5">
      <c r="A16" s="3305"/>
      <c r="B16" s="3299" t="s">
        <v>69</v>
      </c>
      <c r="C16" s="3300"/>
    </row>
    <row r="17" spans="1:3" ht="13.5">
      <c r="A17" s="3305"/>
      <c r="B17" s="3302" t="s">
        <v>1390</v>
      </c>
      <c r="C17" s="1668" t="s">
        <v>1389</v>
      </c>
    </row>
    <row r="18" spans="1:3" ht="13.5">
      <c r="A18" s="3305"/>
      <c r="B18" s="3302"/>
      <c r="C18" s="1668" t="s">
        <v>1391</v>
      </c>
    </row>
    <row r="19" spans="1:3" ht="13.5">
      <c r="A19" s="3305"/>
      <c r="B19" s="3302"/>
      <c r="C19" s="1668" t="s">
        <v>1392</v>
      </c>
    </row>
    <row r="20" spans="1:3" ht="13.5">
      <c r="A20" s="3306"/>
      <c r="B20" s="3301" t="s">
        <v>1393</v>
      </c>
      <c r="C20" s="3300"/>
    </row>
    <row r="21" spans="1:3" ht="13.5">
      <c r="A21" s="1669" t="s">
        <v>1394</v>
      </c>
      <c r="B21" s="1670"/>
      <c r="C21" s="1671"/>
    </row>
    <row r="22" spans="1:3" ht="13.5">
      <c r="A22" s="3303" t="s">
        <v>1395</v>
      </c>
      <c r="B22" s="3301" t="s">
        <v>1396</v>
      </c>
      <c r="C22" s="3300"/>
    </row>
    <row r="23" spans="1:3" ht="13.5">
      <c r="A23" s="3303"/>
      <c r="B23" s="3301" t="s">
        <v>1397</v>
      </c>
      <c r="C23" s="3300"/>
    </row>
    <row r="24" spans="1:3" ht="13.5">
      <c r="A24" s="3303"/>
      <c r="B24" s="3301" t="s">
        <v>1398</v>
      </c>
      <c r="C24" s="3300"/>
    </row>
    <row r="25" spans="1:3" ht="13.5">
      <c r="A25" s="3303"/>
      <c r="B25" s="3302" t="s">
        <v>1399</v>
      </c>
      <c r="C25" s="1668" t="s">
        <v>1400</v>
      </c>
    </row>
    <row r="26" spans="1:3" ht="13.5">
      <c r="A26" s="3303"/>
      <c r="B26" s="3302"/>
      <c r="C26" s="1668" t="s">
        <v>1401</v>
      </c>
    </row>
    <row r="27" spans="1:3" ht="13.5">
      <c r="A27" s="3303"/>
      <c r="B27" s="3302"/>
      <c r="C27" s="1668" t="s">
        <v>1402</v>
      </c>
    </row>
    <row r="28" spans="1:3" ht="13.5">
      <c r="A28" s="3303"/>
      <c r="B28" s="3302"/>
      <c r="C28" s="1668" t="s">
        <v>1403</v>
      </c>
    </row>
    <row r="29" spans="1:3" ht="13.5">
      <c r="A29" s="3303"/>
      <c r="B29" s="3302"/>
      <c r="C29" s="1668" t="s">
        <v>1404</v>
      </c>
    </row>
    <row r="30" spans="1:3" ht="13.5">
      <c r="A30" s="3303"/>
      <c r="B30" s="3302"/>
      <c r="C30" s="1668" t="s">
        <v>1405</v>
      </c>
    </row>
    <row r="31" spans="1:3" ht="13.5">
      <c r="A31" s="3303"/>
      <c r="B31" s="3302"/>
      <c r="C31" s="1668" t="s">
        <v>1406</v>
      </c>
    </row>
    <row r="32" spans="1:3" ht="13.5">
      <c r="A32" s="3303"/>
      <c r="B32" s="3302"/>
      <c r="C32" s="1668" t="s">
        <v>1407</v>
      </c>
    </row>
    <row r="33" spans="1:3" ht="13.5">
      <c r="A33" s="3303"/>
      <c r="B33" s="3302"/>
      <c r="C33" s="1668" t="s">
        <v>1408</v>
      </c>
    </row>
    <row r="34" spans="1:3">
      <c r="A34" s="1672" t="s">
        <v>76</v>
      </c>
    </row>
    <row r="37" spans="1:3">
      <c r="A37" s="1672" t="s">
        <v>1409</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2635</v>
      </c>
      <c r="B2" s="2513">
        <f ca="1">TODAY()</f>
        <v>44734</v>
      </c>
      <c r="C2" s="2514" t="s">
        <v>2636</v>
      </c>
      <c r="D2" s="2514"/>
      <c r="E2" s="2514"/>
      <c r="F2" s="2510"/>
      <c r="G2" s="2510"/>
      <c r="H2" s="2510"/>
    </row>
    <row r="3" spans="1:8" ht="24" customHeight="1">
      <c r="A3" s="2515" t="s">
        <v>2637</v>
      </c>
      <c r="B3" s="2516" t="s">
        <v>2638</v>
      </c>
      <c r="C3" s="2516" t="s">
        <v>2639</v>
      </c>
      <c r="D3" s="2517" t="s">
        <v>2640</v>
      </c>
      <c r="E3" s="2518" t="s">
        <v>2641</v>
      </c>
      <c r="F3" s="1425" t="s">
        <v>2642</v>
      </c>
      <c r="G3" s="2516" t="s">
        <v>2639</v>
      </c>
      <c r="H3" s="2517" t="s">
        <v>2643</v>
      </c>
    </row>
    <row r="4" spans="1:8" ht="24" customHeight="1">
      <c r="A4" s="1425" t="s">
        <v>2644</v>
      </c>
      <c r="B4" s="1425">
        <f ca="1">IF(C4&lt;B2,"已过期",1119970066)</f>
        <v>1119970066</v>
      </c>
      <c r="C4" s="2519">
        <v>44876</v>
      </c>
      <c r="D4" s="2520" t="str">
        <f ca="1">A4&amp;"（注册号："&amp;B4&amp;"）"</f>
        <v>梁津（注册号：1119970066）</v>
      </c>
      <c r="E4" s="2521" t="s">
        <v>2644</v>
      </c>
      <c r="F4" s="1425">
        <f ca="1">IF(G4&lt;B2,"已过期",96010014)</f>
        <v>96010014</v>
      </c>
      <c r="G4" s="2522">
        <v>47118</v>
      </c>
      <c r="H4" s="2523" t="str">
        <f ca="1">E4&amp;"（注册号："&amp;F4&amp;"）"</f>
        <v>梁津（注册号：96010014）</v>
      </c>
    </row>
    <row r="5" spans="1:8" ht="24" customHeight="1">
      <c r="A5" s="1425" t="s">
        <v>2645</v>
      </c>
      <c r="B5" s="1425">
        <f ca="1">IF(C5&lt;B2,"已过期",1119970111)</f>
        <v>1119970111</v>
      </c>
      <c r="C5" s="2519">
        <v>44876</v>
      </c>
      <c r="D5" s="2520" t="str">
        <f t="shared" ref="D5:D15" ca="1" si="0">A5&amp;"（注册号："&amp;B5&amp;"）"</f>
        <v>叶凌（注册号：1119970111）</v>
      </c>
      <c r="E5" s="2521" t="s">
        <v>2645</v>
      </c>
      <c r="F5" s="1425">
        <f ca="1">IF(G5&lt;B2,"已过期",94010078)</f>
        <v>94010078</v>
      </c>
      <c r="G5" s="2522">
        <v>46387</v>
      </c>
      <c r="H5" s="2523" t="str">
        <f t="shared" ref="H5:H16" ca="1" si="1">E5&amp;"（注册号："&amp;F5&amp;"）"</f>
        <v>叶凌（注册号：94010078）</v>
      </c>
    </row>
    <row r="6" spans="1:8" ht="24" customHeight="1">
      <c r="A6" s="1425" t="s">
        <v>2646</v>
      </c>
      <c r="B6" s="1425">
        <f ca="1">IF(C6&lt;B2,"已过期",1120050019)</f>
        <v>1120050019</v>
      </c>
      <c r="C6" s="2519">
        <v>45410</v>
      </c>
      <c r="D6" s="2520" t="str">
        <f t="shared" ca="1" si="0"/>
        <v>王鹏（注册号：1120050019）</v>
      </c>
      <c r="E6" s="2521" t="s">
        <v>2646</v>
      </c>
      <c r="F6" s="1425">
        <f ca="1">IF(G6&lt;B2,"已过期",2002110030)</f>
        <v>2002110030</v>
      </c>
      <c r="G6" s="2522">
        <v>46387</v>
      </c>
      <c r="H6" s="2523" t="str">
        <f t="shared" ca="1" si="1"/>
        <v>王鹏（注册号：2002110030）</v>
      </c>
    </row>
    <row r="7" spans="1:8" ht="24" customHeight="1">
      <c r="A7" s="1425" t="s">
        <v>2647</v>
      </c>
      <c r="B7" s="1425">
        <f ca="1">IF(C7&lt;B2,"已过期",1120000080)</f>
        <v>1120000080</v>
      </c>
      <c r="C7" s="2519">
        <v>44876</v>
      </c>
      <c r="D7" s="2520" t="str">
        <f t="shared" ca="1" si="0"/>
        <v>欧红伟（注册号：1120000080）</v>
      </c>
      <c r="E7" s="2521" t="s">
        <v>2647</v>
      </c>
      <c r="F7" s="1425">
        <f ca="1">IF(G7&lt;B2,"已过期",2000110082)</f>
        <v>2000110082</v>
      </c>
      <c r="G7" s="2522">
        <v>46387</v>
      </c>
      <c r="H7" s="2523" t="str">
        <f t="shared" ca="1" si="1"/>
        <v>欧红伟（注册号：2000110082）</v>
      </c>
    </row>
    <row r="8" spans="1:8" ht="24" customHeight="1">
      <c r="A8" s="1425" t="s">
        <v>2648</v>
      </c>
      <c r="B8" s="1425">
        <f ca="1">IF(C8&lt;B2,"已过期",1419970001)</f>
        <v>1419970001</v>
      </c>
      <c r="C8" s="2519">
        <v>44899</v>
      </c>
      <c r="D8" s="2520" t="str">
        <f t="shared" ca="1" si="0"/>
        <v>吴薇（注册号：1419970001）</v>
      </c>
      <c r="E8" s="2521" t="s">
        <v>2648</v>
      </c>
      <c r="F8" s="1425">
        <f ca="1">IF(G8&lt;B2,"已过期",2002110125)</f>
        <v>2002110125</v>
      </c>
      <c r="G8" s="2522">
        <v>47118</v>
      </c>
      <c r="H8" s="2523" t="str">
        <f t="shared" ca="1" si="1"/>
        <v>吴薇（注册号：2002110125）</v>
      </c>
    </row>
    <row r="9" spans="1:8" ht="24" customHeight="1">
      <c r="A9" s="1425" t="s">
        <v>2649</v>
      </c>
      <c r="B9" s="1425">
        <f ca="1">IF(C9&lt;B2,"已过期",1120060040)</f>
        <v>1120060040</v>
      </c>
      <c r="C9" s="2524">
        <v>45592</v>
      </c>
      <c r="D9" s="2520" t="str">
        <f t="shared" ca="1" si="0"/>
        <v>陈颖（注册号：1120060040）</v>
      </c>
      <c r="E9" s="2521" t="s">
        <v>2649</v>
      </c>
      <c r="F9" s="1425">
        <f ca="1">IF(G9&lt;B2,"已过期",2004110096)</f>
        <v>2004110096</v>
      </c>
      <c r="G9" s="2522">
        <v>47118</v>
      </c>
      <c r="H9" s="2523" t="str">
        <f t="shared" ca="1" si="1"/>
        <v>陈颖（注册号：2004110096）</v>
      </c>
    </row>
    <row r="10" spans="1:8" ht="24" customHeight="1">
      <c r="A10" s="1425" t="s">
        <v>2650</v>
      </c>
      <c r="B10" s="1425" t="str">
        <f ca="1">IF(C10&lt;B2,"已过期",1120100036)</f>
        <v>已过期</v>
      </c>
      <c r="C10" s="2524">
        <v>44675</v>
      </c>
      <c r="D10" s="2520" t="str">
        <f t="shared" ca="1" si="0"/>
        <v>崔锴（注册号：已过期）</v>
      </c>
      <c r="E10" s="2521" t="s">
        <v>2650</v>
      </c>
      <c r="F10" s="1425">
        <f ca="1">IF(G10&lt;B2,"已过期",2010110070)</f>
        <v>2010110070</v>
      </c>
      <c r="G10" s="2522">
        <v>47907</v>
      </c>
      <c r="H10" s="2523" t="str">
        <f t="shared" ca="1" si="1"/>
        <v>崔锴（注册号：2010110070）</v>
      </c>
    </row>
    <row r="11" spans="1:8" ht="24" customHeight="1">
      <c r="A11" s="1425" t="s">
        <v>2651</v>
      </c>
      <c r="B11" s="1425">
        <f ca="1">IF(C11&lt;B2,"已过期",1120070131)</f>
        <v>1120070131</v>
      </c>
      <c r="C11" s="2519">
        <v>44849</v>
      </c>
      <c r="D11" s="2520" t="str">
        <f t="shared" ca="1" si="0"/>
        <v>郑燚（注册号：1120070131）</v>
      </c>
      <c r="E11" s="2521" t="s">
        <v>2651</v>
      </c>
      <c r="F11" s="1425">
        <f ca="1">IF(G11&lt;B2,"已过期",2014110011)</f>
        <v>2014110011</v>
      </c>
      <c r="G11" s="2522">
        <v>49302</v>
      </c>
      <c r="H11" s="2523" t="str">
        <f t="shared" ca="1" si="1"/>
        <v>郑燚（注册号：2014110011）</v>
      </c>
    </row>
    <row r="12" spans="1:8" ht="24" customHeight="1">
      <c r="A12" s="1425" t="s">
        <v>2652</v>
      </c>
      <c r="B12" s="1425">
        <f ca="1">IF(C12&lt;B2,"已过期",1120040230)</f>
        <v>1120040230</v>
      </c>
      <c r="C12" s="2524">
        <v>44864</v>
      </c>
      <c r="D12" s="2520" t="str">
        <f t="shared" ca="1" si="0"/>
        <v>苏海（注册号：1120040230）</v>
      </c>
      <c r="E12" s="2521" t="s">
        <v>2652</v>
      </c>
      <c r="F12" s="1425">
        <f ca="1">IF(G12&lt;B2,"已过期",98030020)</f>
        <v>98030020</v>
      </c>
      <c r="G12" s="2522">
        <v>47118</v>
      </c>
      <c r="H12" s="2523" t="str">
        <f t="shared" ca="1" si="1"/>
        <v>苏海（注册号：98030020）</v>
      </c>
    </row>
    <row r="13" spans="1:8" ht="24" customHeight="1">
      <c r="A13" s="1425" t="s">
        <v>2653</v>
      </c>
      <c r="B13" s="1425" t="str">
        <f ca="1">IF(C13&lt;B2,"已过期",1120020033)</f>
        <v>已过期</v>
      </c>
      <c r="C13" s="2519">
        <v>44339</v>
      </c>
      <c r="D13" s="2520" t="str">
        <f t="shared" ca="1" si="0"/>
        <v>刘敬东（注册号：已过期）</v>
      </c>
      <c r="E13" s="2521" t="s">
        <v>2653</v>
      </c>
      <c r="F13" s="1425">
        <f ca="1">IF(G13&lt;B2,"已过期",2000110137)</f>
        <v>2000110137</v>
      </c>
      <c r="G13" s="2522">
        <v>46387</v>
      </c>
      <c r="H13" s="2523" t="str">
        <f t="shared" ca="1" si="1"/>
        <v>刘敬东（注册号：2000110137）</v>
      </c>
    </row>
    <row r="14" spans="1:8" ht="24" customHeight="1">
      <c r="A14" s="1425" t="s">
        <v>2654</v>
      </c>
      <c r="B14" s="1425">
        <f ca="1">IF(C14&lt;B2,"已过期",1119980106)</f>
        <v>1119980106</v>
      </c>
      <c r="C14" s="2524">
        <v>44969</v>
      </c>
      <c r="D14" s="2520" t="str">
        <f t="shared" ca="1" si="0"/>
        <v>刘俊财（注册号：1119980106）</v>
      </c>
      <c r="E14" s="2521" t="s">
        <v>2654</v>
      </c>
      <c r="F14" s="1425">
        <f ca="1">IF(G14&lt;B2,"已过期",96010063)</f>
        <v>96010063</v>
      </c>
      <c r="G14" s="2522">
        <v>47483</v>
      </c>
      <c r="H14" s="2523" t="str">
        <f t="shared" ca="1" si="1"/>
        <v>刘俊财（注册号：96010063）</v>
      </c>
    </row>
    <row r="15" spans="1:8" ht="24" customHeight="1">
      <c r="A15" s="1425" t="s">
        <v>2938</v>
      </c>
      <c r="B15" s="1425">
        <v>1120210056</v>
      </c>
      <c r="C15" s="2524">
        <v>45410</v>
      </c>
      <c r="D15" s="2520" t="str">
        <f t="shared" si="0"/>
        <v>宁小鳗（注册号：1120210056）</v>
      </c>
      <c r="E15" s="2521" t="s">
        <v>2655</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7" t="s">
        <v>2656</v>
      </c>
      <c r="B17" s="3307"/>
      <c r="C17" s="3307"/>
      <c r="D17" s="3307"/>
      <c r="E17" s="3307"/>
      <c r="F17" s="3307"/>
      <c r="G17" s="3307"/>
      <c r="H17" s="3307"/>
    </row>
    <row r="18" spans="1:8" ht="24" customHeight="1">
      <c r="A18" s="3308" t="s">
        <v>2657</v>
      </c>
      <c r="B18" s="3308"/>
      <c r="C18" s="3308"/>
      <c r="D18" s="2517"/>
      <c r="E18" s="3309" t="s">
        <v>2658</v>
      </c>
      <c r="F18" s="3308"/>
      <c r="G18" s="3308"/>
    </row>
    <row r="19" spans="1:8" s="2528" customFormat="1" ht="24" customHeight="1">
      <c r="A19" s="2527" t="s">
        <v>2659</v>
      </c>
      <c r="B19" s="2516" t="s">
        <v>2660</v>
      </c>
      <c r="C19" s="2516" t="s">
        <v>2639</v>
      </c>
      <c r="D19" s="2517"/>
      <c r="E19" s="2521" t="s">
        <v>2659</v>
      </c>
      <c r="F19" s="2516" t="s">
        <v>2660</v>
      </c>
      <c r="G19" s="2516" t="s">
        <v>2639</v>
      </c>
    </row>
    <row r="20" spans="1:8" s="2528" customFormat="1" ht="24" customHeight="1">
      <c r="A20" s="2529" t="s">
        <v>2661</v>
      </c>
      <c r="B20" s="2529" t="s">
        <v>2662</v>
      </c>
      <c r="C20" s="2522">
        <v>44820</v>
      </c>
      <c r="D20" s="2530"/>
      <c r="E20" s="2531" t="s">
        <v>2663</v>
      </c>
      <c r="F20" s="2534" t="s">
        <v>2939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结果表816</vt:lpstr>
      <vt:lpstr>成本法</vt:lpstr>
      <vt:lpstr>成本法 (元)</vt:lpstr>
      <vt:lpstr>假设开发法</vt:lpstr>
      <vt:lpstr>收益法</vt:lpstr>
      <vt:lpstr>比较法-办公816</vt:lpstr>
      <vt:lpstr>收益法 (元)816</vt:lpstr>
      <vt:lpstr>结果表817</vt:lpstr>
      <vt:lpstr>比较法-办公817</vt:lpstr>
      <vt:lpstr>收益法 (元)817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'比较法-办公816'!Print_Area</vt:lpstr>
      <vt:lpstr>'比较法-办公817'!Print_Area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结果表816!Print_Area</vt:lpstr>
      <vt:lpstr>结果表817!Print_Area</vt:lpstr>
      <vt:lpstr>收益法!Print_Area</vt:lpstr>
      <vt:lpstr>'收益法 (元)816'!Print_Area</vt:lpstr>
      <vt:lpstr>'收益法 (元)817'!Print_Area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'比较法-办公817'!办公层高</vt:lpstr>
      <vt:lpstr>办公层高</vt:lpstr>
      <vt:lpstr>'比较法-办公817'!办公朝向</vt:lpstr>
      <vt:lpstr>办公朝向</vt:lpstr>
      <vt:lpstr>'比较法-办公817'!办公道路级别</vt:lpstr>
      <vt:lpstr>办公道路级别</vt:lpstr>
      <vt:lpstr>'比较法-办公817'!办公公共部分装修</vt:lpstr>
      <vt:lpstr>办公公共部分装修</vt:lpstr>
      <vt:lpstr>'比较法-办公817'!办公基础设施水平</vt:lpstr>
      <vt:lpstr>办公基础设施水平</vt:lpstr>
      <vt:lpstr>办公集聚程度</vt:lpstr>
      <vt:lpstr>'比较法-办公817'!办公建筑结构</vt:lpstr>
      <vt:lpstr>办公建筑结构</vt:lpstr>
      <vt:lpstr>'比较法-办公817'!办公建筑类型</vt:lpstr>
      <vt:lpstr>办公建筑类型</vt:lpstr>
      <vt:lpstr>'比较法-办公817'!办公交易情况</vt:lpstr>
      <vt:lpstr>办公交易情况</vt:lpstr>
      <vt:lpstr>'比较法-办公817'!办公楼层</vt:lpstr>
      <vt:lpstr>办公楼层</vt:lpstr>
      <vt:lpstr>'比较法-办公817'!办公内部装修</vt:lpstr>
      <vt:lpstr>办公内部装修</vt:lpstr>
      <vt:lpstr>'比较法-办公817'!办公物业管理</vt:lpstr>
      <vt:lpstr>办公物业管理</vt:lpstr>
      <vt:lpstr>'比较法-办公817'!办公用途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'比较法-办公817'!写字楼等级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2022-06-22T02:14:08Z</dcterms:modified>
</cp:coreProperties>
</file>