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J53" i="15"/>
  <c r="G20" i="1"/>
  <c r="F8" i="6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E2" i="33"/>
  <c r="H23" i="31"/>
  <c r="D6" i="61"/>
  <c r="F5" i="61"/>
  <c r="D5" i="61"/>
  <c r="E2" i="21"/>
  <c r="E2" i="37"/>
  <c r="C20" i="57"/>
  <c r="E2" i="35"/>
  <c r="D3" i="61"/>
  <c r="D7" i="61"/>
  <c r="E2" i="34"/>
  <c r="C19" i="57"/>
  <c r="F6" i="61"/>
  <c r="D19" i="57"/>
  <c r="D4" i="61"/>
  <c r="F4" i="61"/>
  <c r="F3" i="61"/>
  <c r="F7" i="61"/>
  <c r="E2" i="36"/>
  <c r="D20" i="57"/>
  <c r="E2" i="11"/>
  <c r="D42" i="50" l="1"/>
  <c r="D43" i="50" s="1"/>
  <c r="C5" i="11"/>
  <c r="C15" i="12"/>
  <c r="C13" i="12"/>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20" i="11" l="1"/>
  <c r="C28" i="11" s="1"/>
  <c r="C27" i="11" s="1"/>
  <c r="C16" i="12"/>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98" i="57"/>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2" i="9" l="1"/>
  <c r="G20" i="9"/>
  <c r="C32" i="9" s="1"/>
  <c r="C35" i="9" s="1"/>
  <c r="C34" i="9" s="1"/>
  <c r="D101" i="9"/>
  <c r="D22" i="9"/>
  <c r="G19"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16" i="50" l="1"/>
  <c r="B30" i="60" s="1"/>
  <c r="D8" i="50"/>
  <c r="B22" i="60" s="1"/>
  <c r="G121" i="9"/>
  <c r="F121" i="9" s="1"/>
  <c r="F122" i="9" s="1"/>
  <c r="E121" i="9"/>
  <c r="D121" i="9" s="1"/>
  <c r="D122" i="9" s="1"/>
  <c r="I121" i="9"/>
  <c r="I103" i="9" s="1"/>
  <c r="H121" i="9" l="1"/>
  <c r="C104" i="9"/>
  <c r="D107" i="9"/>
  <c r="C103" i="9" l="1"/>
  <c r="H122" i="9"/>
  <c r="D14" i="62"/>
  <c r="D106" i="9"/>
  <c r="D112" i="9" s="1"/>
  <c r="I102" i="9"/>
  <c r="N48" i="9" l="1"/>
  <c r="I110" i="9"/>
  <c r="D125" i="9" s="1"/>
  <c r="G14" i="62" s="1"/>
  <c r="B6" i="62" s="1"/>
  <c r="D45" i="9"/>
  <c r="F14" i="62"/>
  <c r="B5" i="62"/>
  <c r="E14" i="62"/>
  <c r="D117" i="9"/>
  <c r="I115" i="9" s="1"/>
  <c r="D113" i="9"/>
  <c r="I111" i="9" s="1"/>
  <c r="D126" i="9" s="1"/>
  <c r="D5" i="62" l="1"/>
  <c r="C5" i="62"/>
  <c r="D52" i="9"/>
  <c r="C85" i="9"/>
  <c r="C93" i="9"/>
  <c r="C86" i="9" s="1"/>
  <c r="C64" i="9"/>
  <c r="C63" i="9" s="1"/>
  <c r="C67" i="9" s="1"/>
  <c r="C68" i="9" s="1"/>
  <c r="D54" i="9" s="1"/>
  <c r="D53" i="9"/>
  <c r="D48" i="9" s="1"/>
  <c r="N52" i="9" s="1"/>
  <c r="O57" i="9" s="1"/>
  <c r="C72" i="9"/>
  <c r="C78" i="9"/>
  <c r="C73" i="9" s="1"/>
  <c r="D6" i="62"/>
  <c r="C6" i="62"/>
  <c r="O58" i="9" l="1"/>
  <c r="O59" i="9"/>
  <c r="Q57" i="9"/>
  <c r="C79" i="9"/>
  <c r="C95" i="9"/>
  <c r="C96" i="9" l="1"/>
  <c r="E96" i="9" s="1"/>
  <c r="E97" i="9" s="1"/>
  <c r="C80" i="9"/>
  <c r="E80" i="9" s="1"/>
  <c r="E81" i="9" s="1"/>
  <c r="O61" i="9"/>
  <c r="O60" i="9"/>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<sst xmlns="http://schemas.openxmlformats.org/spreadsheetml/2006/main" count="6913" uniqueCount="3054">
  <si>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</si>
  <si>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</si>
  <si>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</si>
  <si>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</si>
  <si>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</si>
  <si>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</si>
  <si>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</si>
  <si>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</si>
  <si>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</si>
  <si>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</si>
  <si>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</si>
  <si>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</si>
  <si>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</si>
  <si>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</si>
  <si>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</si>
  <si>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</si>
  <si>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</si>
  <si>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</si>
  <si>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</si>
  <si>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</si>
  <si>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</si>
  <si>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</si>
  <si>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</si>
  <si>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</si>
  <si>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</si>
  <si>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</si>
  <si>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</si>
  <si>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</si>
  <si>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</si>
  <si>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</si>
  <si>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</si>
  <si>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</si>
  <si>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</si>
  <si>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</si>
  <si>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</si>
  <si>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</si>
  <si>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</si>
  <si>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</si>
  <si>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</si>
  <si>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</si>
  <si>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</si>
  <si>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</si>
  <si>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</si>
  <si>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</si>
  <si>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</si>
  <si>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</si>
  <si>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</si>
  <si>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</si>
  <si>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</si>
  <si>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</si>
  <si>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</si>
  <si>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</si>
  <si>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</si>
  <si>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</si>
  <si>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</si>
  <si>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</si>
  <si>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</si>
  <si>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</si>
  <si>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</si>
  <si>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</si>
  <si>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</si>
  <si>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</si>
  <si>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</si>
  <si>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</si>
  <si>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</si>
  <si>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</si>
  <si>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</si>
  <si>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</si>
  <si>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</si>
  <si>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</si>
  <si>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</si>
  <si>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</si>
  <si>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</si>
  <si>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</si>
  <si>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</si>
  <si>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</si>
  <si>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</si>
  <si>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</si>
  <si>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</si>
  <si>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</si>
  <si>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</si>
  <si>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</si>
  <si>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</si>
  <si>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</si>
  <si>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</si>
  <si>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</si>
  <si>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</si>
  <si>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</si>
  <si>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</si>
  <si>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</si>
  <si>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</si>
  <si>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</si>
  <si>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</si>
  <si>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</si>
  <si>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</si>
  <si>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</si>
  <si>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</si>
  <si>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</si>
  <si>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</si>
  <si>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</si>
  <si>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</si>
  <si>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</si>
  <si>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</si>
  <si>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</si>
  <si>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</si>
  <si>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</si>
  <si>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</si>
  <si>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</si>
  <si>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</si>
  <si>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</si>
  <si>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</si>
  <si>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</si>
  <si>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</si>
  <si>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</si>
  <si>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</si>
  <si>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</si>
  <si>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</si>
  <si>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</si>
  <si>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</si>
  <si>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</si>
  <si>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</si>
  <si>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</si>
  <si>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</si>
  <si>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</si>
  <si>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</si>
  <si>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</si>
  <si>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</si>
  <si>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</si>
  <si>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</si>
  <si>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</si>
  <si>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</si>
  <si>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</si>
  <si>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</si>
  <si>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</si>
  <si>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</si>
  <si>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</si>
  <si>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</si>
  <si>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</si>
  <si>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</si>
  <si>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</si>
  <si>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</si>
  <si>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</si>
  <si>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</si>
  <si>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</si>
  <si>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</si>
  <si>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</si>
  <si>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</si>
  <si>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</si>
  <si>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</si>
  <si>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</si>
  <si>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</si>
  <si>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</si>
  <si>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</si>
  <si>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</si>
  <si>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</si>
  <si>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</si>
  <si>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</si>
  <si>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</si>
  <si>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</si>
  <si>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</si>
  <si>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</si>
  <si>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</si>
  <si>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</si>
  <si>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</si>
  <si>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</si>
  <si>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</si>
  <si>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</si>
  <si>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</si>
  <si>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</si>
  <si>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</si>
  <si>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</si>
  <si>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</si>
  <si>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</si>
  <si>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</si>
  <si>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</si>
  <si>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</si>
  <si>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</si>
  <si>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</si>
  <si>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</si>
  <si>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</si>
  <si>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</si>
  <si>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</si>
  <si>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</si>
  <si>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</si>
  <si>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</si>
  <si>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</si>
  <si>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</si>
  <si>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</si>
  <si>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</si>
  <si>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</si>
  <si>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</si>
  <si>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</si>
  <si>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</si>
  <si>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</si>
  <si>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</si>
  <si>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</si>
  <si>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</si>
  <si>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</si>
  <si>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</si>
  <si>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</si>
  <si>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</si>
  <si>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</si>
  <si>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</si>
  <si>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</si>
  <si>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</si>
  <si>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</si>
  <si>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</si>
  <si>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</si>
  <si>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</si>
  <si>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</si>
  <si>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</si>
  <si>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</si>
  <si>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</si>
  <si>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</si>
  <si>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</si>
  <si>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</si>
  <si>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</si>
  <si>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</si>
  <si>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</si>
  <si>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</si>
  <si>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</si>
  <si>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</si>
  <si>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</si>
  <si>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</si>
  <si>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</si>
  <si>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</si>
  <si>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</si>
  <si>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</si>
  <si>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</si>
  <si>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</si>
  <si>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</si>
  <si>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</si>
  <si>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</si>
  <si>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</si>
  <si>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</si>
  <si>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</si>
  <si>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</si>
  <si>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</si>
  <si>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</si>
  <si>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</si>
  <si>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</si>
  <si>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</si>
  <si>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</si>
  <si>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</si>
  <si>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</si>
  <si>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</si>
  <si>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</si>
  <si>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</si>
  <si>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</si>
  <si>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</si>
  <si>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</si>
  <si>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</si>
  <si>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</si>
  <si>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</si>
  <si>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</si>
  <si>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</si>
  <si>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</si>
  <si>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</si>
  <si>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</si>
  <si>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</si>
  <si>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</si>
  <si>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</si>
  <si>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</si>
  <si>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</si>
  <si>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</si>
  <si>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</si>
  <si>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</si>
  <si>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</si>
  <si>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</si>
  <si>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</si>
  <si>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</si>
  <si>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</si>
  <si>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</si>
  <si>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</si>
  <si>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</si>
  <si>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</si>
  <si>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</si>
  <si>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</si>
  <si>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</si>
  <si>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</si>
  <si>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</si>
  <si>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</si>
  <si>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</si>
  <si>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</si>
  <si>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</si>
  <si>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</si>
  <si>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</si>
  <si>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</si>
  <si>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</si>
  <si>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</si>
  <si>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</si>
  <si>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</si>
  <si>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</si>
  <si>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</si>
  <si>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</si>
  <si>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</si>
  <si>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</si>
  <si>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</si>
  <si>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</si>
  <si>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</si>
  <si>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</si>
  <si>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</si>
  <si>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</si>
  <si>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</si>
  <si>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</si>
  <si>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</si>
  <si>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</si>
  <si>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</si>
  <si>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</si>
  <si>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</si>
  <si>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</si>
  <si>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</si>
  <si>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</si>
  <si>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</si>
  <si>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</si>
  <si>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</si>
  <si>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</si>
  <si>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</si>
  <si>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</si>
  <si>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</si>
  <si>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</si>
  <si>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</si>
  <si>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</si>
  <si>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</si>
  <si>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</si>
  <si>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</si>
  <si>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</si>
  <si>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</si>
  <si>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</si>
  <si>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</si>
  <si>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</si>
  <si>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</si>
  <si>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</si>
  <si>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</si>
  <si>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</si>
  <si>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</si>
  <si>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</si>
  <si>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</si>
  <si>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</si>
  <si>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</si>
  <si>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</si>
  <si>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</si>
  <si>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</si>
  <si>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</si>
  <si>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</si>
  <si>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</si>
  <si>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</si>
  <si>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</si>
  <si>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</si>
  <si>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</si>
  <si>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</si>
  <si>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</si>
  <si>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</si>
  <si>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</si>
  <si>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</si>
  <si>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</si>
  <si>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</si>
  <si>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</si>
  <si>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</si>
  <si>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</si>
  <si>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</si>
  <si>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</si>
  <si>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</si>
  <si>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</si>
  <si>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</si>
  <si>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</si>
  <si>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</si>
  <si>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</si>
  <si>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</si>
  <si>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</si>
  <si>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</si>
  <si>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</si>
  <si>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</si>
  <si>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</si>
  <si>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</si>
  <si>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</si>
  <si>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</si>
  <si>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</si>
  <si>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</si>
  <si>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</si>
  <si>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</si>
  <si>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</si>
  <si>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</si>
  <si>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</si>
  <si>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</si>
  <si>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</si>
  <si>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</si>
  <si>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</si>
  <si>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</si>
  <si>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</si>
  <si>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</si>
  <si>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</si>
  <si>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</si>
  <si>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</si>
  <si>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</si>
  <si>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</si>
  <si>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</si>
  <si>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</si>
  <si>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</si>
  <si>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</si>
  <si>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</si>
  <si>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</si>
  <si>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</si>
  <si>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</si>
  <si>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</si>
  <si>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</si>
  <si>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</si>
  <si>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</si>
  <si>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</si>
  <si>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</si>
  <si>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</si>
  <si>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</si>
  <si>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</si>
  <si>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</si>
  <si>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</si>
  <si>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</si>
  <si>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</si>
  <si>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</si>
  <si>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</si>
  <si>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</si>
  <si>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</si>
  <si>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</si>
  <si>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</si>
  <si>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</si>
  <si>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</si>
  <si>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</si>
  <si>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</si>
  <si>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</si>
  <si>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</si>
  <si>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</si>
  <si>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</si>
  <si>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</si>
  <si>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</si>
  <si>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</si>
  <si>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</si>
  <si>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</si>
  <si>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</si>
  <si>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</si>
  <si>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</si>
  <si>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</si>
  <si>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</si>
  <si>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</si>
  <si>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</si>
  <si>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</si>
  <si>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</si>
  <si>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</si>
  <si>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</si>
  <si>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</si>
  <si>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</si>
  <si>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</si>
  <si>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</si>
  <si>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</si>
  <si>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</si>
  <si>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</si>
  <si>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</si>
  <si>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</si>
  <si>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</si>
  <si>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</si>
  <si>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</si>
  <si>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</si>
  <si>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</si>
  <si>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</si>
  <si>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</si>
  <si>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</si>
  <si>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</si>
  <si>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</si>
  <si>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</si>
  <si>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</si>
  <si>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</si>
  <si>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</si>
  <si>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</si>
  <si>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</si>
  <si>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</si>
  <si>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</si>
  <si>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</si>
  <si>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</si>
  <si>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</si>
  <si>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</si>
  <si>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</si>
  <si>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</si>
  <si>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</si>
  <si>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</si>
  <si>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</si>
  <si>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</si>
  <si>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</si>
  <si>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</si>
  <si>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</si>
  <si>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</si>
  <si>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</si>
  <si>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</si>
  <si>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</si>
  <si>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</si>
  <si>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</si>
  <si>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</si>
  <si>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</si>
  <si>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</si>
  <si>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</si>
  <si>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</si>
  <si>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</si>
  <si>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</si>
  <si>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</si>
  <si>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</si>
  <si>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</si>
  <si>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</si>
  <si>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</si>
  <si>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</si>
  <si>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</si>
  <si>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</si>
  <si>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</si>
  <si>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</si>
  <si>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</si>
  <si>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</si>
  <si>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</si>
  <si>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</si>
  <si>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</si>
  <si>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</si>
  <si>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</si>
  <si>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</si>
  <si>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</si>
  <si>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</si>
  <si>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</si>
  <si>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</si>
  <si>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</si>
  <si>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</si>
  <si>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</si>
  <si>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</si>
  <si>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</si>
  <si>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</si>
  <si>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</si>
  <si>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</si>
  <si>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</si>
  <si>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</si>
  <si>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</si>
  <si>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</si>
  <si>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</si>
  <si>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</si>
  <si>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</si>
  <si>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</si>
  <si>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</si>
  <si>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</si>
  <si>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</si>
  <si>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</si>
  <si>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</si>
  <si>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</si>
  <si>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</si>
  <si>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</si>
  <si>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</si>
  <si>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</si>
  <si>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</si>
  <si>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</si>
  <si>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</si>
  <si>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</si>
  <si>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</si>
  <si>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</si>
  <si>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</si>
  <si>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</si>
  <si>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</si>
  <si>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</si>
  <si>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</si>
  <si>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</si>
  <si>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</si>
  <si>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</si>
  <si>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</si>
  <si>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</si>
  <si>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</si>
  <si>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</si>
  <si>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</si>
  <si>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</si>
  <si>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</si>
  <si>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</si>
  <si>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</si>
  <si>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</si>
  <si>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</si>
  <si>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</si>
  <si>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</si>
  <si>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</si>
  <si>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</si>
  <si>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</si>
  <si>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</si>
  <si>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</si>
  <si>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</si>
  <si>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</si>
  <si>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</si>
  <si>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</si>
  <si>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</si>
  <si>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</si>
  <si>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</si>
  <si>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</si>
  <si>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</si>
  <si>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</si>
  <si>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</si>
  <si>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</si>
  <si>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</si>
  <si>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</si>
  <si>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</si>
  <si>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</si>
  <si>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</si>
  <si>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</si>
  <si>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</si>
  <si>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</si>
  <si>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</si>
  <si>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</si>
  <si>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</si>
  <si>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</si>
  <si>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</si>
  <si>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</si>
  <si>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</si>
  <si>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</si>
  <si>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</si>
  <si>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</si>
  <si>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</si>
  <si>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</si>
  <si>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</si>
  <si>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</si>
  <si>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</si>
  <si>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</si>
  <si>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</si>
  <si>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</si>
  <si>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</si>
  <si>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</si>
  <si>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</si>
  <si>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</si>
  <si>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</si>
  <si>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</si>
  <si>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</si>
  <si>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</si>
  <si>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</si>
  <si>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</si>
  <si>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</si>
  <si>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</si>
  <si>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</si>
  <si>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</si>
  <si>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</si>
  <si>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</si>
  <si>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</si>
  <si>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</si>
  <si>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</si>
  <si>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</si>
  <si>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</si>
  <si>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</si>
  <si>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</si>
  <si>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</si>
  <si>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</si>
  <si>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</si>
  <si>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</si>
  <si>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</si>
  <si>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</si>
  <si>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</si>
  <si>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</si>
  <si>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</si>
  <si>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</si>
  <si>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</si>
  <si>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</si>
  <si>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</si>
  <si>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</si>
  <si>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</si>
  <si>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</si>
  <si>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</si>
  <si>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</si>
  <si>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</si>
  <si>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</si>
  <si>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</si>
  <si>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</si>
  <si>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</si>
  <si>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</si>
  <si>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</si>
  <si>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</si>
  <si>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</si>
  <si>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</si>
  <si>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</si>
  <si>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</si>
  <si>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</si>
  <si>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</si>
  <si>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</si>
  <si>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</si>
  <si>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</si>
  <si>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</si>
  <si>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</si>
  <si>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</si>
  <si>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</si>
  <si>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</si>
  <si>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</si>
  <si>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</si>
  <si>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</si>
  <si>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</si>
  <si>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</si>
  <si>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</si>
  <si>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</si>
  <si>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</si>
  <si>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</si>
  <si>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</si>
  <si>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</si>
  <si>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</si>
  <si>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</si>
  <si>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</si>
  <si>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</si>
  <si>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</si>
  <si>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</si>
  <si>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</si>
  <si>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</si>
  <si>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</si>
  <si>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</si>
  <si>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</si>
  <si>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</si>
  <si>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</si>
  <si>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</si>
  <si>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</si>
  <si>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</si>
  <si>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</si>
  <si>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</si>
  <si>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</si>
  <si>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</si>
  <si>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</si>
  <si>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</si>
  <si>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</si>
  <si>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</si>
  <si>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</si>
  <si>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</si>
  <si>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</si>
  <si>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</si>
  <si>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</si>
  <si>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</si>
  <si>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</si>
  <si>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</si>
  <si>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</si>
  <si>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</si>
  <si>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</si>
  <si>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</si>
  <si>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</si>
  <si>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</si>
  <si>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</si>
  <si>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</si>
  <si>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</si>
  <si>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</si>
  <si>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</si>
  <si>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</si>
  <si>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</si>
  <si>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</si>
  <si>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</si>
  <si>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</si>
  <si>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</si>
  <si>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</si>
  <si>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</si>
  <si>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</si>
  <si>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</si>
  <si>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</si>
  <si>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</si>
  <si>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</si>
  <si>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</si>
  <si>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</si>
  <si>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</si>
  <si>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</si>
  <si>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</si>
  <si>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</si>
  <si>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</si>
  <si>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</si>
  <si>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</si>
  <si>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</si>
  <si>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</si>
  <si>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</si>
  <si>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</si>
  <si>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</si>
  <si>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</si>
  <si>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</si>
  <si>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</si>
  <si>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</si>
  <si>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</si>
  <si>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</si>
  <si>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</si>
  <si>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</si>
  <si>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</si>
  <si>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</si>
  <si>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</si>
  <si>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</si>
  <si>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</si>
  <si>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</si>
  <si>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</si>
  <si>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</si>
  <si>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</si>
  <si>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</si>
  <si>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</si>
  <si>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</si>
  <si>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</si>
  <si>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</si>
  <si>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</si>
  <si>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</si>
  <si>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</si>
  <si>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</si>
  <si>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</si>
  <si>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</si>
  <si>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</si>
  <si>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</si>
  <si>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</si>
  <si>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</si>
  <si>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</si>
  <si>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</si>
  <si>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</si>
  <si>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</si>
  <si>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</si>
  <si>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</si>
  <si>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</si>
  <si>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</si>
  <si>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</si>
  <si>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</si>
  <si>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</si>
  <si>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</si>
  <si>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</si>
  <si>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</si>
  <si>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</si>
  <si>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</si>
  <si>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</si>
  <si>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</si>
  <si>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</si>
  <si>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</si>
  <si>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</si>
  <si>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</si>
  <si>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</si>
  <si>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</si>
  <si>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</si>
  <si>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</si>
  <si>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</si>
  <si>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</si>
  <si>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</si>
  <si>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</si>
  <si>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</si>
  <si>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</si>
  <si>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</si>
  <si>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</si>
  <si>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</si>
  <si>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</si>
  <si>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</si>
  <si>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</si>
  <si>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</si>
  <si>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</si>
  <si>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</si>
  <si>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</si>
  <si>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</si>
  <si>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</si>
  <si>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</si>
  <si>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</si>
  <si>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</si>
  <si>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</si>
  <si>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</si>
  <si>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</si>
  <si>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</si>
  <si>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</si>
  <si>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</si>
  <si>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</si>
  <si>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</si>
  <si>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</si>
  <si>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</si>
  <si>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</si>
  <si>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</si>
  <si>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</si>
  <si>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</si>
  <si>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</si>
  <si>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</si>
  <si>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</si>
  <si>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</si>
  <si>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</si>
  <si>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</si>
  <si>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</si>
  <si>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</si>
  <si>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</si>
  <si>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</si>
  <si>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</si>
  <si>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</si>
  <si>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</si>
  <si>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</si>
  <si>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</si>
  <si>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</si>
  <si>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</si>
  <si>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</si>
  <si>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</si>
  <si>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</si>
  <si>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</si>
  <si>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</si>
  <si>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</si>
  <si>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</si>
  <si>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</si>
  <si>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</si>
  <si>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</si>
  <si>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</si>
  <si>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</si>
  <si>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</si>
  <si>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</si>
  <si>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</si>
  <si>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</si>
  <si>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</si>
  <si>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</si>
  <si>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</si>
  <si>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</si>
  <si>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</si>
  <si>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</si>
  <si>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</si>
  <si>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</si>
  <si>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</si>
  <si>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</si>
  <si>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</si>
  <si>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</si>
  <si>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</si>
  <si>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</si>
  <si>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</si>
  <si>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</si>
  <si>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</si>
  <si>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</si>
  <si>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</si>
  <si>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</si>
  <si>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</si>
  <si>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</si>
  <si>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</si>
  <si>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</si>
  <si>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</si>
  <si>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</si>
  <si>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</si>
  <si>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</si>
  <si>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</si>
  <si>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</si>
  <si>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</si>
  <si>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</si>
  <si>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</si>
  <si>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</si>
  <si>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</si>
  <si>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</si>
  <si>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</si>
  <si>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</si>
  <si>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</si>
  <si>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</si>
  <si>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</si>
  <si>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</si>
  <si>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</si>
  <si>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</si>
  <si>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</si>
  <si>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</si>
  <si>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</si>
  <si>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</si>
  <si>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</si>
  <si>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</si>
  <si>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</si>
  <si>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</si>
  <si>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</si>
  <si>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</si>
  <si>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</si>
  <si>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</si>
  <si>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</si>
  <si>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</si>
  <si>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</si>
  <si>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</si>
  <si>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</si>
  <si>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</si>
  <si>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</si>
  <si>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</si>
  <si>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</si>
  <si>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</si>
  <si>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</si>
  <si>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</si>
  <si>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</si>
  <si>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</si>
  <si>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</si>
  <si>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</si>
  <si>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</si>
  <si>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</si>
  <si>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</si>
  <si>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</si>
  <si>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</si>
  <si>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</si>
  <si>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</si>
  <si>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</si>
  <si>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</si>
  <si>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</si>
  <si>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</si>
  <si>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</si>
  <si>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</si>
  <si>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</si>
  <si>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</si>
  <si>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</si>
  <si>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</si>
  <si>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</si>
  <si>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</si>
  <si>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</si>
  <si>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</si>
  <si>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</si>
  <si>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</si>
  <si>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</si>
  <si>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</si>
  <si>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</si>
  <si>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</si>
  <si>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</si>
  <si>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</si>
  <si>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</si>
  <si>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</si>
  <si>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</si>
  <si>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</si>
  <si>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</si>
  <si>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</si>
  <si>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</si>
  <si>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</si>
  <si>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</si>
  <si>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</si>
  <si>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</si>
  <si>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</si>
  <si>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</si>
  <si>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</si>
  <si>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</si>
  <si>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</si>
  <si>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</si>
  <si>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</si>
  <si>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</si>
  <si>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</si>
  <si>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</si>
  <si>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</si>
  <si>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</si>
  <si>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</si>
  <si>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</si>
  <si>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</si>
  <si>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</si>
  <si>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</si>
  <si>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</si>
  <si>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</si>
  <si>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</si>
  <si>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</si>
  <si>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</si>
  <si>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</si>
  <si>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</si>
  <si>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</si>
  <si>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</si>
  <si>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</si>
  <si>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</si>
  <si>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</si>
  <si>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</si>
  <si>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</si>
  <si>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</si>
  <si>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</si>
  <si>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</si>
  <si>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</si>
  <si>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</si>
  <si>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</si>
  <si>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</si>
  <si>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</si>
  <si>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</si>
  <si>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</si>
  <si>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</si>
  <si>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</si>
  <si>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</si>
  <si>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</si>
  <si>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</si>
  <si>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</si>
  <si>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</si>
  <si>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</si>
  <si>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</si>
  <si>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</si>
  <si>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</si>
  <si>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</si>
  <si>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</si>
  <si>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</si>
  <si>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</si>
  <si>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</si>
  <si>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</si>
  <si>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</si>
  <si>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</si>
  <si>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</si>
  <si>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</si>
  <si>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</si>
  <si>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</si>
  <si>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</si>
  <si>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</si>
  <si>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</si>
  <si>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</si>
  <si>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</si>
  <si>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</si>
  <si>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</si>
  <si>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</si>
  <si>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</si>
  <si>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</si>
  <si>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</si>
  <si>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</si>
  <si>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</si>
  <si>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</si>
  <si>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</si>
  <si>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</si>
  <si>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</si>
  <si>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</si>
  <si>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</si>
  <si>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</si>
  <si>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</si>
  <si>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</si>
  <si>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</si>
  <si>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</si>
  <si>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</si>
  <si>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</si>
  <si>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</si>
  <si>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</si>
  <si>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</si>
  <si>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</si>
  <si>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</si>
  <si>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</si>
  <si>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</si>
  <si>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</si>
  <si>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</si>
  <si>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</si>
  <si>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</si>
  <si>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</si>
  <si>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</si>
  <si>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</si>
  <si>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</si>
  <si>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</si>
  <si>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</si>
  <si>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</si>
  <si>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</si>
  <si>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</si>
  <si>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</si>
  <si>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</si>
  <si>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</si>
  <si>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</si>
  <si>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</si>
  <si>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</si>
  <si>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</si>
  <si>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</si>
  <si>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</si>
  <si>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</si>
  <si>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</si>
  <si>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</si>
  <si>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</si>
  <si>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</si>
  <si>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</si>
  <si>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</si>
  <si>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</si>
  <si>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</si>
  <si>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</si>
  <si>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</si>
  <si>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</si>
  <si>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</si>
  <si>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</si>
  <si>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</si>
  <si>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</si>
  <si>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</si>
  <si>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</si>
  <si>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</si>
  <si>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</si>
  <si>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</si>
  <si>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</si>
  <si>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</si>
  <si>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</si>
  <si>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</si>
  <si>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</si>
  <si>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</si>
  <si>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</si>
  <si>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</si>
  <si>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</si>
  <si>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</si>
  <si>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</si>
  <si>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</si>
  <si>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</si>
  <si>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</si>
  <si>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</si>
  <si>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</si>
  <si>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</si>
  <si>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</si>
  <si>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</si>
  <si>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</si>
  <si>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</si>
  <si>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</si>
  <si>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</si>
  <si>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</si>
  <si>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</si>
  <si>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</si>
  <si>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</si>
  <si>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</si>
  <si>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</si>
  <si>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</si>
  <si>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</si>
  <si>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</si>
  <si>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</si>
  <si>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</si>
  <si>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</si>
  <si>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</si>
  <si>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</si>
  <si>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</si>
  <si>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</si>
  <si>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</si>
  <si>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</si>
  <si>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</si>
  <si>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</si>
  <si>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</si>
  <si>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</si>
  <si>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</si>
  <si>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</si>
  <si>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</si>
  <si>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</si>
  <si>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</si>
  <si>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</si>
  <si>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</si>
  <si>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</si>
  <si>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</si>
  <si>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</si>
  <si>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</si>
  <si>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</si>
  <si>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</si>
  <si>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</si>
  <si>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</si>
  <si>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</si>
  <si>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</si>
  <si>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</si>
  <si>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</si>
  <si>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</si>
  <si>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</si>
  <si>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</si>
  <si>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</si>
  <si>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</si>
  <si>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</si>
  <si>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</si>
  <si>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</si>
  <si>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</si>
  <si>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</si>
  <si>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</si>
  <si>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</si>
  <si>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</si>
  <si>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</si>
  <si>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</si>
  <si>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</si>
  <si>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</si>
  <si>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</si>
  <si>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</si>
  <si>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</si>
  <si>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</si>
  <si>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</si>
  <si>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</si>
  <si>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</si>
  <si>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</si>
  <si>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</si>
  <si>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</si>
  <si>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</si>
  <si>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</si>
  <si>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</si>
  <si>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</si>
  <si>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</si>
  <si>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</si>
  <si>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</si>
  <si>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</si>
  <si>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</si>
  <si>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</si>
  <si>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</si>
  <si>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</si>
  <si>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</si>
  <si>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</si>
  <si>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</si>
  <si>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</si>
  <si>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</si>
  <si>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</si>
  <si>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</si>
  <si>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</si>
  <si>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</si>
  <si>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</si>
  <si>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</si>
  <si>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</si>
  <si>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</si>
  <si>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</si>
  <si>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</si>
  <si>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</si>
  <si>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</si>
  <si>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</si>
  <si>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</si>
  <si>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</si>
  <si>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</si>
  <si>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</si>
  <si>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</si>
  <si>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</si>
  <si>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</si>
  <si>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</si>
  <si>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</si>
  <si>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</si>
  <si>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</si>
  <si>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</si>
  <si>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</si>
  <si>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</si>
  <si>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</si>
  <si>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</si>
  <si>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</si>
  <si>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</si>
  <si>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</si>
  <si>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</si>
  <si>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</si>
  <si>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</si>
  <si>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</si>
  <si>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</si>
  <si>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</si>
  <si>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</si>
  <si>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</si>
  <si>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</si>
  <si>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</si>
  <si>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</si>
  <si>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</si>
  <si>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</si>
  <si>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</si>
  <si>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</si>
  <si>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</si>
  <si>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</si>
  <si>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</si>
  <si>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</si>
  <si>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</si>
  <si>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</si>
  <si>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</si>
  <si>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</si>
  <si>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</si>
  <si>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</si>
  <si>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</si>
  <si>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</si>
  <si>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</si>
  <si>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</si>
  <si>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</si>
  <si>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</si>
  <si>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</si>
  <si>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</si>
  <si>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</si>
  <si>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</si>
  <si>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</si>
  <si>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</si>
  <si>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</si>
  <si>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</si>
  <si>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</si>
  <si>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</si>
  <si>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</si>
  <si>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</si>
  <si>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</si>
  <si>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</si>
  <si>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</si>
  <si>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</si>
  <si>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</si>
  <si>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</si>
  <si>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</si>
  <si>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</si>
  <si>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</si>
  <si>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</si>
  <si>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</si>
  <si>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</si>
  <si>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</si>
  <si>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</si>
  <si>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</si>
  <si>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</si>
  <si>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</si>
  <si>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</si>
  <si>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</si>
  <si>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</si>
  <si>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</si>
  <si>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</si>
  <si>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</si>
  <si>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</si>
  <si>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</si>
  <si>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</si>
  <si>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</si>
  <si>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</si>
  <si>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</si>
  <si>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</si>
  <si>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</si>
  <si>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</si>
  <si>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</si>
  <si>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</si>
  <si>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</si>
  <si>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</si>
  <si>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</si>
  <si>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</si>
  <si>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</si>
  <si>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</si>
  <si>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</si>
  <si>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</si>
  <si>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</si>
  <si>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</si>
  <si>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</si>
  <si>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</si>
  <si>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</si>
  <si>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</si>
  <si>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</si>
  <si>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</si>
  <si>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</si>
  <si>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</si>
  <si>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</si>
  <si>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</si>
  <si>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</si>
  <si>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</si>
  <si>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</si>
  <si>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</si>
  <si>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</si>
  <si>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</si>
  <si>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</si>
  <si>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</si>
  <si>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</si>
  <si>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</si>
  <si>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</si>
  <si>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</si>
  <si>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</si>
  <si>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</si>
  <si>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</si>
  <si>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</si>
  <si>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</si>
  <si>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</si>
  <si>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</si>
  <si>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</si>
  <si>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</si>
  <si>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</si>
  <si>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</si>
  <si>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</si>
  <si>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</si>
  <si>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</si>
  <si>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</si>
  <si>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</si>
  <si>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</si>
  <si>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</si>
  <si>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</si>
  <si>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</si>
  <si>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</si>
  <si>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</si>
  <si>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</si>
  <si>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</si>
  <si>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</si>
  <si>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</si>
  <si>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</si>
  <si>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</si>
  <si>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</si>
  <si>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</si>
  <si>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</si>
  <si>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</si>
  <si>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</si>
  <si>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</si>
  <si>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</si>
  <si>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</si>
  <si>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</si>
  <si>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</si>
  <si>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</si>
  <si>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</si>
  <si>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</si>
  <si>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</si>
  <si>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</si>
  <si>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</si>
  <si>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</si>
  <si>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</si>
  <si>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</si>
  <si>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</si>
  <si>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</si>
  <si>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</si>
  <si>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</si>
  <si>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</si>
  <si>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</si>
  <si>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</si>
  <si>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</si>
  <si>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</si>
  <si>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</si>
  <si>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</si>
  <si>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</si>
  <si>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</si>
  <si>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</si>
  <si>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</si>
  <si>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</si>
  <si>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</si>
  <si>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</si>
  <si>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</si>
  <si>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</si>
  <si>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</si>
  <si>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</si>
  <si>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</si>
  <si>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</si>
  <si>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</si>
  <si>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</si>
  <si>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</si>
  <si>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</si>
  <si>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</si>
  <si>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</si>
  <si>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</si>
  <si>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</si>
  <si>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</si>
  <si>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</si>
  <si>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</si>
  <si>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</si>
  <si>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</si>
  <si>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</si>
  <si>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</si>
  <si>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</si>
  <si>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</si>
  <si>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</si>
  <si>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</si>
  <si>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</si>
  <si>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</si>
  <si>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</si>
  <si>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</si>
  <si>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</si>
  <si>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</si>
  <si>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</si>
  <si>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</si>
  <si>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</si>
  <si>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</si>
  <si>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</si>
  <si>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</si>
  <si>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</si>
  <si>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</si>
  <si>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</si>
  <si>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</si>
  <si>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</si>
  <si>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</si>
  <si>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</si>
  <si>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</si>
  <si>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</si>
  <si>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</si>
  <si>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</si>
  <si>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</si>
  <si>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</si>
  <si>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</si>
  <si>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</si>
  <si>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</si>
  <si>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</si>
  <si>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</si>
  <si>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</si>
  <si>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</si>
  <si>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</si>
  <si>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</si>
  <si>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</si>
  <si>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</si>
  <si>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</si>
  <si>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</si>
  <si>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</si>
  <si>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</si>
  <si>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</si>
  <si>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</si>
  <si>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</si>
  <si>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</si>
  <si>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</si>
  <si>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</si>
  <si>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</si>
  <si>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</si>
  <si>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</si>
  <si>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</si>
  <si>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</si>
  <si>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</si>
  <si>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</si>
  <si>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</si>
  <si>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</si>
  <si>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</si>
  <si>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</si>
  <si>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</si>
  <si>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</si>
  <si>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</si>
  <si>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</si>
  <si>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</si>
  <si>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</si>
  <si>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</si>
  <si>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</si>
  <si>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</si>
  <si>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</si>
  <si>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</si>
  <si>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</si>
  <si>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</si>
  <si>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</si>
  <si>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</si>
  <si>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</si>
  <si>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</si>
  <si>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</si>
  <si>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</si>
  <si>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</si>
  <si>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</si>
  <si>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</si>
  <si>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</si>
  <si>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</si>
  <si>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</si>
  <si>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</si>
  <si>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</si>
  <si>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</si>
  <si>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</si>
  <si>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</si>
  <si>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</si>
  <si>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</si>
  <si>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</si>
  <si>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</si>
  <si>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</si>
  <si>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</si>
  <si>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</si>
  <si>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</si>
  <si>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</si>
  <si>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</si>
  <si>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</si>
  <si>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</si>
  <si>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</si>
  <si>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</si>
  <si>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</si>
  <si>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</si>
  <si>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</si>
  <si>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</si>
  <si>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</si>
  <si>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</si>
  <si>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</si>
  <si>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</si>
  <si>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</si>
  <si>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</si>
  <si>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</si>
  <si>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</si>
  <si>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</si>
  <si>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</si>
  <si>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</si>
  <si>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</si>
  <si>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</si>
  <si>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</si>
  <si>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</si>
  <si>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</si>
  <si>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</si>
  <si>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</si>
  <si>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</si>
  <si>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</si>
  <si>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</si>
  <si>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</si>
  <si>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</si>
  <si>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</si>
  <si>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</si>
  <si>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</si>
  <si>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</si>
  <si>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</si>
  <si>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</si>
  <si>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</si>
  <si>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</si>
  <si>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</si>
  <si>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</si>
  <si>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</si>
  <si>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</si>
  <si>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</si>
  <si>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</si>
  <si>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</si>
  <si>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</si>
  <si>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</si>
  <si>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</si>
  <si>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</si>
  <si>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</si>
  <si>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</si>
  <si>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</si>
  <si>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</si>
  <si>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</si>
  <si>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</si>
  <si>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</si>
  <si>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</si>
  <si>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</si>
  <si>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</si>
  <si>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</si>
  <si>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</si>
  <si>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</si>
  <si>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</si>
  <si>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</si>
  <si>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</si>
  <si>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</si>
  <si>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</si>
  <si>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</si>
  <si>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</si>
  <si>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</si>
  <si>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</si>
  <si>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</si>
  <si>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</si>
  <si>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</si>
  <si>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</si>
  <si>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</si>
  <si>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</si>
  <si>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</si>
  <si>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</si>
  <si>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</si>
  <si>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</si>
  <si>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</si>
  <si>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</si>
  <si>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</si>
  <si>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</si>
  <si>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</si>
  <si>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</si>
  <si>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</si>
  <si>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</si>
  <si>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</si>
  <si>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</si>
  <si>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</si>
  <si>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</si>
  <si>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</si>
  <si>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</si>
  <si>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</si>
  <si>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</si>
  <si>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</si>
  <si>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</si>
  <si>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</si>
  <si>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</si>
  <si>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</si>
  <si>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</si>
  <si>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</si>
  <si>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</si>
  <si>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</si>
  <si>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</si>
  <si>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</si>
  <si>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</si>
  <si>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</si>
  <si>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</si>
  <si>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</si>
  <si>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</si>
  <si>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</si>
  <si>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</si>
  <si>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</si>
  <si>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</si>
  <si>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</si>
  <si>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</si>
  <si>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</si>
  <si>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</si>
  <si>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</si>
  <si>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</si>
  <si>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</si>
  <si>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</si>
  <si>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</si>
  <si>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</si>
  <si>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</si>
  <si>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</si>
  <si>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</si>
  <si>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</si>
  <si>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</si>
  <si>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</si>
  <si>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</si>
  <si>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</si>
  <si>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</si>
  <si>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</si>
  <si>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</si>
  <si>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</si>
  <si>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</si>
  <si>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</si>
  <si>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</si>
  <si>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</si>
  <si>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</si>
  <si>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</si>
  <si>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</si>
  <si>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</si>
  <si>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</si>
  <si>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</si>
  <si>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</si>
  <si>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</si>
  <si>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</si>
  <si>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</si>
  <si>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</si>
  <si>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</si>
  <si>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</si>
  <si>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</si>
  <si>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</si>
  <si>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</si>
  <si>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</si>
  <si>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</si>
  <si>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</si>
  <si>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</si>
  <si>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</si>
  <si>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</si>
  <si>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</si>
  <si>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</si>
  <si>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</si>
  <si>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</si>
  <si>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</si>
  <si>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</si>
  <si>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</si>
  <si>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</si>
  <si>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</si>
  <si>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</si>
  <si>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</si>
  <si>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</si>
  <si>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</si>
  <si>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</si>
  <si>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</si>
  <si>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</si>
  <si>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</si>
  <si>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</si>
  <si>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</si>
  <si>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</si>
  <si>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</si>
  <si>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</si>
  <si>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</si>
  <si>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</si>
  <si>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</si>
  <si>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</si>
  <si>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</si>
  <si>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</si>
  <si>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</si>
  <si>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</si>
  <si>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</si>
  <si>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</si>
  <si>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</si>
  <si>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</si>
  <si>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</si>
  <si>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</si>
  <si>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</si>
  <si>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</si>
  <si>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</si>
  <si>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</si>
  <si>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</si>
  <si>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</si>
  <si>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</si>
  <si>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</si>
  <si>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</si>
  <si>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</si>
  <si>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</si>
  <si>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</si>
  <si>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</si>
  <si>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</si>
  <si>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</si>
  <si>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</si>
  <si>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</si>
  <si>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</si>
  <si>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</si>
  <si>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</si>
  <si>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</si>
  <si>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</si>
  <si>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</si>
  <si>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</si>
  <si>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</si>
  <si>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</si>
  <si>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</si>
  <si>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</si>
  <si>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</si>
  <si>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</si>
  <si>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</si>
  <si>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</si>
  <si>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</si>
  <si>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</si>
  <si>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</si>
  <si>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</si>
  <si>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</si>
  <si>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</si>
  <si>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</si>
  <si>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</si>
  <si>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</si>
  <si>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</si>
  <si>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</si>
  <si>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</si>
  <si>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</si>
  <si>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</si>
  <si>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</si>
  <si>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</si>
  <si>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</si>
  <si>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</si>
  <si>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</si>
  <si>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</si>
  <si>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</si>
  <si>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</si>
  <si>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</si>
  <si>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</si>
  <si>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</si>
  <si>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</si>
  <si>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</si>
  <si>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</si>
  <si>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</si>
  <si>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</si>
  <si>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</si>
  <si>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</si>
  <si>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</si>
  <si>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</si>
  <si>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</si>
  <si>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</si>
  <si>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</si>
  <si>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</si>
  <si>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</si>
  <si>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</si>
  <si>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</si>
  <si>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</si>
  <si>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</si>
  <si>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</si>
  <si>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</si>
  <si>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</si>
  <si>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</si>
  <si>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</si>
  <si>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</si>
  <si>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</si>
  <si>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</si>
  <si>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</si>
  <si>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</si>
  <si>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</si>
  <si>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</si>
  <si>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</si>
  <si>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</si>
  <si>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</si>
  <si>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</si>
  <si>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</si>
  <si>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</si>
  <si>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</si>
  <si>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</si>
  <si>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</si>
  <si>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</si>
  <si>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</si>
  <si>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</si>
  <si>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</si>
  <si>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</si>
  <si>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</si>
  <si>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</si>
  <si>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</si>
  <si>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</si>
  <si>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</si>
  <si>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</si>
  <si>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</si>
  <si>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</si>
  <si>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</si>
  <si>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</si>
  <si>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</si>
  <si>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</si>
  <si>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</si>
  <si>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</si>
  <si>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</si>
  <si>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</si>
  <si>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</si>
  <si>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</si>
  <si>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</si>
  <si>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</si>
  <si>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</si>
  <si>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</si>
  <si>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</si>
  <si>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</si>
  <si>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</si>
  <si>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</si>
  <si>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</si>
  <si>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</si>
  <si>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</si>
  <si>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</si>
  <si>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</si>
  <si>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</si>
  <si>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</si>
  <si>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</si>
  <si>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</si>
  <si>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</si>
  <si>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</si>
  <si>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</si>
  <si>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</si>
  <si>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</si>
  <si>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</si>
  <si>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</si>
  <si>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</si>
  <si>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</si>
  <si>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</si>
  <si>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</si>
  <si>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</si>
  <si>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</si>
  <si>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</si>
  <si>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</si>
  <si>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</si>
  <si>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</si>
  <si>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</si>
  <si>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</si>
  <si>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</si>
  <si>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</si>
  <si>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</si>
  <si>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</si>
  <si>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</si>
  <si>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</si>
  <si>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</si>
  <si>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</si>
  <si>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</si>
  <si>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</si>
  <si>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</si>
  <si>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</si>
  <si>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</si>
  <si>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</si>
  <si>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</si>
  <si>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</si>
  <si>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</si>
  <si>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</si>
  <si>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</si>
  <si>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</si>
  <si>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</si>
  <si>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</si>
  <si>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</si>
  <si>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</si>
  <si>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</si>
  <si>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</si>
  <si>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</si>
  <si>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</si>
  <si>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</si>
  <si>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</si>
  <si>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</si>
  <si>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</si>
  <si>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</si>
  <si>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</si>
  <si>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</si>
  <si>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</si>
  <si>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</si>
  <si>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</si>
  <si>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</si>
  <si>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</si>
  <si>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</si>
  <si>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</si>
  <si>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</si>
  <si>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</si>
  <si>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</si>
  <si>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</si>
  <si>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</si>
  <si>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</si>
  <si>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</si>
  <si>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</si>
  <si>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</si>
  <si>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</si>
  <si>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</si>
  <si>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</si>
  <si>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</si>
  <si>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</si>
  <si>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</si>
  <si>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</si>
  <si>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</si>
  <si>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</si>
  <si>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</si>
  <si>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</si>
  <si>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</si>
  <si>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</si>
  <si>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</si>
  <si>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</si>
  <si>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</si>
  <si>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</si>
  <si>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</si>
  <si>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</si>
  <si>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</si>
  <si>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</si>
  <si>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</si>
  <si>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</si>
  <si>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</si>
  <si>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</si>
  <si>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</si>
  <si>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</si>
  <si>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</si>
  <si>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</si>
  <si>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</si>
  <si>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</si>
  <si>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</si>
  <si>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</si>
  <si>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</si>
  <si>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</si>
  <si>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</si>
  <si>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</si>
  <si>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</si>
  <si>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</si>
  <si>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</si>
  <si>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</si>
  <si>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</si>
  <si>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</si>
  <si>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</si>
  <si>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</si>
  <si>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</si>
  <si>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</si>
  <si>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</si>
  <si>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</si>
  <si>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</si>
  <si>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</si>
  <si>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</si>
  <si>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</si>
  <si>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</si>
  <si>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</si>
  <si>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</si>
  <si>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</si>
  <si>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</si>
  <si>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</si>
  <si>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</si>
  <si>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</si>
  <si>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</si>
  <si>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</si>
  <si>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</si>
  <si>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</si>
  <si>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</si>
  <si>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</si>
  <si>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</si>
  <si>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</si>
  <si>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</si>
  <si>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</si>
  <si>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</si>
  <si>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</si>
  <si>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</si>
  <si>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</si>
  <si>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</si>
  <si>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</si>
  <si>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</si>
  <si>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</si>
  <si>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</si>
  <si>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</si>
  <si>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</si>
  <si>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</si>
  <si>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</si>
  <si>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</si>
  <si>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</si>
  <si>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</si>
  <si>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</si>
  <si>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</si>
  <si>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</si>
  <si>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</si>
  <si>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</si>
  <si>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</si>
  <si>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</si>
  <si>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</si>
  <si>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</si>
  <si>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</si>
  <si>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</si>
  <si>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</si>
  <si>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</si>
  <si>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</si>
  <si>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</si>
  <si>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</si>
  <si>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</si>
  <si>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</si>
  <si>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</si>
  <si>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</si>
  <si>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</si>
  <si>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</si>
  <si>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</si>
  <si>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</si>
  <si>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</si>
  <si>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</si>
  <si>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</si>
  <si>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</si>
  <si>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</si>
  <si>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</si>
  <si>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</si>
  <si>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</si>
  <si>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</si>
  <si>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</si>
  <si>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</si>
  <si>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</si>
  <si>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</si>
  <si>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</si>
  <si>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</si>
  <si>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</si>
  <si>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</si>
  <si>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</si>
  <si>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</si>
  <si>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</si>
  <si>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</si>
  <si>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</si>
  <si>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</si>
  <si>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</si>
  <si>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</si>
  <si>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</si>
  <si>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</si>
  <si>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</si>
  <si>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</si>
  <si>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</si>
  <si>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</si>
  <si>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</si>
  <si>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</si>
  <si>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</si>
  <si>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</si>
  <si>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</si>
  <si>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</si>
  <si>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</si>
  <si>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</si>
  <si>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</si>
  <si>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</si>
  <si>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</si>
  <si>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</si>
  <si>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</si>
  <si>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</si>
  <si>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</si>
  <si>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</si>
  <si>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</si>
  <si>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</si>
  <si>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</si>
  <si>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</si>
  <si>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</si>
  <si>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</si>
  <si>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</si>
  <si>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</si>
  <si>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</si>
  <si>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</si>
  <si>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</si>
  <si>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</si>
  <si>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</si>
  <si>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</si>
  <si>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</si>
  <si>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</si>
  <si>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</si>
  <si>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</si>
  <si>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</si>
  <si>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</si>
  <si>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</si>
  <si>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</si>
  <si>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</si>
  <si>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</si>
  <si>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</si>
  <si>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</si>
  <si>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</si>
  <si>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</si>
  <si>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</si>
  <si>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</si>
  <si>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</si>
  <si>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</si>
  <si>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</si>
  <si>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</si>
  <si>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</si>
  <si>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</si>
  <si>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</si>
  <si>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</si>
  <si>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</si>
  <si>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</si>
  <si>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</si>
  <si>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</si>
  <si>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</si>
  <si>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</si>
  <si>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</si>
  <si>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</si>
  <si>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</si>
  <si>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</si>
  <si>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</si>
  <si>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</si>
  <si>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</si>
  <si>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</si>
  <si>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</si>
  <si>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</si>
  <si>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</si>
  <si>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</si>
  <si>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</si>
  <si>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</si>
  <si>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</si>
  <si>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</si>
  <si>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</si>
  <si>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</si>
  <si>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</si>
  <si>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</si>
  <si>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</si>
  <si>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</si>
  <si>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</si>
  <si>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</si>
  <si>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</si>
  <si>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</si>
  <si>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</si>
  <si>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</si>
  <si>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</si>
  <si>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</si>
  <si>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</si>
  <si>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</si>
  <si>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</si>
  <si>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</si>
  <si>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</si>
  <si>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</si>
  <si>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</si>
  <si>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</si>
  <si>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</si>
  <si>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</si>
  <si>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</si>
  <si>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</si>
  <si>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</si>
  <si>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</si>
  <si>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</si>
  <si>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</si>
  <si>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</si>
  <si>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</si>
  <si>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</si>
  <si>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</si>
  <si>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</si>
  <si>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</si>
  <si>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</si>
  <si>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</si>
  <si>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</si>
  <si>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</si>
  <si>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</si>
  <si>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</si>
  <si>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</si>
  <si>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</si>
  <si>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</si>
  <si>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</si>
  <si>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</si>
  <si>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</si>
  <si>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</si>
  <si>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</si>
  <si>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</si>
  <si>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</si>
  <si>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</si>
  <si>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</si>
  <si>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</si>
  <si>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</si>
  <si>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</si>
  <si>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</si>
  <si>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</si>
  <si>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</si>
  <si>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</si>
  <si>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</si>
  <si>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</si>
  <si>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</si>
  <si>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</si>
  <si>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</si>
  <si>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</si>
  <si>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</si>
  <si>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</si>
  <si>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</si>
  <si>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</si>
  <si>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</si>
  <si>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</si>
  <si>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</si>
  <si>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</si>
  <si>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</si>
  <si>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</si>
  <si>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</si>
  <si>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</si>
  <si>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</si>
  <si>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</si>
  <si>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</si>
  <si>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</si>
  <si>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</si>
  <si>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</si>
  <si>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</si>
  <si>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</si>
  <si>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</si>
  <si>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</si>
  <si>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</si>
  <si>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</si>
  <si>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</si>
  <si>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</si>
  <si>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</si>
  <si>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</si>
  <si>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</si>
  <si>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</si>
  <si>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</si>
  <si>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</si>
  <si>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</si>
  <si>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</si>
  <si>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</si>
  <si>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</si>
  <si>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</si>
  <si>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</si>
  <si>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</si>
  <si>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</si>
  <si>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</si>
  <si>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</si>
  <si>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</si>
  <si>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</si>
  <si>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</si>
  <si>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</si>
  <si>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</si>
  <si>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</si>
  <si>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</si>
  <si>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</si>
  <si>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</si>
  <si>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</si>
  <si>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</si>
  <si>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</si>
  <si>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</si>
  <si>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</si>
  <si>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</si>
  <si>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</si>
  <si>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</si>
  <si>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</si>
  <si>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</si>
  <si>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</si>
  <si>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</si>
  <si>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</si>
  <si>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</si>
  <si>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</si>
  <si>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</si>
  <si>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</si>
  <si>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</si>
  <si>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</si>
  <si>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</si>
  <si>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</si>
  <si>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</si>
  <si>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</si>
  <si>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</si>
  <si>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</si>
  <si>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</si>
  <si>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</si>
  <si>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</si>
  <si>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</si>
  <si>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</si>
  <si>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</si>
  <si>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</si>
  <si>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</si>
  <si>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</si>
  <si>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</si>
  <si>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</si>
  <si>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</si>
  <si>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</si>
  <si>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</si>
  <si>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</si>
  <si>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</si>
  <si>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</si>
  <si>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</si>
  <si>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</si>
  <si>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</si>
  <si>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</si>
  <si>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</si>
  <si>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</si>
  <si>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</si>
  <si>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</si>
  <si>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</si>
  <si>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</si>
  <si>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</si>
  <si>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</si>
  <si>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</si>
  <si>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</si>
  <si>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</si>
  <si>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</si>
  <si>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</si>
  <si>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</si>
  <si>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</si>
  <si>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</si>
  <si>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</si>
  <si>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</si>
  <si>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</si>
  <si>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</si>
  <si>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</si>
  <si>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</si>
  <si>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</si>
  <si>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</si>
  <si>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</si>
  <si>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</si>
  <si>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</si>
  <si>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</si>
  <si>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</si>
  <si>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</si>
  <si>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</si>
  <si>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</si>
  <si>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</si>
  <si>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</si>
  <si>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</si>
  <si>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</si>
  <si>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</si>
  <si>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</si>
  <si>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</si>
  <si>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</si>
  <si>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</si>
  <si>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</si>
  <si>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</si>
  <si>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</si>
  <si>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</si>
  <si>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</si>
  <si>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</si>
  <si>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</si>
  <si>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</si>
  <si>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</si>
  <si>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</si>
  <si>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</si>
  <si>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</si>
  <si>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</si>
  <si>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</si>
  <si>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</si>
  <si>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</si>
  <si>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</si>
  <si>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</si>
  <si>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</si>
  <si>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</si>
  <si>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</si>
  <si>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</si>
  <si>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</si>
  <si>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</si>
  <si>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</si>
  <si>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</si>
  <si>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</si>
  <si>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</si>
  <si>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</si>
  <si>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</si>
  <si>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</si>
  <si>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</si>
  <si>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</si>
  <si>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</si>
  <si>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</si>
  <si>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</si>
  <si>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</si>
  <si>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</si>
  <si>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</si>
  <si>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</si>
  <si>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</si>
  <si>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</si>
  <si>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</si>
  <si>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</si>
  <si>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</si>
  <si>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</si>
  <si>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</si>
  <si>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</si>
  <si>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</si>
  <si>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</si>
  <si>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</si>
  <si>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</si>
  <si>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</si>
  <si>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</si>
  <si>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</si>
  <si>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</si>
  <si>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</si>
  <si>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</si>
  <si>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</si>
  <si>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</si>
  <si>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</si>
  <si>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</si>
  <si>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</si>
  <si>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</si>
  <si>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</si>
  <si>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</si>
  <si>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</si>
  <si>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</si>
  <si>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</si>
  <si>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</si>
  <si>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</si>
  <si>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</si>
  <si>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</si>
  <si>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</si>
  <si>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</si>
  <si>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</si>
  <si>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</si>
  <si>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</si>
  <si>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</si>
  <si>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</si>
  <si>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</si>
  <si>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</si>
  <si>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</si>
  <si>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</si>
  <si>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</si>
  <si>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</si>
  <si>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</si>
  <si>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</si>
  <si>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</si>
  <si>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</si>
  <si>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</si>
  <si>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</si>
  <si>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</si>
  <si>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</si>
  <si>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</si>
  <si>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</si>
  <si>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</si>
  <si>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</si>
  <si>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</si>
  <si>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</si>
  <si>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</si>
  <si>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</si>
  <si>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</si>
  <si>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</si>
  <si>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</si>
  <si>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</si>
  <si>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</si>
  <si>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</si>
  <si>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</si>
  <si>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</si>
  <si>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</si>
  <si>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</si>
  <si>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</si>
  <si>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</si>
  <si>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</si>
  <si>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</si>
  <si>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</si>
  <si>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</si>
  <si>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</si>
  <si>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</si>
  <si>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</si>
  <si>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</si>
  <si>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</si>
  <si>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</si>
  <si>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</si>
  <si>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</si>
  <si>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</si>
  <si>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</si>
  <si>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</si>
  <si>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</si>
  <si>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</si>
  <si>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</si>
  <si>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</si>
  <si>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</si>
  <si>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</si>
  <si>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</si>
  <si>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</si>
  <si>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</si>
  <si>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</si>
  <si>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</si>
  <si>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</si>
  <si>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</si>
  <si>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</si>
  <si>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</si>
  <si>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</si>
  <si>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</si>
  <si>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</si>
  <si>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</si>
  <si>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</si>
  <si>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</si>
  <si>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</si>
  <si>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</si>
  <si>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</si>
  <si>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</si>
  <si>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</si>
  <si>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</si>
  <si>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</si>
  <si>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</si>
  <si>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</si>
  <si>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</si>
  <si>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</si>
  <si>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</si>
  <si>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</si>
  <si>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</si>
  <si>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</si>
  <si>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</si>
  <si>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</si>
  <si>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</si>
  <si>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</si>
  <si>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</si>
  <si>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</si>
  <si>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</si>
  <si>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</si>
  <si>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</si>
  <si>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</si>
  <si>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</si>
  <si>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</si>
  <si>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</si>
  <si>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</si>
  <si>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</si>
  <si>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</si>
  <si>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</si>
  <si>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</si>
  <si>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</si>
  <si>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</si>
  <si>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</si>
  <si>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</si>
  <si>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</si>
  <si>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</si>
  <si>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</si>
  <si>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</si>
  <si>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</si>
  <si>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</si>
  <si>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</si>
  <si>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</si>
  <si>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</si>
  <si>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</si>
  <si>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</si>
  <si>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</si>
  <si>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</si>
  <si>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</si>
  <si>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</si>
  <si>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</si>
  <si>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</si>
  <si>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</si>
  <si>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</si>
  <si>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</si>
  <si>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</si>
  <si>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</si>
  <si>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</si>
  <si>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</si>
  <si>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</si>
  <si>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</si>
  <si>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</si>
  <si>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</si>
  <si>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</si>
  <si>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</si>
  <si>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</si>
  <si>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</si>
  <si>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</si>
  <si>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</si>
  <si>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</si>
  <si>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</si>
  <si>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</si>
  <si>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</si>
  <si>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</si>
  <si>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</si>
  <si>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</si>
  <si>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</si>
  <si>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</si>
  <si>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</si>
  <si>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</si>
  <si>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</si>
  <si>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</si>
  <si>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</si>
  <si>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</si>
  <si>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</si>
  <si>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</si>
  <si>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</si>
  <si>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</si>
  <si>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</si>
  <si>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</si>
  <si>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</si>
  <si>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</si>
  <si>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</si>
  <si>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</si>
  <si>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</si>
  <si>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</si>
  <si>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</si>
  <si>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</si>
  <si>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</si>
  <si>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</si>
  <si>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</si>
  <si>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</si>
  <si>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</si>
  <si>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</si>
  <si>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</si>
  <si>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</si>
  <si>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</si>
  <si>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</si>
  <si>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</si>
  <si>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</si>
  <si>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</si>
  <si>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</si>
  <si>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</si>
  <si>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</si>
  <si>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</si>
  <si>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</si>
  <si>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</si>
  <si>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</si>
  <si>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</si>
  <si>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</si>
  <si>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</si>
  <si>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</si>
  <si>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</si>
  <si>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</si>
  <si>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</si>
  <si>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</si>
  <si>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</si>
  <si>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</si>
  <si>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</si>
  <si>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</si>
  <si>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</si>
  <si>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</si>
  <si>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</si>
  <si>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</si>
  <si>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</si>
  <si>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</si>
  <si>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</si>
  <si>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</si>
  <si>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</si>
  <si>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</si>
  <si>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</si>
  <si>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</si>
  <si>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</si>
  <si>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</si>
  <si>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</si>
  <si>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</si>
  <si>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</si>
  <si>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</si>
  <si>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</si>
  <si>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</si>
  <si>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</si>
  <si>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</si>
  <si>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</si>
  <si>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</si>
  <si>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</si>
  <si>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</si>
  <si>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</si>
  <si>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</si>
  <si>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</si>
  <si>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</si>
  <si>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</si>
  <si>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</si>
  <si>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</si>
  <si>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</si>
  <si>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</si>
  <si>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</si>
  <si>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</si>
  <si>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</si>
  <si>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</si>
  <si>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</si>
  <si>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</si>
  <si>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</si>
  <si>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</si>
  <si>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</si>
  <si>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</si>
  <si>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</si>
  <si>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</si>
  <si>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</si>
  <si>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</si>
  <si>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</si>
  <si>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</si>
  <si>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</si>
  <si>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</si>
  <si>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</si>
  <si>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</si>
  <si>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</si>
  <si>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</si>
  <si>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</si>
  <si>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</si>
  <si>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</si>
  <si>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</si>
  <si>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</si>
  <si>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</si>
  <si>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</si>
  <si>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</si>
  <si>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</si>
  <si>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</si>
  <si>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</si>
  <si>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</si>
  <si>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</si>
  <si>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</si>
  <si>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</si>
  <si>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</si>
  <si>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</si>
  <si>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</si>
  <si>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</si>
  <si>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</si>
  <si>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</si>
  <si>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</si>
  <si>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</si>
  <si>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</si>
  <si>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</si>
  <si>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</si>
  <si>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</si>
  <si>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</si>
  <si>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</si>
  <si>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</si>
  <si>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</si>
  <si>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</si>
  <si>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</si>
  <si>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</si>
  <si>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</si>
  <si>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</si>
  <si>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</si>
  <si>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</si>
  <si>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</si>
  <si>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</si>
  <si>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</si>
  <si>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</si>
  <si>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</si>
  <si>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</si>
  <si>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</si>
  <si>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</si>
  <si>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</si>
  <si>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</si>
  <si>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</si>
  <si>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</si>
  <si>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</si>
  <si>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</si>
  <si>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</si>
  <si>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</si>
  <si>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</si>
  <si>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</si>
  <si>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</si>
  <si>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</si>
  <si>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</si>
  <si>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</si>
  <si>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</si>
  <si>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</si>
  <si>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</si>
  <si>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</si>
  <si>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</si>
  <si>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</si>
  <si>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</si>
  <si>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</si>
  <si>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</si>
  <si>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</si>
  <si>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</si>
  <si>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</si>
  <si>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</si>
  <si>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</si>
  <si>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</si>
  <si>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</si>
  <si>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</si>
  <si>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</si>
  <si>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</si>
  <si>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</si>
  <si>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</si>
  <si>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</si>
  <si>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</si>
  <si>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</si>
  <si>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</si>
  <si>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</si>
  <si>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</si>
  <si>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</si>
  <si>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</si>
  <si>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</si>
  <si>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</si>
  <si>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</si>
  <si>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</si>
  <si>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</si>
  <si>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</si>
  <si>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</si>
  <si>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</si>
  <si>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</si>
  <si>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</si>
  <si>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</si>
  <si>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</si>
  <si>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</si>
  <si>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</si>
  <si>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</si>
  <si>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</si>
  <si>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</si>
  <si>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</si>
  <si>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</si>
  <si>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</si>
  <si>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</si>
  <si>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</si>
  <si>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</si>
  <si>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</si>
  <si>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</si>
  <si>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</si>
  <si>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</si>
  <si>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</si>
  <si>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</si>
  <si>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</si>
  <si>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</si>
  <si>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</si>
  <si>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</si>
  <si>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</si>
  <si>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</si>
  <si>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</si>
  <si>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</si>
  <si>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</si>
  <si>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</si>
  <si>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</si>
  <si>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</si>
  <si>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</si>
  <si>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</si>
  <si>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</si>
  <si>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</si>
  <si>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</si>
  <si>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</si>
  <si>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</si>
  <si>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</si>
  <si>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</si>
  <si>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</si>
  <si>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</si>
  <si>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</si>
  <si>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</si>
  <si>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</si>
  <si>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</si>
  <si>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</si>
  <si>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</si>
  <si>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</si>
  <si>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</si>
  <si>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</si>
  <si>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</si>
  <si>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</si>
  <si>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</si>
  <si>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</si>
  <si>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</si>
  <si>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</si>
  <si>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</si>
  <si>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</si>
  <si>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</si>
  <si>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</si>
  <si>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</si>
  <si>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</si>
  <si>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</si>
  <si>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</si>
  <si>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</si>
  <si>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</si>
  <si>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</si>
  <si>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</si>
  <si>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</si>
  <si>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</si>
  <si>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</si>
  <si>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</si>
  <si>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</si>
  <si>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</si>
  <si>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</si>
  <si>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</si>
  <si>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</si>
  <si>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</si>
  <si>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</si>
  <si>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</si>
  <si>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</si>
  <si>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</si>
  <si>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</si>
  <si>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</si>
  <si>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</si>
  <si>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</si>
  <si>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</si>
  <si>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</si>
  <si>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</si>
  <si>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</si>
  <si>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</si>
  <si>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</si>
  <si>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</si>
  <si>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</si>
  <si>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</si>
  <si>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</si>
  <si>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</si>
  <si>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</si>
  <si>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</si>
  <si>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</si>
  <si>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</si>
  <si>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</si>
  <si>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</si>
  <si>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</si>
  <si>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</si>
  <si>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</si>
  <si>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</si>
  <si>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</si>
  <si>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</si>
  <si>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</si>
  <si>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</si>
  <si>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</si>
  <si>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</si>
  <si>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</si>
  <si>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</si>
  <si>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</si>
  <si>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</si>
  <si>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</si>
  <si>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</si>
  <si>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</si>
  <si>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</si>
  <si>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</si>
  <si>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</si>
  <si>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</si>
  <si>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</si>
  <si>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</si>
  <si>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</si>
  <si>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</si>
  <si>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</si>
  <si>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</si>
  <si>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</si>
  <si>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</si>
  <si>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</si>
  <si>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</si>
  <si>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</si>
  <si>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</si>
  <si>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</si>
  <si>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</si>
  <si>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</si>
  <si>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</si>
  <si>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</si>
  <si>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</si>
  <si>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</si>
  <si>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</si>
  <si>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</si>
  <si>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</si>
  <si>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</si>
  <si>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</si>
  <si>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</si>
  <si>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</si>
  <si>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</si>
  <si>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</si>
  <si>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</si>
  <si>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</si>
  <si>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</si>
  <si>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</si>
  <si>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</si>
  <si>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</si>
  <si>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</si>
  <si>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</si>
  <si>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</si>
  <si>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</si>
  <si>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</si>
  <si>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</si>
  <si>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</si>
  <si>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</si>
  <si>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</si>
  <si>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</si>
  <si>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</si>
  <si>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</si>
  <si>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</si>
  <si>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</si>
  <si>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</si>
  <si>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</si>
  <si>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</si>
  <si>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</si>
  <si>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</si>
  <si>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</si>
  <si>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</si>
  <si>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</si>
  <si>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</si>
  <si>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</si>
  <si>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</si>
  <si>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</si>
  <si>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</si>
  <si>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</si>
  <si>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</si>
  <si>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</si>
  <si>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楼面单价</t>
  </si>
  <si>
    <t>万元</t>
  </si>
  <si>
    <t>租赁面积</t>
    <phoneticPr fontId="146" type="noConversion"/>
  </si>
  <si>
    <t>平方米</t>
    <phoneticPr fontId="146" type="noConversion"/>
  </si>
  <si>
    <t>（1-2层，3层自用，与3F打通）</t>
    <phoneticPr fontId="146" type="noConversion"/>
  </si>
  <si>
    <t>起始日期</t>
    <phoneticPr fontId="146" type="noConversion"/>
  </si>
  <si>
    <t>终止日期</t>
    <phoneticPr fontId="146" type="noConversion"/>
  </si>
  <si>
    <t>年租金</t>
    <phoneticPr fontId="146" type="noConversion"/>
  </si>
  <si>
    <t>剩余租赁期（年）</t>
    <phoneticPr fontId="146" type="noConversion"/>
  </si>
  <si>
    <t>至</t>
    <phoneticPr fontId="146" type="noConversion"/>
  </si>
  <si>
    <t>利息：取LPR加浮动点数</t>
  </si>
  <si>
    <t>成本法</t>
  </si>
  <si>
    <t>收益法</t>
  </si>
  <si>
    <t>钢混</t>
  </si>
  <si>
    <t>非生产用房</t>
  </si>
  <si>
    <t>是</t>
  </si>
  <si>
    <t>无租约</t>
  </si>
  <si>
    <t>自然人</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</si>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</sst>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55" fillId="0" borderId="0" xfId="0" applyFont="1" applyAlignment="1">
      <alignment horizontal="left" vertical="center"/>
    </xf>
    <xf numFmtId="0" fontId="255" fillId="6" borderId="0" xfId="0" applyFont="1" applyFill="1" applyAlignment="1">
      <alignment horizontal="left" vertical="center"/>
    </xf>
    <xf numFmtId="14" fontId="255" fillId="0" borderId="0" xfId="0" applyNumberFormat="1" applyFont="1" applyAlignment="1">
      <alignment horizontal="left" vertical="center"/>
    </xf>
    <xf numFmtId="181" fontId="42" fillId="10" borderId="6" xfId="0"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估价对象为北京市房地产，为XX所有。根据《》[]，估价对象建筑面积为621.03平方米。根据《》[]，估价对象（分摊）出让国有建设用地使用权面积为平方米。估价对象用途为。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2022年9月23日</v>
      </c>
    </row>
    <row r="10" spans="1:2">
      <c r="A10" s="1139" t="s">
        <v>865</v>
      </c>
      <c r="B10" s="1126" t="str">
        <f>'预评函-1'!A13</f>
        <v>本次估价的“房地产价值”是指在正常市场情况下，在价值时点2022年9月23日，估价对象规划用途为，假定未设立法定优先受偿款下的房地产市场价值。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621.03</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B7" sqref="B7"/>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44827</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3051</v>
      </c>
      <c r="C7" s="1453" t="str">
        <f>IF(B7="自然人","姓名","名称")</f>
        <v>姓名</v>
      </c>
      <c r="D7" s="1366" t="s">
        <v>2480</v>
      </c>
      <c r="E7" s="783"/>
      <c r="F7" s="783"/>
      <c r="G7" s="1122"/>
    </row>
    <row r="8" spans="1:17" ht="13.5" thickTop="1">
      <c r="A8" s="3376" t="s">
        <v>1301</v>
      </c>
      <c r="B8" s="1367" t="s">
        <v>1302</v>
      </c>
      <c r="C8" s="3389"/>
      <c r="D8" s="3390"/>
      <c r="E8" s="2519" t="s">
        <v>1303</v>
      </c>
      <c r="F8" s="2520" t="s">
        <v>1304</v>
      </c>
      <c r="G8" s="2521" t="str">
        <f>C6</f>
        <v>XX</v>
      </c>
    </row>
    <row r="9" spans="1:17">
      <c r="A9" s="3376"/>
      <c r="B9" s="259" t="s">
        <v>1305</v>
      </c>
      <c r="C9" s="1359"/>
      <c r="D9" s="1368"/>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2587</v>
      </c>
      <c r="B12" s="2817" t="s">
        <v>1310</v>
      </c>
      <c r="C12" s="766">
        <v>621.03</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2586</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44827</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2"/>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621.03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2643</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62066</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47.23</v>
      </c>
      <c r="C13" s="2885"/>
      <c r="D13" s="2851" t="s">
        <v>1397</v>
      </c>
      <c r="E13" s="2571">
        <f>成本法!C9</f>
        <v>99365</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0.93100000000000005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2484120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0.75</v>
      </c>
      <c r="F20" s="905"/>
      <c r="G20" s="1613">
        <f>ROUND(1-(2022-B27)/60,2)</f>
        <v>0.65</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v>0.85</v>
      </c>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3734">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2001</v>
      </c>
      <c r="C27" s="1613"/>
      <c r="D27" s="3074" t="s">
        <v>3044</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3050</v>
      </c>
      <c r="D29" s="2853" t="s">
        <v>1423</v>
      </c>
      <c r="E29" s="2872">
        <f>E30+E31</f>
        <v>5.6000000000000001E-2</v>
      </c>
      <c r="F29" s="1238"/>
      <c r="G29" s="2887"/>
      <c r="H29" s="2887"/>
      <c r="K29" s="1613"/>
      <c r="N29" s="1613"/>
    </row>
    <row r="30" spans="1:41" ht="14.25">
      <c r="A30" s="2848" t="str">
        <f>IF(B29="租赁期内按合同租金","合同租金","市场租金")</f>
        <v>市场租金</v>
      </c>
      <c r="B30" s="2588">
        <v>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47.23</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c r="A1" s="2499" t="s">
        <v>973</v>
      </c>
      <c r="B1" s="2499">
        <f>SUM(B14:B23)</f>
        <v>621.03</v>
      </c>
      <c r="C1" s="1562"/>
      <c r="D1" s="1562"/>
      <c r="E1" s="1562"/>
      <c r="F1" s="1562"/>
      <c r="G1" s="2500"/>
    </row>
    <row r="2" spans="1:9">
      <c r="A2" s="2499" t="s">
        <v>974</v>
      </c>
      <c r="B2" s="2499">
        <f>SUM(C14:C23)</f>
        <v>0</v>
      </c>
      <c r="C2" s="1562"/>
      <c r="D2" s="1562"/>
      <c r="E2" s="1562"/>
      <c r="F2" s="1562"/>
      <c r="G2" s="2500"/>
    </row>
    <row r="3" spans="1:9">
      <c r="A3" s="2499" t="s">
        <v>975</v>
      </c>
      <c r="B3" s="2502">
        <f>项目基本情况!D2</f>
        <v>44827</v>
      </c>
      <c r="C3" s="1562"/>
      <c r="D3" s="1562"/>
      <c r="E3" s="1562"/>
      <c r="F3" s="1562"/>
      <c r="G3" s="2500"/>
    </row>
    <row r="4" spans="1:9" ht="27">
      <c r="A4" s="2499" t="s">
        <v>976</v>
      </c>
      <c r="B4" s="2499" t="s">
        <v>977</v>
      </c>
      <c r="C4" s="2499" t="s">
        <v>978</v>
      </c>
      <c r="D4" s="2499" t="s">
        <v>979</v>
      </c>
      <c r="E4" s="1562"/>
      <c r="F4" s="2500"/>
      <c r="G4" s="2500"/>
    </row>
    <row r="5" spans="1:9">
      <c r="A5" s="2499" t="s">
        <v>980</v>
      </c>
      <c r="B5" s="2499">
        <f ca="1">SUM(D14:D23)</f>
        <v>2311</v>
      </c>
      <c r="C5" s="2499">
        <f ca="1">ROUND(B5*10000/$B$1,0)</f>
        <v>37212</v>
      </c>
      <c r="D5" s="2499" t="e">
        <f ca="1">ROUND(B5*10000/$B$2,0)</f>
        <v>#DIV/0!</v>
      </c>
      <c r="E5" s="1562"/>
      <c r="F5" s="2500"/>
      <c r="G5" s="2500"/>
    </row>
    <row r="6" spans="1:9">
      <c r="A6" s="2499" t="s">
        <v>981</v>
      </c>
      <c r="B6" s="2499">
        <f ca="1">SUM(G14:G23)</f>
        <v>2311</v>
      </c>
      <c r="C6" s="2499">
        <f t="shared" ref="C6:C8" ca="1" si="0">ROUND(B6*10000/$B$1,0)</f>
        <v>37212</v>
      </c>
      <c r="D6" s="2499" t="e">
        <f t="shared" ref="D6:D8" ca="1" si="1">ROUND(B6*10000/$B$2,0)</f>
        <v>#DIV/0!</v>
      </c>
      <c r="E6" s="1562"/>
      <c r="F6" s="2500"/>
      <c r="G6" s="2500"/>
    </row>
    <row r="7" spans="1:9">
      <c r="A7" s="2499" t="s">
        <v>982</v>
      </c>
      <c r="B7" s="2499">
        <f>SUM(H14:H23)</f>
        <v>0</v>
      </c>
      <c r="C7" s="2499">
        <f>ROUND(B7*10000/$B$1,0)</f>
        <v>0</v>
      </c>
      <c r="D7" s="2499" t="e">
        <f t="shared" si="1"/>
        <v>#DIV/0!</v>
      </c>
      <c r="E7" s="1562"/>
      <c r="F7" s="2500"/>
      <c r="G7" s="2500"/>
    </row>
    <row r="8" spans="1:9">
      <c r="A8" s="2499" t="s">
        <v>983</v>
      </c>
      <c r="B8" s="2499">
        <f>SUM(I14:I23)</f>
        <v>0</v>
      </c>
      <c r="C8" s="2499">
        <f t="shared" si="0"/>
        <v>0</v>
      </c>
      <c r="D8" s="2499" t="e">
        <f t="shared" si="1"/>
        <v>#DIV/0!</v>
      </c>
      <c r="E8" s="1562"/>
      <c r="F8" s="2500"/>
      <c r="G8" s="2500"/>
    </row>
    <row r="9" spans="1:9">
      <c r="A9" s="2499" t="s">
        <v>984</v>
      </c>
      <c r="B9" s="2503"/>
      <c r="C9" s="1562"/>
      <c r="D9" s="1562"/>
      <c r="E9" s="1562"/>
      <c r="F9" s="2500"/>
      <c r="G9" s="2500"/>
    </row>
    <row r="10" spans="1:9">
      <c r="A10" s="2499" t="s">
        <v>985</v>
      </c>
      <c r="B10" s="2503"/>
      <c r="C10" s="1562"/>
      <c r="D10" s="1562"/>
      <c r="E10" s="1562"/>
      <c r="F10" s="2500"/>
      <c r="G10" s="2500"/>
    </row>
    <row r="11" spans="1:9">
      <c r="A11" s="2499" t="s">
        <v>1000</v>
      </c>
      <c r="B11" s="2503"/>
      <c r="C11" s="1562"/>
      <c r="D11" s="1562"/>
      <c r="E11" s="1562"/>
      <c r="F11" s="2500"/>
      <c r="G11" s="2500"/>
    </row>
    <row r="12" spans="1:9">
      <c r="A12" s="1562"/>
      <c r="B12" s="1562"/>
      <c r="C12" s="1562"/>
      <c r="D12" s="1562"/>
      <c r="E12" s="1562"/>
      <c r="F12" s="2500"/>
      <c r="G12" s="2500"/>
    </row>
    <row r="13" spans="1:9" ht="27">
      <c r="A13" s="2504" t="s">
        <v>999</v>
      </c>
      <c r="B13" s="2505" t="s">
        <v>973</v>
      </c>
      <c r="C13" s="2505" t="s">
        <v>974</v>
      </c>
      <c r="D13" s="2505" t="s">
        <v>986</v>
      </c>
      <c r="E13" s="2499" t="s">
        <v>978</v>
      </c>
      <c r="F13" s="2499" t="s">
        <v>979</v>
      </c>
      <c r="G13" s="2505" t="s">
        <v>987</v>
      </c>
      <c r="H13" s="2505" t="s">
        <v>988</v>
      </c>
      <c r="I13" s="2505" t="s">
        <v>989</v>
      </c>
    </row>
    <row r="14" spans="1:9">
      <c r="A14" s="2805" t="s">
        <v>3030</v>
      </c>
      <c r="B14" s="2835">
        <f>项目基本情况!C12</f>
        <v>621.03</v>
      </c>
      <c r="C14" s="2835">
        <f>项目基本情况!C13</f>
        <v>0</v>
      </c>
      <c r="D14" s="2835">
        <f ca="1">IF('数据-取费表'!B3="万元",IF(A14="估价对象1（结果表）",结果表!H121,'结果表 (1修多)'!H125),IF(A14="估价对象1（结果表）",结果表!H121,'结果表 (1修多)'!H125)/10000)</f>
        <v>2311</v>
      </c>
      <c r="E14" s="2835">
        <f ca="1">ROUND(D14*10000/B14,0)</f>
        <v>37212</v>
      </c>
      <c r="F14" s="2835" t="e">
        <f ca="1">ROUND(D14*10000/C14,0)</f>
        <v>#DIV/0!</v>
      </c>
      <c r="G14" s="2835">
        <f ca="1">IF('数据-取费表'!B3="万元",IF(A14="估价对象1（结果表）",结果表!D125,'结果表 (1修多)'!D129),IF(A14="估价对象1（结果表）",结果表!D125,'结果表 (1修多)'!D129)/10000)</f>
        <v>2311</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c r="A15" s="2506" t="s">
        <v>990</v>
      </c>
      <c r="B15" s="2507"/>
      <c r="C15" s="2507"/>
      <c r="D15" s="2507"/>
      <c r="E15" s="2835" t="e">
        <f t="shared" ref="E15:E23" si="2">ROUND(D15*10000/B15,0)</f>
        <v>#DIV/0!</v>
      </c>
      <c r="F15" s="2835" t="e">
        <f t="shared" ref="F15:F23" si="3">ROUND(D15*10000/C15,0)</f>
        <v>#DIV/0!</v>
      </c>
      <c r="G15" s="1233"/>
      <c r="H15" s="1233"/>
      <c r="I15" s="2507"/>
    </row>
    <row r="16" spans="1:9">
      <c r="A16" s="2506" t="s">
        <v>991</v>
      </c>
      <c r="B16" s="2507"/>
      <c r="C16" s="2507"/>
      <c r="D16" s="2507"/>
      <c r="E16" s="2835" t="e">
        <f t="shared" si="2"/>
        <v>#DIV/0!</v>
      </c>
      <c r="F16" s="2835" t="e">
        <f t="shared" si="3"/>
        <v>#DIV/0!</v>
      </c>
      <c r="G16" s="1233"/>
      <c r="H16" s="1233"/>
      <c r="I16" s="2507"/>
    </row>
    <row r="17" spans="1:9">
      <c r="A17" s="2506" t="s">
        <v>992</v>
      </c>
      <c r="B17" s="2507"/>
      <c r="C17" s="2507"/>
      <c r="D17" s="2507"/>
      <c r="E17" s="2835" t="e">
        <f t="shared" si="2"/>
        <v>#DIV/0!</v>
      </c>
      <c r="F17" s="2835" t="e">
        <f t="shared" si="3"/>
        <v>#DIV/0!</v>
      </c>
      <c r="G17" s="1233"/>
      <c r="H17" s="1233"/>
      <c r="I17" s="2507"/>
    </row>
    <row r="18" spans="1:9">
      <c r="A18" s="2506" t="s">
        <v>993</v>
      </c>
      <c r="B18" s="2507"/>
      <c r="C18" s="2507"/>
      <c r="D18" s="2507"/>
      <c r="E18" s="2835" t="e">
        <f t="shared" si="2"/>
        <v>#DIV/0!</v>
      </c>
      <c r="F18" s="2835" t="e">
        <f t="shared" si="3"/>
        <v>#DIV/0!</v>
      </c>
      <c r="G18" s="2507"/>
      <c r="H18" s="2507"/>
      <c r="I18" s="2507"/>
    </row>
    <row r="19" spans="1:9">
      <c r="A19" s="2506" t="s">
        <v>994</v>
      </c>
      <c r="B19" s="2507"/>
      <c r="C19" s="2507"/>
      <c r="D19" s="2507"/>
      <c r="E19" s="2835" t="e">
        <f t="shared" si="2"/>
        <v>#DIV/0!</v>
      </c>
      <c r="F19" s="2835" t="e">
        <f t="shared" si="3"/>
        <v>#DIV/0!</v>
      </c>
      <c r="G19" s="2507"/>
      <c r="H19" s="2507"/>
      <c r="I19" s="2507"/>
    </row>
    <row r="20" spans="1:9">
      <c r="A20" s="2506" t="s">
        <v>995</v>
      </c>
      <c r="B20" s="2507"/>
      <c r="C20" s="2507"/>
      <c r="D20" s="2507"/>
      <c r="E20" s="2835" t="e">
        <f t="shared" si="2"/>
        <v>#DIV/0!</v>
      </c>
      <c r="F20" s="2835" t="e">
        <f t="shared" si="3"/>
        <v>#DIV/0!</v>
      </c>
      <c r="G20" s="2507"/>
      <c r="H20" s="2507"/>
      <c r="I20" s="2507"/>
    </row>
    <row r="21" spans="1:9">
      <c r="A21" s="2506" t="s">
        <v>996</v>
      </c>
      <c r="B21" s="2507"/>
      <c r="C21" s="2507"/>
      <c r="D21" s="2507"/>
      <c r="E21" s="2835" t="e">
        <f t="shared" si="2"/>
        <v>#DIV/0!</v>
      </c>
      <c r="F21" s="2835" t="e">
        <f t="shared" si="3"/>
        <v>#DIV/0!</v>
      </c>
      <c r="G21" s="2507"/>
      <c r="H21" s="2507"/>
      <c r="I21" s="2507"/>
    </row>
    <row r="22" spans="1:9">
      <c r="A22" s="2506" t="s">
        <v>997</v>
      </c>
      <c r="B22" s="2507"/>
      <c r="C22" s="2507"/>
      <c r="D22" s="2507"/>
      <c r="E22" s="2835" t="e">
        <f t="shared" si="2"/>
        <v>#DIV/0!</v>
      </c>
      <c r="F22" s="2835" t="e">
        <f t="shared" si="3"/>
        <v>#DIV/0!</v>
      </c>
      <c r="G22" s="2507"/>
      <c r="H22" s="2507"/>
      <c r="I22" s="2507"/>
    </row>
    <row r="23" spans="1:9">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3045</v>
      </c>
      <c r="D4" s="2632" t="s">
        <v>3046</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v>4</v>
      </c>
      <c r="D14" s="3490">
        <v>6</v>
      </c>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4</v>
      </c>
      <c r="D17" s="2634">
        <f>SUM(D5:D16)</f>
        <v>6</v>
      </c>
      <c r="E17" s="2481"/>
      <c r="F17" s="2481"/>
      <c r="G17" s="2481"/>
      <c r="H17" s="2481"/>
      <c r="I17" s="2481"/>
      <c r="J17" s="2765"/>
    </row>
    <row r="18" spans="1:36" ht="30" customHeight="1" thickBot="1">
      <c r="A18" s="2635" t="s">
        <v>1493</v>
      </c>
      <c r="B18" s="2636"/>
      <c r="C18" s="2637">
        <f>ROUND(C17/SUM(C17:D17),2)</f>
        <v>0.4</v>
      </c>
      <c r="D18" s="2637">
        <f>1-C18</f>
        <v>0.6</v>
      </c>
      <c r="E18" s="3507" t="s">
        <v>2576</v>
      </c>
      <c r="F18" s="3508"/>
      <c r="G18" s="3508"/>
      <c r="H18" s="3508"/>
      <c r="I18" s="3508"/>
      <c r="J18" s="2765"/>
    </row>
    <row r="19" spans="1:36" ht="15">
      <c r="A19" s="2638" t="s">
        <v>1494</v>
      </c>
      <c r="B19" s="2639" t="s">
        <v>1495</v>
      </c>
      <c r="C19" s="2640">
        <f ca="1">SUMIF(INDIRECT("'"&amp;C4&amp;"'"&amp;"!A:A"),结果表!B19,INDIRECT("'"&amp;C4&amp;"'"&amp;"!B:B"))</f>
        <v>1953</v>
      </c>
      <c r="D19" s="2641">
        <f ca="1">SUMIF(INDIRECT("'"&amp;D4&amp;"'"&amp;"!A:A"),结果表!B19,INDIRECT("'"&amp;D4&amp;"'"&amp;"!B:B"))</f>
        <v>2549</v>
      </c>
      <c r="E19" s="2638" t="s">
        <v>1496</v>
      </c>
      <c r="F19" s="2639" t="s">
        <v>1495</v>
      </c>
      <c r="G19" s="2642">
        <f ca="1">ROUND(C19*$C$18+D19*$D$18,0)</f>
        <v>2311</v>
      </c>
      <c r="H19" s="2643" t="str">
        <f>'数据-取费表'!B3</f>
        <v>万元</v>
      </c>
      <c r="I19" s="2691"/>
      <c r="J19" s="2766"/>
    </row>
    <row r="20" spans="1:36" ht="15">
      <c r="A20" s="2644"/>
      <c r="B20" s="1622" t="s">
        <v>1497</v>
      </c>
      <c r="C20" s="1847">
        <f ca="1">SUMIF(INDIRECT("'"&amp;C4&amp;"'"&amp;"!A:A"),结果表!B20,INDIRECT("'"&amp;C4&amp;"'"&amp;"!B:B"))</f>
        <v>31453</v>
      </c>
      <c r="D20" s="1850">
        <f ca="1">SUMIF(INDIRECT("'"&amp;D4&amp;"'"&amp;"!A:A"),结果表!B20,INDIRECT("'"&amp;D4&amp;"'"&amp;"!B:B"))</f>
        <v>41045</v>
      </c>
      <c r="E20" s="2644"/>
      <c r="F20" s="1622" t="s">
        <v>1497</v>
      </c>
      <c r="G20" s="2021">
        <f ca="1">ROUND(C20*$C$18+D20*$D$18,0)</f>
        <v>37208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0.30517153097798255</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37208</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33115</v>
      </c>
      <c r="D34" s="2668">
        <f ca="1">IF(D33="自定义",ROUND(C34/C32,3),1-D35)</f>
        <v>0.89</v>
      </c>
      <c r="E34" s="1363" t="s">
        <v>1510</v>
      </c>
      <c r="F34" s="2669">
        <v>2000</v>
      </c>
      <c r="G34" s="905"/>
      <c r="H34" s="905"/>
      <c r="I34" s="905"/>
      <c r="J34" s="2765"/>
    </row>
    <row r="35" spans="1:17" ht="15.75" thickBot="1">
      <c r="A35" s="1395"/>
      <c r="B35" s="2670" t="s">
        <v>1511</v>
      </c>
      <c r="C35" s="2671">
        <f ca="1">IF(D33="自定义",F35,ROUND(C32*D35,0))</f>
        <v>4093</v>
      </c>
      <c r="D35" s="2672">
        <f ca="1">IF(D33="自定义",ROUND(C35/C32,3),IF(D33="成本法成本比率",成本法!C56,IF(D33="收益法收益比率",收益法!J38,收益法!J41)))</f>
        <v>0.11</v>
      </c>
      <c r="E35" s="2673" t="s">
        <v>1512</v>
      </c>
      <c r="F35" s="2674">
        <v>4460</v>
      </c>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1" t="s">
        <v>1524</v>
      </c>
      <c r="B45" s="3422"/>
      <c r="C45" s="3432"/>
      <c r="D45" s="246">
        <f ca="1">ROUND(I102*F45,0)</f>
        <v>2311</v>
      </c>
      <c r="E45" s="1470" t="s">
        <v>1525</v>
      </c>
      <c r="F45" s="2479">
        <v>1</v>
      </c>
      <c r="G45" s="2480" t="s">
        <v>1526</v>
      </c>
      <c r="H45" s="905"/>
      <c r="I45" s="905"/>
      <c r="J45" s="2765"/>
      <c r="K45" s="3427" t="s">
        <v>2505</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2506</v>
      </c>
      <c r="M46" s="3428"/>
      <c r="N46" s="3429" t="str">
        <f>项目基本情况!B1</f>
        <v>北京市房地产抵押价值预评估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2507</v>
      </c>
      <c r="M47" s="3428"/>
      <c r="N47" s="3430">
        <f>'数据-取费表'!B2</f>
        <v>44827</v>
      </c>
      <c r="O47" s="3430"/>
      <c r="P47" s="3430"/>
      <c r="Q47" s="1236"/>
    </row>
    <row r="48" spans="1:17" ht="25.5">
      <c r="A48" s="3503" t="s">
        <v>1536</v>
      </c>
      <c r="B48" s="3437"/>
      <c r="C48" s="3437"/>
      <c r="D48" s="12">
        <f ca="1">IF(H48="情况1",0,IF(H48="情况2",D52,IF(H48="情况3",D53,IF(H48="情况4",D54))))</f>
        <v>123</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8" t="s">
        <v>2508</v>
      </c>
      <c r="M48" s="3428"/>
      <c r="N48" s="3429">
        <f ca="1">I102</f>
        <v>2311</v>
      </c>
      <c r="O48" s="3429"/>
      <c r="P48" s="3429"/>
      <c r="Q48" s="1236"/>
    </row>
    <row r="49" spans="1:17" ht="25.5" customHeight="1">
      <c r="A49" s="2019" t="s">
        <v>1540</v>
      </c>
      <c r="B49" s="3476" t="s">
        <v>1541</v>
      </c>
      <c r="C49" s="3476"/>
      <c r="D49" s="2486">
        <v>0</v>
      </c>
      <c r="E49" s="261" t="s">
        <v>1542</v>
      </c>
      <c r="F49" s="2487" t="s">
        <v>48</v>
      </c>
      <c r="G49" s="3418"/>
      <c r="H49" s="2488" t="s">
        <v>2582</v>
      </c>
      <c r="I49" s="2489"/>
      <c r="J49" s="2773"/>
      <c r="K49" s="2454">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36"/>
    </row>
    <row r="50" spans="1:17" ht="25.5" customHeight="1">
      <c r="A50" s="2009"/>
      <c r="B50" s="3476" t="s">
        <v>1543</v>
      </c>
      <c r="C50" s="3476"/>
      <c r="D50" s="2490"/>
      <c r="E50" s="269"/>
      <c r="F50" s="2487"/>
      <c r="G50" s="3419"/>
      <c r="H50" s="2491" t="s">
        <v>2501</v>
      </c>
      <c r="I50" s="2489"/>
      <c r="J50" s="2773"/>
      <c r="K50" s="3428" t="s">
        <v>2509</v>
      </c>
      <c r="L50" s="3428"/>
      <c r="M50" s="3428"/>
      <c r="N50" s="3428"/>
      <c r="O50" s="3428"/>
      <c r="P50" s="3428"/>
      <c r="Q50" s="1236"/>
    </row>
    <row r="51" spans="1:17" ht="20.45" customHeight="1">
      <c r="A51" s="2492"/>
      <c r="B51" s="3476" t="s">
        <v>1545</v>
      </c>
      <c r="C51" s="3476"/>
      <c r="D51" s="1028"/>
      <c r="E51" s="264"/>
      <c r="F51" s="2487"/>
      <c r="G51" s="3420"/>
      <c r="H51" s="2491" t="s">
        <v>2502</v>
      </c>
      <c r="I51" s="2489"/>
      <c r="J51" s="2773"/>
      <c r="K51" s="2455" t="s">
        <v>2510</v>
      </c>
      <c r="L51" s="3428" t="s">
        <v>2511</v>
      </c>
      <c r="M51" s="3428"/>
      <c r="N51" s="2455" t="s">
        <v>2512</v>
      </c>
      <c r="O51" s="2455" t="s">
        <v>2513</v>
      </c>
      <c r="P51" s="2455" t="s">
        <v>2514</v>
      </c>
      <c r="Q51" s="1236"/>
    </row>
    <row r="52" spans="1:17" ht="24" customHeight="1">
      <c r="A52" s="2010" t="s">
        <v>1551</v>
      </c>
      <c r="B52" s="3476" t="s">
        <v>1552</v>
      </c>
      <c r="C52" s="3476"/>
      <c r="D52" s="1028">
        <f ca="1">ROUND(D45*'数据-取费表'!E29/(1+'数据-取费表'!F30),0)</f>
        <v>123</v>
      </c>
      <c r="E52" s="2020" t="s">
        <v>1553</v>
      </c>
      <c r="F52" s="2493">
        <f>'数据-取费表'!E29</f>
        <v>5.6000000000000001E-2</v>
      </c>
      <c r="G52" s="2494"/>
      <c r="H52" s="905"/>
      <c r="I52" s="2898"/>
      <c r="J52" s="2773"/>
      <c r="K52" s="2454">
        <v>1</v>
      </c>
      <c r="L52" s="3417" t="s">
        <v>2515</v>
      </c>
      <c r="M52" s="3417"/>
      <c r="N52" s="2456">
        <f ca="1">D48</f>
        <v>123</v>
      </c>
      <c r="O52" s="2454" t="str">
        <f>E48</f>
        <v>销售额×税（费）率</v>
      </c>
      <c r="P52" s="2457">
        <f>F48</f>
        <v>5.6000000000000001E-2</v>
      </c>
      <c r="Q52" s="1236"/>
    </row>
    <row r="53" spans="1:17" ht="12" customHeight="1">
      <c r="A53" s="2010" t="s">
        <v>1555</v>
      </c>
      <c r="B53" s="3488" t="s">
        <v>2593</v>
      </c>
      <c r="C53" s="3477"/>
      <c r="D53" s="1028">
        <f ca="1">ROUND(D45*'数据-取费表'!E29/(1+'数据-取费表'!F30),0)</f>
        <v>123</v>
      </c>
      <c r="E53" s="2020" t="s">
        <v>1553</v>
      </c>
      <c r="F53" s="2493">
        <f>'数据-取费表'!E29</f>
        <v>5.6000000000000001E-2</v>
      </c>
      <c r="G53" s="2494"/>
      <c r="H53" s="905"/>
      <c r="I53" s="2898"/>
      <c r="J53" s="2773"/>
      <c r="K53" s="2454">
        <v>2</v>
      </c>
      <c r="L53" s="3417" t="s">
        <v>2516</v>
      </c>
      <c r="M53" s="3417"/>
      <c r="N53" s="2456">
        <f t="shared" ref="N53:P54" si="1">D55</f>
        <v>0</v>
      </c>
      <c r="O53" s="2454" t="str">
        <f t="shared" si="1"/>
        <v>销售额×税（费）率</v>
      </c>
      <c r="P53" s="2457" t="str">
        <f t="shared" si="1"/>
        <v>免征</v>
      </c>
      <c r="Q53" s="1236"/>
    </row>
    <row r="54" spans="1:17" ht="12" customHeight="1">
      <c r="A54" s="2010" t="s">
        <v>1557</v>
      </c>
      <c r="B54" s="3488" t="s">
        <v>2594</v>
      </c>
      <c r="C54" s="3477"/>
      <c r="D54" s="1028">
        <f ca="1">C68</f>
        <v>123</v>
      </c>
      <c r="E54" s="264" t="s">
        <v>1558</v>
      </c>
      <c r="F54" s="2493">
        <f>'数据-取费表'!E29</f>
        <v>5.6000000000000001E-2</v>
      </c>
      <c r="G54" s="2494"/>
      <c r="H54" s="2899"/>
      <c r="I54" s="2898"/>
      <c r="J54" s="2773"/>
      <c r="K54" s="2454">
        <v>3</v>
      </c>
      <c r="L54" s="3417" t="s">
        <v>2517</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2498</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2518</v>
      </c>
      <c r="M57" s="2462" t="s">
        <v>2519</v>
      </c>
      <c r="N57" s="2463"/>
      <c r="O57" s="2464">
        <f ca="1">SUMIF(N52:N56,"&lt;9e307")</f>
        <v>123</v>
      </c>
      <c r="P57" s="2465"/>
      <c r="Q57" s="1234" t="e">
        <f ca="1">O57/N49</f>
        <v>#VALUE!</v>
      </c>
    </row>
    <row r="58" spans="1:17" ht="24.75">
      <c r="A58" s="2010" t="s">
        <v>1551</v>
      </c>
      <c r="B58" s="3488" t="s">
        <v>1569</v>
      </c>
      <c r="C58" s="3476"/>
      <c r="D58" s="12">
        <f ca="1">IF(H58="转让取得",C81,C97)</f>
        <v>1308</v>
      </c>
      <c r="E58" s="2020" t="s">
        <v>1564</v>
      </c>
      <c r="F58" s="235" t="s">
        <v>48</v>
      </c>
      <c r="G58" s="2494"/>
      <c r="H58" s="2496" t="s">
        <v>1570</v>
      </c>
      <c r="I58" s="2900"/>
      <c r="J58" s="2773"/>
      <c r="K58" s="3417"/>
      <c r="L58" s="3417"/>
      <c r="M58" s="2462" t="s">
        <v>2520</v>
      </c>
      <c r="N58" s="2466"/>
      <c r="O58" s="2467" t="str">
        <f ca="1">IF(H19="元",NUMBERSTRING(INT(O57),2)&amp;"元整",NUMBERSTRING(INT(O57*10000),2)&amp;"元整")</f>
        <v>壹佰贰拾叁万元整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0">
        <f>K57+1</f>
        <v>5</v>
      </c>
      <c r="L59" s="341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1"/>
      <c r="L60" s="3417"/>
      <c r="M60" s="2462" t="s">
        <v>2520</v>
      </c>
      <c r="N60" s="2466"/>
      <c r="O60" s="2467" t="e">
        <f ca="1">IF(H19="元",NUMBERSTRING(INT(O59),2)&amp;"元整",NUMBERSTRING(INT(O59*10000),2)&amp;"元整")</f>
        <v>#VALUE!</v>
      </c>
      <c r="P60" s="2468"/>
      <c r="Q60" s="1236"/>
    </row>
    <row r="61" spans="1:17" ht="13.5" thickBot="1">
      <c r="A61" s="3506" t="s">
        <v>1574</v>
      </c>
      <c r="B61" s="3506"/>
      <c r="C61" s="3506"/>
      <c r="D61" s="3506"/>
      <c r="E61" s="3506"/>
      <c r="F61" s="2901"/>
      <c r="G61" s="2901"/>
      <c r="H61" s="2903"/>
      <c r="I61" s="31"/>
      <c r="K61" s="2454">
        <f>K59+1</f>
        <v>6</v>
      </c>
      <c r="L61" s="3417" t="s">
        <v>2522</v>
      </c>
      <c r="M61" s="3417"/>
      <c r="N61" s="2472"/>
      <c r="O61" s="2473" t="e">
        <f ca="1">IF(H19="元",ROUND(O59/项目基本情况!C12,0),ROUND(O59*10000/项目基本情况!C12,0))</f>
        <v>#VALUE!</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2201</v>
      </c>
      <c r="D63" s="47"/>
      <c r="E63" s="48"/>
      <c r="F63" s="2901"/>
      <c r="G63" s="2901"/>
      <c r="H63" s="2903"/>
      <c r="I63" s="31"/>
      <c r="K63" s="3436"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2311</v>
      </c>
      <c r="D64" s="50" t="s">
        <v>41</v>
      </c>
      <c r="E64" s="52"/>
      <c r="F64" s="2901"/>
      <c r="G64" s="2901"/>
      <c r="H64" s="2903"/>
      <c r="I64" s="31"/>
      <c r="K64" s="3436"/>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6"/>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6"/>
      <c r="L66" s="2476" t="s">
        <v>2528</v>
      </c>
      <c r="M66" s="2476" t="e">
        <f>N49*0.5%</f>
        <v>#VALUE!</v>
      </c>
      <c r="N66" s="2477" t="e">
        <f>IF(M66&gt;0.5,0.5,ROUND(M66,0))</f>
        <v>#VALUE!</v>
      </c>
      <c r="O66" s="2475" t="s">
        <v>2529</v>
      </c>
      <c r="P66" s="2475"/>
      <c r="Q66" s="1236"/>
    </row>
    <row r="67" spans="1:36" ht="12.75">
      <c r="A67" s="53" t="s">
        <v>42</v>
      </c>
      <c r="B67" s="54" t="s">
        <v>1591</v>
      </c>
      <c r="C67" s="2708">
        <f ca="1">C63-C66</f>
        <v>2201</v>
      </c>
      <c r="D67" s="50" t="s">
        <v>41</v>
      </c>
      <c r="E67" s="52"/>
      <c r="F67" s="2901"/>
      <c r="G67" s="2901"/>
      <c r="H67" s="2903"/>
      <c r="I67" s="31"/>
      <c r="K67" s="3436"/>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123</v>
      </c>
      <c r="D68" s="2170">
        <f>'数据-取费表'!E29</f>
        <v>5.6000000000000001E-2</v>
      </c>
      <c r="E68" s="57"/>
      <c r="F68" s="2901"/>
      <c r="G68" s="2901"/>
      <c r="H68" s="2903"/>
      <c r="I68" s="31"/>
      <c r="K68" s="3436"/>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2201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13</v>
      </c>
      <c r="D78" s="2717">
        <f>'数据-取费表'!E31</f>
        <v>6.000000000000001E-3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2188</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168.30769230769232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1308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2201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2493</v>
      </c>
      <c r="H90" s="346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13</v>
      </c>
      <c r="D93" s="2717">
        <f>'数据-取费表'!E31</f>
        <v>6.000000000000001E-3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2188</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168.30769230769232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1308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成本法</v>
      </c>
      <c r="D100" s="2727" t="str">
        <f>D4</f>
        <v>收益法</v>
      </c>
      <c r="E100" s="1389"/>
      <c r="F100" s="3461" t="s">
        <v>2537</v>
      </c>
      <c r="G100" s="3463"/>
      <c r="H100" s="3461" t="s">
        <v>2538</v>
      </c>
      <c r="I100" s="3462"/>
      <c r="J100" s="2780"/>
    </row>
    <row r="101" spans="1:36" ht="12.75">
      <c r="A101" s="3478" t="s">
        <v>2570</v>
      </c>
      <c r="B101" s="2235" t="str">
        <f>IF(H19="元","总价（元）","总价（万元）")</f>
        <v>总价（万元）</v>
      </c>
      <c r="C101" s="1235">
        <f ca="1">C19</f>
        <v>1953</v>
      </c>
      <c r="D101" s="2727">
        <f ca="1">D19</f>
        <v>2549</v>
      </c>
      <c r="E101" s="1389"/>
      <c r="F101" s="3461" t="str">
        <f>项目基本情况!I1</f>
        <v>北京市房地产</v>
      </c>
      <c r="G101" s="3463"/>
      <c r="H101" s="3465">
        <f>项目基本情况!C12</f>
        <v>621.03</v>
      </c>
      <c r="I101" s="3462"/>
      <c r="J101" s="2780"/>
    </row>
    <row r="102" spans="1:36" ht="12.75">
      <c r="A102" s="3478"/>
      <c r="B102" s="2235" t="s">
        <v>2571</v>
      </c>
      <c r="C102" s="2728">
        <f ca="1">C20</f>
        <v>31453</v>
      </c>
      <c r="D102" s="2729">
        <f ca="1">D20</f>
        <v>41045</v>
      </c>
      <c r="E102" s="1389"/>
      <c r="F102" s="3448" t="s">
        <v>2567</v>
      </c>
      <c r="G102" s="3449"/>
      <c r="H102" s="2737" t="str">
        <f>C106</f>
        <v>总价（万元）</v>
      </c>
      <c r="I102" s="2738">
        <f ca="1">H121</f>
        <v>2311</v>
      </c>
      <c r="J102" s="2780"/>
    </row>
    <row r="103" spans="1:36" ht="12.75">
      <c r="A103" s="3478" t="s">
        <v>2572</v>
      </c>
      <c r="B103" s="2173" t="str">
        <f>B101</f>
        <v>总价（万元）</v>
      </c>
      <c r="C103" s="2732">
        <f ca="1">H121</f>
        <v>2311</v>
      </c>
      <c r="D103" s="2730"/>
      <c r="E103" s="1389"/>
      <c r="F103" s="3448"/>
      <c r="G103" s="3449"/>
      <c r="H103" s="2737" t="s">
        <v>2540</v>
      </c>
      <c r="I103" s="52">
        <f ca="1">I121</f>
        <v>37208</v>
      </c>
      <c r="J103" s="2764"/>
    </row>
    <row r="104" spans="1:36" ht="13.5" thickBot="1">
      <c r="A104" s="3479"/>
      <c r="B104" s="2734" t="s">
        <v>2571</v>
      </c>
      <c r="C104" s="2735">
        <f ca="1">I121</f>
        <v>37208</v>
      </c>
      <c r="D104" s="2736"/>
      <c r="E104" s="1389"/>
      <c r="F104" s="3448"/>
      <c r="G104" s="3449"/>
      <c r="H104" s="3480"/>
      <c r="I104" s="3481"/>
      <c r="J104" s="2781"/>
    </row>
    <row r="105" spans="1:36" ht="15">
      <c r="A105" s="3442" t="s">
        <v>1633</v>
      </c>
      <c r="B105" s="3443"/>
      <c r="C105" s="3443"/>
      <c r="D105" s="3444"/>
      <c r="E105" s="1389"/>
      <c r="F105" s="3484" t="s">
        <v>2541</v>
      </c>
      <c r="G105" s="3485"/>
      <c r="H105" s="2739" t="str">
        <f>C108</f>
        <v>总额（万元）</v>
      </c>
      <c r="I105" s="2738">
        <f>SUMIF(I106:I108,"&lt;9E307")</f>
        <v>0</v>
      </c>
      <c r="J105" s="2780"/>
    </row>
    <row r="106" spans="1:36" ht="14.25">
      <c r="A106" s="3448" t="s">
        <v>2564</v>
      </c>
      <c r="B106" s="3449"/>
      <c r="C106" s="2737" t="str">
        <f>B101</f>
        <v>总价（万元）</v>
      </c>
      <c r="D106" s="2738">
        <f ca="1">H121</f>
        <v>2311</v>
      </c>
      <c r="E106" s="1389"/>
      <c r="F106" s="3450" t="s">
        <v>2542</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2565</v>
      </c>
      <c r="D107" s="52">
        <f ca="1">I121</f>
        <v>37208</v>
      </c>
      <c r="E107" s="1389"/>
      <c r="F107" s="3450" t="s">
        <v>2543</v>
      </c>
      <c r="G107" s="3451"/>
      <c r="H107" s="2739" t="str">
        <f>C110</f>
        <v>总额（万元）</v>
      </c>
      <c r="I107" s="52">
        <f>C37</f>
        <v>0</v>
      </c>
      <c r="J107" s="2764"/>
    </row>
    <row r="108" spans="1:36" ht="12.75">
      <c r="A108" s="3519" t="s">
        <v>2541</v>
      </c>
      <c r="B108" s="3520"/>
      <c r="C108" s="2739" t="str">
        <f>IF(H19="元","总额（元）","总额（万元）")</f>
        <v>总额（万元）</v>
      </c>
      <c r="D108" s="2738">
        <f>IF(D36="正常操作",I106+I107+I108,I107+I108)</f>
        <v>0</v>
      </c>
      <c r="E108" s="1389"/>
      <c r="F108" s="3450" t="s">
        <v>2568</v>
      </c>
      <c r="G108" s="3451"/>
      <c r="H108" s="2739" t="str">
        <f>C111</f>
        <v>总额（万元）</v>
      </c>
      <c r="I108" s="52">
        <f>C38</f>
        <v>0</v>
      </c>
      <c r="J108" s="2764"/>
    </row>
    <row r="109" spans="1:36" ht="12.75">
      <c r="A109" s="3450" t="s">
        <v>2542</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2566</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2311</v>
      </c>
      <c r="J110" s="2780"/>
    </row>
    <row r="111" spans="1:36" ht="12.75">
      <c r="A111" s="3450" t="s">
        <v>2545</v>
      </c>
      <c r="B111" s="3451"/>
      <c r="C111" s="2739" t="str">
        <f>C108</f>
        <v>总额（万元）</v>
      </c>
      <c r="D111" s="52">
        <f>C38</f>
        <v>0</v>
      </c>
      <c r="E111" s="1389"/>
      <c r="F111" s="3433"/>
      <c r="G111" s="3434"/>
      <c r="H111" s="2737" t="s">
        <v>2540</v>
      </c>
      <c r="I111" s="2741">
        <f ca="1">D113</f>
        <v>37208</v>
      </c>
      <c r="J111" s="2783"/>
    </row>
    <row r="112" spans="1:36" ht="26.25" customHeight="1">
      <c r="A112" s="3448" t="str">
        <f>IF(项目基本情况!F5="已注销","——","3.房地产抵押价值")</f>
        <v>3.房地产抵押价值</v>
      </c>
      <c r="B112" s="3449"/>
      <c r="C112" s="2737" t="str">
        <f>B101</f>
        <v>总价（万元）</v>
      </c>
      <c r="D112" s="2738">
        <f ca="1">IF(A112="——","——",D106-D108)</f>
        <v>2311</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48"/>
      <c r="B113" s="3449"/>
      <c r="C113" s="2737" t="s">
        <v>2533</v>
      </c>
      <c r="D113" s="52">
        <f ca="1">ROUND(IF(D112=D106,D107,IF(H19="元",D112/项目基本情况!C12,D112*10000/项目基本情况!C12)),0)</f>
        <v>37208</v>
      </c>
      <c r="E113" s="1389"/>
      <c r="F113" s="3433"/>
      <c r="G113" s="3434"/>
      <c r="H113" s="2737" t="s">
        <v>2569</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2533</v>
      </c>
      <c r="D115" s="52" t="str">
        <f>IF(A114="——","——",ROUND(IF(D114=D106,D107,IF(H19="元",D114/项目基本情况!C12,D114*10000/项目基本情况!C12)),0))</f>
        <v>——</v>
      </c>
      <c r="E115" s="1389"/>
      <c r="F115" s="3511"/>
      <c r="G115" s="3512"/>
      <c r="H115" s="2742" t="s">
        <v>2533</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2533</v>
      </c>
      <c r="D117" s="2726" t="str">
        <f ca="1">IF(D116=D112,D113,IF(A116="——","——",O61))</f>
        <v>——</v>
      </c>
      <c r="E117" s="1389"/>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2551</v>
      </c>
      <c r="B119" s="3439" t="s">
        <v>2561</v>
      </c>
      <c r="C119" s="3439" t="s">
        <v>2562</v>
      </c>
      <c r="D119" s="3446" t="s">
        <v>2553</v>
      </c>
      <c r="E119" s="3447"/>
      <c r="F119" s="3437" t="s">
        <v>2563</v>
      </c>
      <c r="G119" s="3437"/>
      <c r="H119" s="3437" t="s">
        <v>2554</v>
      </c>
      <c r="I119" s="3438"/>
      <c r="J119" s="2764"/>
    </row>
    <row r="120" spans="1:16" ht="12.75">
      <c r="A120" s="3441"/>
      <c r="B120" s="3440"/>
      <c r="C120" s="3440"/>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621.03</v>
      </c>
      <c r="C121" s="2020">
        <f>项目基本情况!C13</f>
        <v>0</v>
      </c>
      <c r="D121" s="2020">
        <f ca="1">ROUND(IF(B32="总价",C34,IF('数据-取费表'!B3="万元",E121*B121/10000,E121*B121)),0)</f>
        <v>2057</v>
      </c>
      <c r="E121" s="2020">
        <f ca="1">ROUND(IF(B32="楼面单价",C34,IF(H19="元",D121/B121,D121*10000/B121)),0)</f>
        <v>33115</v>
      </c>
      <c r="F121" s="2020">
        <f ca="1">ROUND(IF(B32="总价",C35,IF('数据-取费表'!B3="万元",G121*B121/10000,G121*B121)),0)</f>
        <v>254</v>
      </c>
      <c r="G121" s="2020">
        <f ca="1">ROUND(IF(B32="楼面单价",C35,IF(H19="元",F121/B121,F121*10000/B121)),0)</f>
        <v>4093</v>
      </c>
      <c r="H121" s="2020">
        <f ca="1">ROUND(IF(B32="总价",C32,IF('数据-取费表'!B3="万元",I121*B121/10000,I121*B121)),0)</f>
        <v>2311</v>
      </c>
      <c r="I121" s="52">
        <f ca="1">ROUND(IF(B32="楼面单价",C32,IF(H19="元",H121/B121,H121*10000/B121)),0)</f>
        <v>37208</v>
      </c>
      <c r="J121" s="2764"/>
    </row>
    <row r="122" spans="1:16" ht="12.75">
      <c r="A122" s="3441" t="s">
        <v>2557</v>
      </c>
      <c r="B122" s="3437"/>
      <c r="C122" s="3437"/>
      <c r="D122" s="3472" t="str">
        <f ca="1">IF(H19="元",NUMBERSTRING(INT(D121),2)&amp;"元整",NUMBERSTRING(INT(D121*10000),2)&amp;"元整")</f>
        <v>贰仟零伍拾柒万元整</v>
      </c>
      <c r="E122" s="3473"/>
      <c r="F122" s="3472" t="str">
        <f ca="1">IF(H19="元",NUMBERSTRING(INT(F121),2)&amp;"元整",NUMBERSTRING(INT(F121*10000),2)&amp;"元整")</f>
        <v>贰佰伍拾肆万元整</v>
      </c>
      <c r="G122" s="3473"/>
      <c r="H122" s="3472" t="str">
        <f ca="1">IF(H19="元",NUMBERSTRING(INT(H121),2)&amp;"元整",NUMBERSTRING(INT(H121*10000),2)&amp;"元整")</f>
        <v>贰仟叁佰壹拾壹万元整</v>
      </c>
      <c r="I122" s="3521"/>
      <c r="J122" s="278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75">
      <c r="A124" s="3475" t="s">
        <v>2557</v>
      </c>
      <c r="B124" s="3476"/>
      <c r="C124" s="3477"/>
      <c r="D124" s="3513">
        <f>H109</f>
        <v>0</v>
      </c>
      <c r="E124" s="3514"/>
      <c r="F124" s="3514"/>
      <c r="G124" s="3514"/>
      <c r="H124" s="3514"/>
      <c r="I124" s="3515"/>
      <c r="J124" s="2788"/>
    </row>
    <row r="125" spans="1:16" ht="12.75">
      <c r="A125" s="3448" t="str">
        <f>IF(项目基本情况!D5="房地产市场价值","——",MID(A112,3,LEN(A112)-2))</f>
        <v>房地产抵押价值</v>
      </c>
      <c r="B125" s="3449"/>
      <c r="C125" s="3449"/>
      <c r="D125" s="3465">
        <f ca="1">I110</f>
        <v>2311</v>
      </c>
      <c r="E125" s="3474"/>
      <c r="F125" s="3474"/>
      <c r="G125" s="3474"/>
      <c r="H125" s="3474"/>
      <c r="I125" s="3462"/>
      <c r="J125" s="2780"/>
    </row>
    <row r="126" spans="1:16" ht="12.75">
      <c r="A126" s="3441" t="s">
        <v>2557</v>
      </c>
      <c r="B126" s="3437"/>
      <c r="C126" s="3437"/>
      <c r="D126" s="3513">
        <f ca="1">I111</f>
        <v>37208</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4.25" thickTop="1" thickBot="1">
      <c r="A128" s="3441" t="s">
        <v>2557</v>
      </c>
      <c r="B128" s="3437"/>
      <c r="C128" s="3488"/>
      <c r="D128" s="3466" t="str">
        <f>I113</f>
        <v>——</v>
      </c>
      <c r="E128" s="3466"/>
      <c r="F128" s="3466"/>
      <c r="G128" s="3466"/>
      <c r="H128" s="3466"/>
      <c r="I128" s="3466"/>
      <c r="J128" s="2788"/>
    </row>
    <row r="129" spans="1:10" ht="14.25" thickTop="1" thickBot="1">
      <c r="A129" s="3448" t="str">
        <f>IF(项目基本情况!D5="房地产市场价值","——",MID(F114,3,LEN(F114)-2))</f>
        <v/>
      </c>
      <c r="B129" s="3449"/>
      <c r="C129" s="3465"/>
      <c r="D129" s="3516" t="str">
        <f>I114</f>
        <v>——</v>
      </c>
      <c r="E129" s="3516"/>
      <c r="F129" s="3516"/>
      <c r="G129" s="3516"/>
      <c r="H129" s="3516"/>
      <c r="I129" s="3516"/>
      <c r="J129" s="2780"/>
    </row>
    <row r="130" spans="1:10" ht="14.25" thickTop="1" thickBot="1">
      <c r="A130" s="3504" t="s">
        <v>2557</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2576</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44827</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2500</v>
      </c>
      <c r="I51" s="2489"/>
      <c r="J51" s="2773"/>
      <c r="K51" s="2431">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09"/>
      <c r="B52" s="3476" t="s">
        <v>1543</v>
      </c>
      <c r="C52" s="3476"/>
      <c r="D52" s="2490"/>
      <c r="E52" s="269"/>
      <c r="F52" s="2487"/>
      <c r="G52" s="3419"/>
      <c r="H52" s="2491" t="s">
        <v>2501</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2502</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5.6000000000000001E-2</v>
      </c>
      <c r="G54" s="2494"/>
      <c r="H54" s="905"/>
      <c r="I54" s="2898"/>
      <c r="J54" s="2773"/>
      <c r="K54" s="2431">
        <v>1</v>
      </c>
      <c r="L54" s="3529" t="s">
        <v>1554</v>
      </c>
      <c r="M54" s="3529"/>
      <c r="N54" s="2433">
        <f>D50</f>
        <v>0</v>
      </c>
      <c r="O54" s="2431" t="str">
        <f>E50</f>
        <v>销售额×税（费）率</v>
      </c>
      <c r="P54" s="2434">
        <f>F50</f>
        <v>5.6000000000000001E-2</v>
      </c>
    </row>
    <row r="55" spans="1:17" ht="12" customHeight="1">
      <c r="A55" s="2010" t="s">
        <v>1555</v>
      </c>
      <c r="B55" s="3488" t="s">
        <v>2593</v>
      </c>
      <c r="C55" s="3477"/>
      <c r="D55" s="1028">
        <f>ROUND(D47*'数据-取费表'!E29/(1+'数据-取费表'!F30),0)</f>
        <v>0</v>
      </c>
      <c r="E55" s="2020" t="s">
        <v>1553</v>
      </c>
      <c r="F55" s="2493">
        <f>'数据-取费表'!E29</f>
        <v>5.6000000000000001E-2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2594</v>
      </c>
      <c r="C56" s="3477"/>
      <c r="D56" s="1028">
        <f>C70</f>
        <v>0</v>
      </c>
      <c r="E56" s="264" t="s">
        <v>1558</v>
      </c>
      <c r="F56" s="2493">
        <f>'数据-取费表'!E29</f>
        <v>5.6000000000000001E-2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#VALUE!</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5">
        <f>K59+1</f>
        <v>6</v>
      </c>
      <c r="L61" s="3529" t="s">
        <v>1573</v>
      </c>
      <c r="M61" s="2431" t="s">
        <v>1568</v>
      </c>
      <c r="N61" s="2446"/>
      <c r="O61" s="2447" t="e">
        <f>N51-O59</f>
        <v>#VALUE!</v>
      </c>
      <c r="P61" s="2448"/>
    </row>
    <row r="62" spans="1:17" ht="12" customHeight="1">
      <c r="A62" s="1385"/>
      <c r="B62" s="2481"/>
      <c r="C62" s="2481"/>
      <c r="D62" s="2481"/>
      <c r="E62" s="1385"/>
      <c r="F62" s="2900"/>
      <c r="G62" s="2900"/>
      <c r="H62" s="2895"/>
      <c r="I62" s="905"/>
      <c r="J62" s="2773"/>
      <c r="K62" s="3536"/>
      <c r="L62" s="3529"/>
      <c r="M62" s="2439" t="s">
        <v>1571</v>
      </c>
      <c r="N62" s="2443"/>
      <c r="O62" s="2444" t="e">
        <f>IF(H19="元",NUMBERSTRING(INT(O61),2)&amp;"元整",NUMBERSTRING(INT(O61*10000),2)&amp;"元整")</f>
        <v>#VALUE!</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t="e">
        <f>IF(H19="元",ROUND(O61/项目基本情况!C12,0),ROUND(O61*10000/项目基本情况!C12,0))</f>
        <v>#VALUE!</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5"/>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2494</v>
      </c>
      <c r="H92" s="354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2536</v>
      </c>
      <c r="G101" s="3540"/>
      <c r="H101" s="3540"/>
      <c r="I101" s="3541"/>
      <c r="J101" s="2800"/>
    </row>
    <row r="102" spans="1:36" ht="15">
      <c r="A102" s="3459" t="s">
        <v>1632</v>
      </c>
      <c r="B102" s="3460"/>
      <c r="C102" s="2723">
        <f>C4</f>
        <v>0</v>
      </c>
      <c r="D102" s="2724">
        <f>D4</f>
        <v>0</v>
      </c>
      <c r="E102" s="1389"/>
      <c r="F102" s="3461" t="s">
        <v>2537</v>
      </c>
      <c r="G102" s="3463"/>
      <c r="H102" s="3474" t="s">
        <v>2538</v>
      </c>
      <c r="I102" s="3462"/>
      <c r="J102" s="2780"/>
    </row>
    <row r="103" spans="1:36" ht="12.75">
      <c r="A103" s="3545" t="s">
        <v>2532</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2.75">
      <c r="A104" s="3545"/>
      <c r="B104" s="2235" t="s">
        <v>2533</v>
      </c>
      <c r="C104" s="2728" t="e">
        <f ca="1">C20</f>
        <v>#REF!</v>
      </c>
      <c r="D104" s="2729" t="e">
        <f ca="1">D20</f>
        <v>#REF!</v>
      </c>
      <c r="E104" s="1389"/>
      <c r="F104" s="3448" t="s">
        <v>2539</v>
      </c>
      <c r="G104" s="3449"/>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8"/>
      <c r="G105" s="3449"/>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8"/>
      <c r="G106" s="3449"/>
      <c r="H106" s="3480"/>
      <c r="I106" s="3481"/>
      <c r="J106" s="2781"/>
    </row>
    <row r="107" spans="1:36" ht="12.75">
      <c r="A107" s="3552" t="s">
        <v>2535</v>
      </c>
      <c r="B107" s="2731" t="str">
        <f>B103</f>
        <v>总价（万元）</v>
      </c>
      <c r="C107" s="2732">
        <f>H125</f>
        <v>0</v>
      </c>
      <c r="D107" s="2733"/>
      <c r="E107" s="1389"/>
      <c r="F107" s="3484" t="s">
        <v>2541</v>
      </c>
      <c r="G107" s="3485"/>
      <c r="H107" s="2739" t="str">
        <f>C112</f>
        <v>总额（万元）</v>
      </c>
      <c r="I107" s="2738">
        <f>SUMIF(I108:I110,"&lt;9E307")</f>
        <v>0</v>
      </c>
      <c r="J107" s="2780"/>
    </row>
    <row r="108" spans="1:36" ht="15" thickBot="1">
      <c r="A108" s="3479"/>
      <c r="B108" s="2734" t="s">
        <v>2533</v>
      </c>
      <c r="C108" s="2735" t="e">
        <f>I125</f>
        <v>#DIV/0!</v>
      </c>
      <c r="D108" s="2736"/>
      <c r="E108" s="1389"/>
      <c r="F108" s="3450" t="s">
        <v>2542</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2543</v>
      </c>
      <c r="G109" s="3451"/>
      <c r="H109" s="2739" t="str">
        <f>C114</f>
        <v>总额（万元）</v>
      </c>
      <c r="I109" s="52">
        <f>C39</f>
        <v>0</v>
      </c>
      <c r="J109" s="2764"/>
    </row>
    <row r="110" spans="1:36" ht="12.75">
      <c r="A110" s="3448" t="s">
        <v>2546</v>
      </c>
      <c r="B110" s="3449"/>
      <c r="C110" s="2737" t="str">
        <f>B103</f>
        <v>总价（万元）</v>
      </c>
      <c r="D110" s="2738">
        <f>H125</f>
        <v>0</v>
      </c>
      <c r="E110" s="1389"/>
      <c r="F110" s="3450" t="s">
        <v>2544</v>
      </c>
      <c r="G110" s="3451"/>
      <c r="H110" s="2739" t="str">
        <f>C115</f>
        <v>总额（万元）</v>
      </c>
      <c r="I110" s="52">
        <f>C40</f>
        <v>0</v>
      </c>
      <c r="J110" s="2764"/>
    </row>
    <row r="111" spans="1:36" ht="12.75">
      <c r="A111" s="3448"/>
      <c r="B111" s="3449"/>
      <c r="C111" s="2737" t="s">
        <v>2547</v>
      </c>
      <c r="D111" s="52" t="e">
        <f>I125</f>
        <v>#DIV/0!</v>
      </c>
      <c r="E111" s="1389"/>
      <c r="F111" s="3448"/>
      <c r="G111" s="3449"/>
      <c r="H111" s="3482"/>
      <c r="I111" s="3483"/>
      <c r="J111" s="2782"/>
    </row>
    <row r="112" spans="1:36" ht="28.5" customHeight="1">
      <c r="A112" s="3519" t="s">
        <v>2541</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50" t="s">
        <v>2548</v>
      </c>
      <c r="B113" s="3451"/>
      <c r="C113" s="2739" t="str">
        <f>C112</f>
        <v>总额（万元）</v>
      </c>
      <c r="D113" s="52">
        <f>IF(D38="同一抵押权人同一抵押物续贷",C38&amp;"（未扣减，详见特别提示）",C38)</f>
        <v>0</v>
      </c>
      <c r="E113" s="1389"/>
      <c r="F113" s="3433"/>
      <c r="G113" s="3434"/>
      <c r="H113" s="2737" t="s">
        <v>2540</v>
      </c>
      <c r="I113" s="2741" t="e">
        <f>D117</f>
        <v>#DIV/0!</v>
      </c>
      <c r="J113" s="2783"/>
    </row>
    <row r="114" spans="1:27" ht="12.75">
      <c r="A114" s="3450" t="s">
        <v>2549</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50" t="s">
        <v>2550</v>
      </c>
      <c r="B115" s="3451"/>
      <c r="C115" s="2739" t="str">
        <f>C112</f>
        <v>总额（万元）</v>
      </c>
      <c r="D115" s="52">
        <f>C40</f>
        <v>0</v>
      </c>
      <c r="E115" s="1389"/>
      <c r="F115" s="3433"/>
      <c r="G115" s="3434"/>
      <c r="H115" s="2737" t="s">
        <v>2540</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2547</v>
      </c>
      <c r="D117" s="52" t="e">
        <f>ROUND(IF(D116=D110,D111,IF(H19="元",D116/B125,D116*10000/B125)),0)</f>
        <v>#DIV/0!</v>
      </c>
      <c r="E117" s="1389"/>
      <c r="F117" s="3511"/>
      <c r="G117" s="3512"/>
      <c r="H117" s="2742" t="s">
        <v>2540</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2.75">
      <c r="A119" s="3448"/>
      <c r="B119" s="3449"/>
      <c r="C119" s="2737" t="s">
        <v>2547</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2551</v>
      </c>
      <c r="B123" s="3439" t="s">
        <v>2552</v>
      </c>
      <c r="C123" s="3439" t="s">
        <v>2558</v>
      </c>
      <c r="D123" s="3446" t="s">
        <v>2553</v>
      </c>
      <c r="E123" s="3447"/>
      <c r="F123" s="3437" t="s">
        <v>2559</v>
      </c>
      <c r="G123" s="3437"/>
      <c r="H123" s="3437" t="s">
        <v>2554</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2557</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2557</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2557</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2557</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2557</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2" sqref="I2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1953</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31453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11778203.469999999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18249*621.03</f>
        <v>11333176.469999999</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345662</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99365</v>
      </c>
      <c r="D8" s="1099"/>
      <c r="E8" s="115"/>
      <c r="F8" s="1098"/>
      <c r="G8" s="1446" t="s">
        <v>3052</v>
      </c>
    </row>
    <row r="9" spans="1:123" s="91" customFormat="1" ht="13.5" customHeight="1">
      <c r="A9" s="951" t="s">
        <v>763</v>
      </c>
      <c r="B9" s="97" t="s">
        <v>1689</v>
      </c>
      <c r="C9" s="1100">
        <f>ROUND(D9*E9,0)</f>
        <v>99365</v>
      </c>
      <c r="D9" s="1101">
        <f>IF('数据-取费表'!B10="住宅",IF(B1="仅计算典型户型",'数据-取费表'!E5,'数据-取费表'!B5),0)</f>
        <v>621.03</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621.03</v>
      </c>
      <c r="E19" s="111">
        <f>'数据-取费表'!E15</f>
        <v>200</v>
      </c>
      <c r="F19" s="112"/>
      <c r="G19" s="1446" t="s">
        <v>3053</v>
      </c>
    </row>
    <row r="20" spans="1:123" s="91" customFormat="1" ht="13.5" customHeight="1">
      <c r="A20" s="120" t="s">
        <v>1702</v>
      </c>
      <c r="B20" s="89" t="s">
        <v>1703</v>
      </c>
      <c r="C20" s="99">
        <f>ROUND((C5+C19)*F20,0)</f>
        <v>235564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1007652</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997876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9776</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2402753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2402753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16730852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2720112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2484120</v>
      </c>
      <c r="D34" s="1096"/>
      <c r="E34" s="115"/>
      <c r="F34" s="1107" t="str">
        <f>IF('数据-取费表'!B26=0,"",'数据-取费表'!E20)</f>
        <v/>
      </c>
      <c r="G34" s="95"/>
    </row>
    <row r="35" spans="1:123" ht="13.5" customHeight="1">
      <c r="A35" s="92" t="s">
        <v>1685</v>
      </c>
      <c r="B35" s="93" t="s">
        <v>1734</v>
      </c>
      <c r="C35" s="115">
        <f>ROUND(C34*F35,0)</f>
        <v>74524</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124206</v>
      </c>
      <c r="D37" s="1096">
        <f>IF(B1="仅计算典型户型",'数据-取费表'!E5,'数据-取费表'!B5)</f>
        <v>621.03</v>
      </c>
      <c r="E37" s="115">
        <f>'数据-取费表'!E23</f>
        <v>200</v>
      </c>
      <c r="F37" s="1108"/>
      <c r="G37" s="124" t="s">
        <v>1739</v>
      </c>
    </row>
    <row r="38" spans="1:123" ht="13.5" customHeight="1">
      <c r="A38" s="92" t="s">
        <v>1740</v>
      </c>
      <c r="B38" s="93" t="s">
        <v>1741</v>
      </c>
      <c r="C38" s="115">
        <f>ROUND(C34*F38,0)</f>
        <v>37262</v>
      </c>
      <c r="D38" s="115"/>
      <c r="E38" s="115"/>
      <c r="F38" s="1108">
        <f>'数据-取费表'!E24</f>
        <v>1.4999999999999999E-2</v>
      </c>
      <c r="G38" s="95" t="s">
        <v>1735</v>
      </c>
    </row>
    <row r="39" spans="1:123" s="91" customFormat="1" ht="13.5" customHeight="1">
      <c r="A39" s="120" t="s">
        <v>1700</v>
      </c>
      <c r="B39" s="89" t="s">
        <v>1703</v>
      </c>
      <c r="C39" s="99">
        <f>ROUND(C33*F20,0)</f>
        <v>54402</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115143</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112885</v>
      </c>
      <c r="D42" s="104"/>
      <c r="E42" s="104"/>
      <c r="F42" s="105"/>
      <c r="G42" s="3554" t="s">
        <v>1745</v>
      </c>
    </row>
    <row r="43" spans="1:123" ht="13.5" customHeight="1">
      <c r="A43" s="92" t="s">
        <v>1685</v>
      </c>
      <c r="B43" s="93" t="s">
        <v>1714</v>
      </c>
      <c r="C43" s="104">
        <f ca="1">ROUND(IF('数据-取费表'!B24&lt;=1,C39*F22*'数据-取费表'!B23/2,C39*(POWER((1+F22),'数据-取费表'!B23/2)-1)),0)</f>
        <v>2258</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554903</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554903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3736371</v>
      </c>
      <c r="D49" s="99"/>
      <c r="E49" s="99"/>
      <c r="F49" s="126"/>
      <c r="G49" s="100" t="s">
        <v>1753</v>
      </c>
    </row>
    <row r="50" spans="1:123" s="122" customFormat="1" ht="24">
      <c r="A50" s="952" t="s">
        <v>1754</v>
      </c>
      <c r="B50" s="89" t="s">
        <v>1755</v>
      </c>
      <c r="C50" s="99"/>
      <c r="D50" s="99"/>
      <c r="E50" s="99"/>
      <c r="F50" s="126">
        <f>IF('数据-取费表'!B26=0,'数据-取费表'!E20,1)</f>
        <v>0.75</v>
      </c>
      <c r="G50" s="113" t="s">
        <v>1756</v>
      </c>
    </row>
    <row r="51" spans="1:123" ht="16.5" customHeight="1">
      <c r="A51" s="952" t="s">
        <v>1757</v>
      </c>
      <c r="B51" s="89" t="s">
        <v>1758</v>
      </c>
      <c r="C51" s="99">
        <f ca="1">ROUND(C49*F50,0)</f>
        <v>2802278</v>
      </c>
      <c r="D51" s="99"/>
      <c r="E51" s="99"/>
      <c r="F51" s="126"/>
      <c r="G51" s="100" t="s">
        <v>1759</v>
      </c>
    </row>
    <row r="52" spans="1:123" s="88" customFormat="1" ht="16.5" thickBot="1">
      <c r="A52" s="127" t="s">
        <v>1760</v>
      </c>
      <c r="B52" s="128"/>
      <c r="C52" s="129">
        <f ca="1">C31+C51</f>
        <v>19533130</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0.14299999999999999</v>
      </c>
    </row>
    <row r="57" spans="1:123">
      <c r="B57" s="135" t="s">
        <v>1763</v>
      </c>
      <c r="C57" s="137">
        <f ca="1">1-C56</f>
        <v>0.85699999999999998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-99365</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-99365</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-1987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-20270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-20270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98495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2549</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41045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1021317</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1020042</v>
      </c>
      <c r="D6" s="36" t="s">
        <v>2461</v>
      </c>
      <c r="E6" s="235" t="s">
        <v>1776</v>
      </c>
      <c r="F6" s="236">
        <f>'数据-取费表'!B30</f>
        <v>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621.03</v>
      </c>
      <c r="G7" s="909"/>
      <c r="H7" s="237"/>
      <c r="I7" s="238"/>
      <c r="J7" s="239"/>
      <c r="K7" s="240"/>
      <c r="L7" s="235" t="s">
        <v>1777</v>
      </c>
      <c r="M7" s="236">
        <f>IF('数据-取费表'!B42="",IF(D1="仅计算典型户型",'数据-取费表'!E5,'数据-取费表'!B5),'数据-取费表'!B42)</f>
        <v>621.03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1275</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2802278</v>
      </c>
      <c r="D13" s="1023" t="s">
        <v>1791</v>
      </c>
      <c r="E13" s="1023" t="s">
        <v>1792</v>
      </c>
      <c r="F13" s="1024">
        <f>'数据-取费表'!E20</f>
        <v>0.75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2484120</v>
      </c>
      <c r="D14" s="1256" t="s">
        <v>1795</v>
      </c>
      <c r="E14" s="1257"/>
      <c r="F14" s="757"/>
      <c r="G14" s="910"/>
      <c r="H14" s="253" t="s">
        <v>1774</v>
      </c>
      <c r="I14" s="235" t="s">
        <v>1796</v>
      </c>
      <c r="J14" s="13">
        <f ca="1">C29</f>
        <v>3736371</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74524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37364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124206</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37262</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2720112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54402</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37364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115143</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-37364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554903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3736371</v>
      </c>
      <c r="D29" s="1034"/>
      <c r="E29" s="1032"/>
      <c r="F29" s="1035"/>
      <c r="G29" s="652"/>
      <c r="H29" s="271" t="s">
        <v>24</v>
      </c>
      <c r="I29" s="272" t="s">
        <v>1869</v>
      </c>
      <c r="J29" s="273">
        <f ca="1">ROUND(J26/(1+F40)^F41,0)</f>
        <v>0</v>
      </c>
      <c r="K29" s="274" t="s">
        <v>1870</v>
      </c>
      <c r="L29" s="275"/>
      <c r="M29" s="276">
        <f>IF(D1="仅计算典型户型",'数据-取费表'!E5,'数据-取费表'!B5)</f>
        <v>621.03</v>
      </c>
    </row>
    <row r="30" spans="1:37" ht="18" customHeight="1" thickTop="1">
      <c r="A30" s="1021" t="s">
        <v>14</v>
      </c>
      <c r="B30" s="1022" t="s">
        <v>1871</v>
      </c>
      <c r="C30" s="243">
        <f ca="1">ROUND(C31+C36+C37+C38,0)</f>
        <v>81174</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24287</v>
      </c>
      <c r="D31" s="1256" t="s">
        <v>1873</v>
      </c>
      <c r="E31" s="1259" t="s">
        <v>1874</v>
      </c>
      <c r="F31" s="2744">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196159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37364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4203</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15320</v>
      </c>
      <c r="D38" s="1034" t="s">
        <v>1846</v>
      </c>
      <c r="E38" s="1032" t="s">
        <v>1842</v>
      </c>
      <c r="F38" s="1027">
        <f>'数据-取费表'!B47</f>
        <v>1.4999999999999999E-2</v>
      </c>
      <c r="G38" s="652"/>
      <c r="H38" s="901"/>
      <c r="I38" s="280" t="s">
        <v>1884</v>
      </c>
      <c r="J38" s="136">
        <f ca="1">ROUND(J34/C39,3)</f>
        <v>0.20899999999999999</v>
      </c>
      <c r="K38" s="906"/>
      <c r="L38" s="901"/>
      <c r="M38" s="901"/>
    </row>
    <row r="39" spans="1:18" ht="18" customHeight="1" thickTop="1">
      <c r="A39" s="1021" t="s">
        <v>22</v>
      </c>
      <c r="B39" s="1036" t="s">
        <v>1885</v>
      </c>
      <c r="C39" s="243">
        <f ca="1">C5-C30</f>
        <v>940143</v>
      </c>
      <c r="D39" s="1037" t="s">
        <v>1886</v>
      </c>
      <c r="E39" s="1038"/>
      <c r="F39" s="1039"/>
      <c r="G39" s="652"/>
      <c r="H39" s="901"/>
      <c r="I39" s="280" t="s">
        <v>1887</v>
      </c>
      <c r="J39" s="136">
        <f ca="1">1-J38</f>
        <v>0.79100000000000004</v>
      </c>
      <c r="K39" s="906"/>
      <c r="L39" s="901"/>
      <c r="M39" s="901"/>
    </row>
    <row r="40" spans="1:18" s="652" customFormat="1" ht="18" customHeight="1">
      <c r="A40" s="232" t="s">
        <v>23</v>
      </c>
      <c r="B40" s="233" t="s">
        <v>1888</v>
      </c>
      <c r="C40" s="234">
        <f ca="1">ROUND(C39*(1-((1+F42)/(1+F40))^F41)/(F40-F42),0)</f>
        <v>25490192</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47.23</v>
      </c>
      <c r="H41" s="908"/>
      <c r="I41" s="135" t="s">
        <v>1762</v>
      </c>
      <c r="J41" s="136">
        <f ca="1">ROUND(C13/C40,3)</f>
        <v>0.11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0.89</v>
      </c>
      <c r="K42" s="905"/>
      <c r="L42" s="908"/>
      <c r="M42" s="908"/>
      <c r="Q42" s="656"/>
    </row>
    <row r="43" spans="1:18" s="652" customFormat="1" ht="18" customHeight="1" thickBot="1">
      <c r="A43" s="271" t="s">
        <v>24</v>
      </c>
      <c r="B43" s="272" t="s">
        <v>1891</v>
      </c>
      <c r="C43" s="273">
        <f ca="1">ROUND(C40/F43,0)</f>
        <v>41045</v>
      </c>
      <c r="D43" s="274" t="s">
        <v>1892</v>
      </c>
      <c r="E43" s="275" t="s">
        <v>1893</v>
      </c>
      <c r="F43" s="276">
        <f>IF(D1="仅计算典型户型",'数据-取费表'!E5,'数据-取费表'!B5)</f>
        <v>621.03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25490192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-2619</v>
      </c>
      <c r="D47" s="1456" t="str">
        <f>C2</f>
        <v>万元</v>
      </c>
      <c r="E47" s="649"/>
      <c r="F47" s="649"/>
      <c r="I47" s="1457" t="s">
        <v>1904</v>
      </c>
      <c r="J47" s="981"/>
      <c r="K47" s="982"/>
      <c r="L47" s="995">
        <f>IF(M48="住宅",0,IF(L49&gt;J52,L61,J61))</f>
        <v>0</v>
      </c>
      <c r="O47" s="1009" t="s">
        <v>769</v>
      </c>
      <c r="P47" s="1006" t="s">
        <v>1905</v>
      </c>
      <c r="Q47" s="1007">
        <f ca="1">C29</f>
        <v>3736371</v>
      </c>
      <c r="R47" s="1008" t="s">
        <v>1900</v>
      </c>
    </row>
    <row r="48" spans="1:18" s="652" customFormat="1" ht="15.75" thickBot="1">
      <c r="A48" s="228" t="s">
        <v>1906</v>
      </c>
      <c r="B48" s="229" t="s">
        <v>1907</v>
      </c>
      <c r="C48" s="229" t="s">
        <v>1908</v>
      </c>
      <c r="D48" s="229" t="s">
        <v>1909</v>
      </c>
      <c r="E48" s="944" t="s">
        <v>1910</v>
      </c>
      <c r="F48" s="945"/>
      <c r="I48" s="1458" t="s">
        <v>1911</v>
      </c>
      <c r="J48" s="1459" t="s">
        <v>3047</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3048</v>
      </c>
      <c r="K49" s="1463" t="s">
        <v>1916</v>
      </c>
      <c r="L49" s="821">
        <f>'数据-取费表'!B13</f>
        <v>47.23</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2001</v>
      </c>
      <c r="K50" s="1465" t="s">
        <v>1921</v>
      </c>
      <c r="L50" s="984"/>
      <c r="O50" s="1009" t="s">
        <v>772</v>
      </c>
      <c r="P50" s="1006" t="s">
        <v>1922</v>
      </c>
      <c r="Q50" s="1007">
        <f>J54</f>
        <v>47.23</v>
      </c>
      <c r="R50" s="1008" t="s">
        <v>1923</v>
      </c>
    </row>
    <row r="51" spans="1:18" s="652" customFormat="1" ht="15.75" thickBot="1">
      <c r="A51" s="237"/>
      <c r="B51" s="238"/>
      <c r="C51" s="239"/>
      <c r="D51" s="240"/>
      <c r="E51" s="255" t="s">
        <v>1777</v>
      </c>
      <c r="F51" s="943">
        <f>F7</f>
        <v>621.03</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2549</v>
      </c>
      <c r="R51" s="1008" t="s">
        <v>774</v>
      </c>
    </row>
    <row r="52" spans="1:18" s="652" customFormat="1" ht="16.5" thickBot="1">
      <c r="A52" s="237"/>
      <c r="B52" s="238"/>
      <c r="C52" s="239"/>
      <c r="D52" s="240"/>
      <c r="E52" s="235" t="s">
        <v>1779</v>
      </c>
      <c r="F52" s="236">
        <f>F8</f>
        <v>365</v>
      </c>
      <c r="I52" s="1466" t="s">
        <v>1926</v>
      </c>
      <c r="J52" s="986">
        <f>IF(J50="",J51,J50+J51-YEAR('数据-取费表'!B2))</f>
        <v>39</v>
      </c>
      <c r="K52" s="1467" t="s">
        <v>1927</v>
      </c>
      <c r="L52" s="987">
        <f ca="1">ROUND(-PV('数据-取费表'!B15,J52,(C40-C13*J35)),0)</f>
        <v>430429580</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47.23</v>
      </c>
      <c r="K54" s="3557" t="s">
        <v>2460</v>
      </c>
      <c r="L54" s="3558"/>
      <c r="O54" s="1005" t="s">
        <v>767</v>
      </c>
      <c r="P54" s="1006" t="s">
        <v>1899</v>
      </c>
      <c r="Q54" s="1007">
        <f ca="1">C40+J29</f>
        <v>25490192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2802278</v>
      </c>
      <c r="D57" s="941"/>
      <c r="E57" s="942"/>
      <c r="F57" s="949"/>
      <c r="I57" s="1475" t="s">
        <v>1936</v>
      </c>
      <c r="J57" s="993" t="s">
        <v>3049</v>
      </c>
      <c r="K57" s="1461" t="s">
        <v>1937</v>
      </c>
      <c r="L57" s="821">
        <f>IF(L49&lt;J52,"——",L49-J52)</f>
        <v>8.2299999999999969</v>
      </c>
      <c r="O57" s="1009" t="s">
        <v>770</v>
      </c>
      <c r="P57" s="1006" t="s">
        <v>1938</v>
      </c>
      <c r="Q57" s="1010">
        <f>L53</f>
        <v>0</v>
      </c>
      <c r="R57" s="1008"/>
    </row>
    <row r="58" spans="1:18" s="652" customFormat="1" ht="29.25" thickBot="1">
      <c r="A58" s="948"/>
      <c r="B58" s="235" t="s">
        <v>1868</v>
      </c>
      <c r="C58" s="104">
        <f ca="1">C29</f>
        <v>3736371</v>
      </c>
      <c r="D58" s="941"/>
      <c r="E58" s="942"/>
      <c r="F58" s="949"/>
      <c r="I58" s="1476" t="s">
        <v>1939</v>
      </c>
      <c r="J58" s="992" t="str">
        <f>IF(OR(M48="住宅",J52&lt;L49,J57="是"),"——",J52-L49)</f>
        <v>——</v>
      </c>
      <c r="K58" s="1461" t="s">
        <v>1940</v>
      </c>
      <c r="L58" s="821">
        <f ca="1">IF(L49&lt;J52,"——",IF(L56="比较法",L50,IF(L56="基准地价",L51,L52)))</f>
        <v>430429580</v>
      </c>
      <c r="O58" s="1009" t="s">
        <v>771</v>
      </c>
      <c r="P58" s="1006" t="s">
        <v>1941</v>
      </c>
      <c r="Q58" s="1007" t="e">
        <f>L59</f>
        <v>#DIV/0!</v>
      </c>
      <c r="R58" s="1008" t="s">
        <v>1942</v>
      </c>
    </row>
    <row r="59" spans="1:18" s="652" customFormat="1" ht="29.25" thickBot="1">
      <c r="A59" s="248" t="s">
        <v>14</v>
      </c>
      <c r="B59" s="249" t="s">
        <v>1871</v>
      </c>
      <c r="C59" s="250">
        <f ca="1">ROUND(C60+C65+C66+C67,0)</f>
        <v>41567</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2549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25490192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37364</v>
      </c>
      <c r="D65" s="1259" t="s">
        <v>1881</v>
      </c>
      <c r="E65" s="235" t="s">
        <v>1825</v>
      </c>
      <c r="F65" s="265">
        <f t="shared" si="0"/>
        <v>0.01</v>
      </c>
      <c r="I65" s="1479" t="s">
        <v>1961</v>
      </c>
      <c r="J65" s="1251">
        <v>50</v>
      </c>
      <c r="K65" s="1251">
        <v>35</v>
      </c>
      <c r="L65" s="1251">
        <v>60</v>
      </c>
      <c r="M65" s="1250">
        <v>0</v>
      </c>
      <c r="O65" s="1009" t="s">
        <v>769</v>
      </c>
      <c r="P65" s="1006" t="s">
        <v>1935</v>
      </c>
      <c r="Q65" s="1011">
        <f ca="1">L52</f>
        <v>430429580</v>
      </c>
      <c r="R65" s="1012" t="s">
        <v>1962</v>
      </c>
    </row>
    <row r="66" spans="1:18" s="652" customFormat="1" ht="20.25" thickBot="1">
      <c r="A66" s="253" t="s">
        <v>20</v>
      </c>
      <c r="B66" s="235" t="s">
        <v>1840</v>
      </c>
      <c r="C66" s="13">
        <f ca="1">ROUND(C57*F66,0)</f>
        <v>4203</v>
      </c>
      <c r="D66" s="1259" t="s">
        <v>1841</v>
      </c>
      <c r="E66" s="235" t="s">
        <v>1842</v>
      </c>
      <c r="F66" s="266">
        <f t="shared" si="0"/>
        <v>1.5E-3</v>
      </c>
      <c r="I66" s="1479" t="s">
        <v>1963</v>
      </c>
      <c r="J66" s="1251">
        <v>40</v>
      </c>
      <c r="K66" s="1251">
        <v>30</v>
      </c>
      <c r="L66" s="1251">
        <v>50</v>
      </c>
      <c r="M66" s="1249">
        <v>0.02</v>
      </c>
      <c r="O66" s="1009" t="s">
        <v>770</v>
      </c>
      <c r="P66" s="1013" t="s">
        <v>1964</v>
      </c>
      <c r="Q66" s="1007">
        <f ca="1">ROUND(Q67-Q68*Q69,0)</f>
        <v>743984</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940143</v>
      </c>
      <c r="R67" s="1008" t="s">
        <v>1900</v>
      </c>
    </row>
    <row r="68" spans="1:18" ht="15.75" thickBot="1">
      <c r="A68" s="248" t="s">
        <v>22</v>
      </c>
      <c r="B68" s="41" t="s">
        <v>1850</v>
      </c>
      <c r="C68" s="250">
        <f ca="1">C49-C59</f>
        <v>-41567</v>
      </c>
      <c r="D68" s="1256" t="s">
        <v>1851</v>
      </c>
      <c r="E68" s="1258"/>
      <c r="F68" s="268"/>
      <c r="H68" s="652"/>
      <c r="I68" s="652"/>
      <c r="J68" s="652"/>
      <c r="K68" s="652"/>
      <c r="L68" s="652"/>
      <c r="M68" s="652"/>
      <c r="O68" s="1009" t="s">
        <v>776</v>
      </c>
      <c r="P68" s="1013" t="s">
        <v>1966</v>
      </c>
      <c r="Q68" s="1007">
        <f ca="1">C13</f>
        <v>2802278</v>
      </c>
      <c r="R68" s="1008" t="s">
        <v>1900</v>
      </c>
    </row>
    <row r="69" spans="1:18" ht="15.75" thickBot="1">
      <c r="A69" s="232" t="s">
        <v>23</v>
      </c>
      <c r="B69" s="233" t="s">
        <v>1888</v>
      </c>
      <c r="C69" s="234">
        <f ca="1">ROUND(C68*(1-((1+F71)/(1+F69))^F70)/(F69-F71),0)</f>
        <v>-695484</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47.23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-1120</v>
      </c>
      <c r="D72" s="274" t="s">
        <v>1892</v>
      </c>
      <c r="E72" s="275" t="s">
        <v>1893</v>
      </c>
      <c r="F72" s="276">
        <f>F43</f>
        <v>621.03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2549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5" t="s">
        <v>2653</v>
      </c>
      <c r="K2" s="356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7" t="s">
        <v>2663</v>
      </c>
      <c r="K3" s="356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7" t="s">
        <v>2665</v>
      </c>
      <c r="K4" s="356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3" t="s">
        <v>2669</v>
      </c>
      <c r="B6" s="3574"/>
      <c r="C6" s="3575"/>
      <c r="D6" s="3154"/>
      <c r="E6" s="3098"/>
      <c r="F6" s="3099"/>
      <c r="G6" s="3199"/>
      <c r="H6" s="3185"/>
      <c r="I6" s="3186"/>
      <c r="J6" s="3559">
        <v>1</v>
      </c>
      <c r="K6" s="356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9"/>
      <c r="K7" s="356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6" t="s">
        <v>2682</v>
      </c>
      <c r="C8" s="3577"/>
      <c r="D8" s="3108" t="s">
        <v>2683</v>
      </c>
      <c r="E8" s="3109" t="s">
        <v>2684</v>
      </c>
      <c r="F8" s="3092" t="s">
        <v>2685</v>
      </c>
      <c r="G8" s="3262" t="s">
        <v>2793</v>
      </c>
      <c r="H8" s="3185"/>
      <c r="I8" s="3186"/>
      <c r="J8" s="3559"/>
      <c r="K8" s="356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6" t="s">
        <v>2687</v>
      </c>
      <c r="C9" s="3577"/>
      <c r="D9" s="3108">
        <f>ROUND(D6*E9,0)</f>
        <v>0</v>
      </c>
      <c r="E9" s="3155"/>
      <c r="F9" s="3110" t="s">
        <v>2688</v>
      </c>
      <c r="G9" s="3208" t="s">
        <v>2791</v>
      </c>
      <c r="H9" s="3185"/>
      <c r="I9" s="3186"/>
      <c r="J9" s="3559"/>
      <c r="K9" s="3561"/>
      <c r="L9" s="3203" t="s">
        <v>2781</v>
      </c>
      <c r="M9" s="3204"/>
      <c r="N9" s="3204"/>
      <c r="O9" s="3205"/>
      <c r="P9" s="3205"/>
      <c r="Q9" s="3206">
        <v>365</v>
      </c>
      <c r="R9" s="3207">
        <f t="shared" si="0"/>
        <v>0</v>
      </c>
      <c r="S9" s="3183"/>
      <c r="T9" s="3183"/>
      <c r="U9" s="3183"/>
      <c r="V9" s="3186"/>
      <c r="W9" s="3185"/>
    </row>
    <row r="10" spans="1:23" s="3091" customFormat="1" ht="13.15" customHeight="1">
      <c r="A10" s="3107">
        <v>2</v>
      </c>
      <c r="B10" s="3576" t="s">
        <v>2689</v>
      </c>
      <c r="C10" s="3577"/>
      <c r="D10" s="3108">
        <f>ROUND(D6*E10,0)</f>
        <v>0</v>
      </c>
      <c r="E10" s="3155"/>
      <c r="F10" s="3110" t="s">
        <v>2690</v>
      </c>
      <c r="G10" s="3208" t="s">
        <v>2792</v>
      </c>
      <c r="H10" s="3185"/>
      <c r="I10" s="3186"/>
      <c r="J10" s="3559"/>
      <c r="K10" s="356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6" t="s">
        <v>2691</v>
      </c>
      <c r="C11" s="3577"/>
      <c r="D11" s="3108">
        <f>D12+D14+D15+D16</f>
        <v>0</v>
      </c>
      <c r="E11" s="3111" t="e">
        <f>D11/D6</f>
        <v>#DIV/0!</v>
      </c>
      <c r="F11" s="3092"/>
      <c r="G11" s="3208"/>
      <c r="H11" s="3185"/>
      <c r="I11" s="3186"/>
      <c r="J11" s="3559"/>
      <c r="K11" s="356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9" t="s">
        <v>2693</v>
      </c>
      <c r="C12" s="3570"/>
      <c r="D12" s="3113">
        <f>ROUND(D13*1.2%*(1-30%),0)</f>
        <v>0</v>
      </c>
      <c r="E12" s="3114">
        <v>1.2E-2</v>
      </c>
      <c r="F12" s="3092" t="s">
        <v>2694</v>
      </c>
      <c r="G12" s="3208"/>
      <c r="H12" s="3185"/>
      <c r="I12" s="3186"/>
      <c r="J12" s="3559"/>
      <c r="K12" s="356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9"/>
      <c r="K13" s="356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9" t="s">
        <v>2697</v>
      </c>
      <c r="C14" s="3570"/>
      <c r="D14" s="3113">
        <f>ROUND(E14*B5/10000,0)</f>
        <v>0</v>
      </c>
      <c r="E14" s="3157"/>
      <c r="F14" s="3092" t="s">
        <v>2698</v>
      </c>
      <c r="G14" s="3208"/>
      <c r="H14" s="3185"/>
      <c r="I14" s="3186"/>
      <c r="J14" s="3559"/>
      <c r="K14" s="356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9" t="s">
        <v>2701</v>
      </c>
      <c r="C15" s="3570"/>
      <c r="D15" s="3113">
        <f>ROUND(D6*E15,0)</f>
        <v>0</v>
      </c>
      <c r="E15" s="3114">
        <v>5.5E-2</v>
      </c>
      <c r="F15" s="3092" t="s">
        <v>2702</v>
      </c>
      <c r="G15" s="3208"/>
      <c r="H15" s="3185"/>
      <c r="I15" s="3186"/>
      <c r="J15" s="3559">
        <v>2</v>
      </c>
      <c r="K15" s="356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9" t="s">
        <v>2712</v>
      </c>
      <c r="C16" s="3570"/>
      <c r="D16" s="3158">
        <f>D6*E16</f>
        <v>0</v>
      </c>
      <c r="E16" s="3159"/>
      <c r="F16" s="3110" t="s">
        <v>2713</v>
      </c>
      <c r="G16" s="3208"/>
      <c r="H16" s="3185"/>
      <c r="I16" s="3186"/>
      <c r="J16" s="3559"/>
      <c r="K16" s="356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2714</v>
      </c>
      <c r="C17" s="3572"/>
      <c r="D17" s="3119">
        <f>ROUND(D6*E17,0)</f>
        <v>0</v>
      </c>
      <c r="E17" s="3160"/>
      <c r="F17" s="3120" t="s">
        <v>2715</v>
      </c>
      <c r="G17" s="3261">
        <v>0.1</v>
      </c>
      <c r="H17" s="3185"/>
      <c r="I17" s="3186"/>
      <c r="J17" s="3559"/>
      <c r="K17" s="356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9"/>
      <c r="K18" s="356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9"/>
      <c r="K19" s="356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9"/>
      <c r="K21" s="356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9"/>
      <c r="K22" s="356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9"/>
      <c r="K23" s="356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9"/>
      <c r="K24" s="356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3">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5" t="s">
        <v>2751</v>
      </c>
      <c r="K32" s="356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7" t="s">
        <v>2755</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7" t="s">
        <v>2757</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9">
        <v>1</v>
      </c>
      <c r="K36" s="356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9"/>
      <c r="K40" s="356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621.03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44827</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621.03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44827</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621.03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44827</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23"/>
      <c r="Q11" s="283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3"/>
      <c r="Q27" s="2834" t="str">
        <f t="shared" ref="Q27:Q47" si="11">B27</f>
        <v>楼层</v>
      </c>
      <c r="R27" s="1654" t="s">
        <v>25</v>
      </c>
      <c r="S27" s="1655">
        <f>F27</f>
        <v>100</v>
      </c>
      <c r="T27" s="1654" t="s">
        <v>25</v>
      </c>
      <c r="U27" s="1655">
        <f>H27</f>
        <v>100</v>
      </c>
      <c r="V27" s="1654" t="s">
        <v>25</v>
      </c>
      <c r="W27" s="1655">
        <f>J27</f>
        <v>100</v>
      </c>
      <c r="X27" s="2003"/>
      <c r="Y27" s="361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7"/>
      <c r="Q34" s="1695" t="str">
        <f t="shared" si="11"/>
        <v>项目建筑规模</v>
      </c>
      <c r="R34" s="1696" t="s">
        <v>25</v>
      </c>
      <c r="S34" s="1697" t="e">
        <f t="shared" si="12"/>
        <v>#N/A</v>
      </c>
      <c r="T34" s="1696" t="s">
        <v>25</v>
      </c>
      <c r="U34" s="1697" t="e">
        <f t="shared" si="13"/>
        <v>#N/A</v>
      </c>
      <c r="V34" s="1696" t="s">
        <v>25</v>
      </c>
      <c r="W34" s="1697" t="e">
        <f t="shared" si="14"/>
        <v>#N/A</v>
      </c>
      <c r="X34" s="1698"/>
      <c r="Y34" s="361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7"/>
      <c r="Q37" s="2834" t="str">
        <f t="shared" si="11"/>
        <v>成新度</v>
      </c>
      <c r="R37" s="1654" t="s">
        <v>25</v>
      </c>
      <c r="S37" s="1655" t="e">
        <f t="shared" si="12"/>
        <v>#N/A</v>
      </c>
      <c r="T37" s="1654" t="s">
        <v>25</v>
      </c>
      <c r="U37" s="1655" t="e">
        <f t="shared" si="13"/>
        <v>#N/A</v>
      </c>
      <c r="V37" s="1654" t="s">
        <v>25</v>
      </c>
      <c r="W37" s="1655" t="e">
        <f t="shared" si="14"/>
        <v>#N/A</v>
      </c>
      <c r="X37" s="2003"/>
      <c r="Y37" s="361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23" t="str">
        <f>A48</f>
        <v>成交单价（元/平方米）</v>
      </c>
      <c r="Q48" s="3623"/>
      <c r="R48" s="3624">
        <f>E48</f>
        <v>0</v>
      </c>
      <c r="S48" s="3624"/>
      <c r="T48" s="3624">
        <f>G48</f>
        <v>0</v>
      </c>
      <c r="U48" s="3624"/>
      <c r="V48" s="3624">
        <f>I48</f>
        <v>0</v>
      </c>
      <c r="W48" s="3624"/>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23" t="str">
        <f>A49</f>
        <v>比较价值（元/平方米）</v>
      </c>
      <c r="Q49" s="3623"/>
      <c r="R49" s="3624" t="e">
        <f>IF(E1="售价",ROUND(PRODUCT(R48,AA7:AA47),0),ROUND(PRODUCT(R48,AA7:AA47),1))</f>
        <v>#DIV/0!</v>
      </c>
      <c r="S49" s="3624"/>
      <c r="T49" s="3624" t="e">
        <f>IF(E1="售价",ROUND(PRODUCT(T48,AB7:AB47),0),ROUND(PRODUCT(T48,AB7:AB47),1))</f>
        <v>#DIV/0!</v>
      </c>
      <c r="U49" s="3624"/>
      <c r="V49" s="3624" t="e">
        <f>IF(E1="售价",ROUND(PRODUCT(V48,AC7:AC47),0),ROUND(PRODUCT(V48,AC7:AC47),1))</f>
        <v>#DIV/0!</v>
      </c>
      <c r="W49" s="3624"/>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29" t="str">
        <f>A50</f>
        <v>估价对象XX用房的比较价值（楼面单价，元/平方米）</v>
      </c>
      <c r="Q50" s="3630"/>
      <c r="R50" s="3631" t="e">
        <f>IF(E1="售价",ROUND(IF(D49="简单平均",AVERAGE(R49:V49),R49*F49+T49*H49+V49*J49),0),ROUND(IF(D49="简单平均",AVERAGE(R49:V49),R49*F49+T49*H49+V49*J49),1))</f>
        <v>#DIV/0!</v>
      </c>
      <c r="S50" s="3631"/>
      <c r="T50" s="3631"/>
      <c r="U50" s="3631"/>
      <c r="V50" s="3631"/>
      <c r="W50" s="3631"/>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621.03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44827</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621.03</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44827</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621.03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44827</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44827</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107</v>
      </c>
      <c r="G10" s="1686"/>
      <c r="H10" s="1626">
        <f>ROUND(100/'数据-取费表'!B14,0)</f>
        <v>107</v>
      </c>
      <c r="I10" s="1686"/>
      <c r="J10" s="1626">
        <f>ROUND(100/'数据-取费表'!B14,0)</f>
        <v>107</v>
      </c>
      <c r="K10" s="1898"/>
      <c r="L10" s="2917"/>
      <c r="M10" s="2918"/>
      <c r="N10" s="2918"/>
      <c r="O10" s="2963"/>
      <c r="P10" s="3623"/>
      <c r="Q10" s="1563" t="str">
        <f t="shared" si="6"/>
        <v>土地使用年限（年）</v>
      </c>
      <c r="R10" s="1609" t="s">
        <v>25</v>
      </c>
      <c r="S10" s="1610">
        <f t="shared" si="0"/>
        <v>107</v>
      </c>
      <c r="T10" s="1609" t="s">
        <v>25</v>
      </c>
      <c r="U10" s="1610">
        <f t="shared" si="1"/>
        <v>107</v>
      </c>
      <c r="V10" s="1609" t="s">
        <v>25</v>
      </c>
      <c r="W10" s="1610">
        <f t="shared" si="2"/>
        <v>107</v>
      </c>
      <c r="X10" s="1611"/>
      <c r="Y10" s="3487"/>
      <c r="Z10" s="1622" t="str">
        <f t="shared" si="7"/>
        <v>土地使用年限（年）</v>
      </c>
      <c r="AA10" s="1612">
        <f t="shared" si="3"/>
        <v>0.93457943925233644</v>
      </c>
      <c r="AB10" s="1612">
        <f t="shared" si="4"/>
        <v>0.93457943925233644</v>
      </c>
      <c r="AC10" s="1612">
        <f t="shared" si="5"/>
        <v>0.93457943925233644</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44827</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107</v>
      </c>
      <c r="G10" s="322"/>
      <c r="H10" s="29">
        <f>ROUND(100/'数据-取费表'!B14,0)</f>
        <v>107</v>
      </c>
      <c r="I10" s="322"/>
      <c r="J10" s="29">
        <f>ROUND(100/'数据-取费表'!B14,0)</f>
        <v>107</v>
      </c>
      <c r="K10" s="553"/>
      <c r="L10" s="2948"/>
      <c r="M10" s="2949"/>
      <c r="N10" s="2949"/>
      <c r="O10" s="2950"/>
      <c r="P10" s="3637"/>
      <c r="Q10" s="1255" t="str">
        <f t="shared" si="6"/>
        <v>土地使用年限（年）</v>
      </c>
      <c r="R10" s="627" t="s">
        <v>25</v>
      </c>
      <c r="S10" s="628">
        <f t="shared" si="0"/>
        <v>107</v>
      </c>
      <c r="T10" s="627" t="s">
        <v>25</v>
      </c>
      <c r="U10" s="628">
        <f t="shared" si="1"/>
        <v>107</v>
      </c>
      <c r="V10" s="627" t="s">
        <v>25</v>
      </c>
      <c r="W10" s="628">
        <f t="shared" si="2"/>
        <v>107</v>
      </c>
      <c r="X10" s="629"/>
      <c r="Y10" s="3667"/>
      <c r="Z10" s="19" t="str">
        <f t="shared" si="7"/>
        <v>土地使用年限（年）</v>
      </c>
      <c r="AA10" s="630">
        <f t="shared" si="3"/>
        <v>0.93457943925233644</v>
      </c>
      <c r="AB10" s="630">
        <f t="shared" si="4"/>
        <v>0.93457943925233644</v>
      </c>
      <c r="AC10" s="630">
        <f t="shared" si="5"/>
        <v>0.93457943925233644</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估价对象为北京市房地产，为XX所有。根据《》[]，估价对象建筑面积为621.03平方米。根据《》[]，估价对象（分摊）出让国有建设用地使用权面积为平方米。估价对象用途为。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2022年9月23日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本次估价的“房地产价值”是指在正常市场情况下，在价值时点2022年9月23日，估价对象规划用途为，假定未设立法定优先受偿款下的房地产市场价值。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621.03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44827</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0.93079999999999996</v>
      </c>
      <c r="D20" s="2130" t="s">
        <v>2354</v>
      </c>
      <c r="E20" s="3072">
        <f>存贷款利率!E22/100</f>
        <v>4.3499999999999997E-2</v>
      </c>
      <c r="F20" s="2130" t="s">
        <v>2343</v>
      </c>
      <c r="G20" s="3073">
        <f>SUMIF(M26:P26,E2,M28:P28)</f>
        <v>0.05</v>
      </c>
      <c r="H20" s="2130" t="s">
        <v>2355</v>
      </c>
      <c r="I20" s="2131">
        <f>'数据-取费表'!B13</f>
        <v>47.23</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621.03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44827</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8"/>
  <sheetViews>
    <sheetView workbookViewId="0">
      <selection activeCell="F9" sqref="F9"/>
    </sheetView>
  </sheetViews>
  <sheetFormatPr defaultRowHeight="13.5"/>
  <sheetData>
    <row r="3" spans="2:7" ht="14.25">
      <c r="B3" s="3731"/>
      <c r="C3" s="3731" t="s">
        <v>3036</v>
      </c>
      <c r="D3" s="3732">
        <v>414</v>
      </c>
      <c r="E3" s="3731" t="s">
        <v>3037</v>
      </c>
      <c r="F3" s="3731" t="s">
        <v>3038</v>
      </c>
      <c r="G3" s="3731"/>
    </row>
    <row r="4" spans="2:7" ht="14.25">
      <c r="B4" s="3731"/>
      <c r="C4" s="3731" t="s">
        <v>3039</v>
      </c>
      <c r="D4" s="3731"/>
      <c r="E4" s="3731" t="s">
        <v>3040</v>
      </c>
      <c r="F4" s="3731" t="s">
        <v>3041</v>
      </c>
      <c r="G4" s="3731" t="s">
        <v>3042</v>
      </c>
    </row>
    <row r="5" spans="2:7" ht="14.25">
      <c r="B5" s="3731">
        <v>1</v>
      </c>
      <c r="C5" s="3733">
        <v>44827</v>
      </c>
      <c r="D5" s="3731" t="s">
        <v>3043</v>
      </c>
      <c r="E5" s="3733">
        <v>45169</v>
      </c>
      <c r="F5" s="3731">
        <v>700000</v>
      </c>
      <c r="G5" s="3731">
        <v>0.93</v>
      </c>
    </row>
    <row r="6" spans="2:7" ht="14.25">
      <c r="B6" s="3731">
        <v>2</v>
      </c>
      <c r="C6" s="3733">
        <v>45170</v>
      </c>
      <c r="D6" s="3731" t="s">
        <v>3043</v>
      </c>
      <c r="E6" s="3733">
        <v>45900</v>
      </c>
      <c r="F6" s="3731">
        <v>735000</v>
      </c>
      <c r="G6" s="3731">
        <v>2</v>
      </c>
    </row>
    <row r="8" spans="2:7">
      <c r="F8">
        <f>ROUND((F5*G5+F6*G6)/D3/365/(Sheet1!G5+Sheet1!G6),2)</f>
        <v>4.79</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621.03</v>
      </c>
      <c r="D6" s="3331"/>
      <c r="E6" s="1287"/>
    </row>
    <row r="7" spans="1:5" ht="14.25">
      <c r="A7" s="1287"/>
      <c r="B7" s="3325" t="s">
        <v>594</v>
      </c>
      <c r="C7" s="1293" t="str">
        <f>IF('数据-取费表'!B3="万元","总价（万元）","总价（元）")</f>
        <v>总价（万元）</v>
      </c>
      <c r="D7" s="1294">
        <f>IF('数据-取费表'!E3="否",结果表!I102,'结果表 (1修多)'!I104)</f>
        <v>0</v>
      </c>
      <c r="E7" s="1287"/>
    </row>
    <row r="8" spans="1:5" ht="14.25">
      <c r="A8" s="1287"/>
      <c r="B8" s="3325"/>
      <c r="C8" s="1295" t="s">
        <v>924</v>
      </c>
      <c r="D8" s="1296" t="str">
        <f>IF('数据-取费表'!B3="万元",NUMBERSTRING(INT(D7*10000),2)&amp;"元整",NUMBERSTRING(INT(D7),2)&amp;"元整")</f>
        <v>零元整</v>
      </c>
      <c r="E8" s="1287"/>
    </row>
    <row r="9" spans="1:5" ht="14.25">
      <c r="A9" s="1287"/>
      <c r="B9" s="3325"/>
      <c r="C9" s="1297" t="s">
        <v>1020</v>
      </c>
      <c r="D9" s="1294" t="e">
        <f>IF('数据-取费表'!E3="否",结果表!I103,'结果表 (1修多)'!I105)</f>
        <v>#DIV/0!</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IF('数据-取费表'!E3="否",结果表!I110,'结果表 (1修多)'!I112)</f>
        <v>0</v>
      </c>
      <c r="E15" s="1287"/>
    </row>
    <row r="16" spans="1:5" ht="14.25">
      <c r="A16" s="1287"/>
      <c r="B16" s="3332"/>
      <c r="C16" s="1295" t="s">
        <v>924</v>
      </c>
      <c r="D16" s="1294" t="str">
        <f>IF('数据-取费表'!B3="万元",NUMBERSTRING(INT(D15*10000),2)&amp;"元整",NUMBERSTRING(INT(D15),2)&amp;"元整")</f>
        <v>零元整</v>
      </c>
      <c r="E16" s="1287"/>
    </row>
    <row r="17" spans="1:5" ht="14.25">
      <c r="A17" s="1287"/>
      <c r="B17" s="3332"/>
      <c r="C17" s="1297" t="s">
        <v>1020</v>
      </c>
      <c r="D17" s="1294" t="e">
        <f>IF('数据-取费表'!E3="否",结果表!I111,'结果表 (1修多)'!I113)</f>
        <v>#DIV/0!</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IF('数据-取费表'!E3="否",结果表!I102,'结果表 (1修多)'!I104)</f>
        <v>0</v>
      </c>
      <c r="E28" s="1287"/>
    </row>
    <row r="29" spans="1:5" ht="14.25">
      <c r="A29" s="1287"/>
      <c r="B29" s="3334"/>
      <c r="C29" s="1306" t="s">
        <v>924</v>
      </c>
      <c r="D29" s="1307" t="str">
        <f>IF('数据-取费表'!B3="万元",NUMBERSTRING(INT(D28*10000),2)&amp;"元整",NUMBERSTRING(INT(D28),2)&amp;"元整")</f>
        <v>零元整</v>
      </c>
      <c r="E29" s="1287"/>
    </row>
    <row r="30" spans="1:5" ht="14.25">
      <c r="A30" s="1287"/>
      <c r="B30" s="3335"/>
      <c r="C30" s="1297" t="s">
        <v>927</v>
      </c>
      <c r="D30" s="1308" t="e">
        <f>IF('数据-取费表'!E3="否",结果表!I103,'结果表 (1修多)'!I105)</f>
        <v>#DIV/0!</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IF('数据-取费表'!E3="否",结果表!I110,'结果表 (1修多)'!I112)</f>
        <v>0</v>
      </c>
      <c r="E36" s="1287"/>
    </row>
    <row r="37" spans="1:5" ht="14.25">
      <c r="A37" s="1287"/>
      <c r="B37" s="3336"/>
      <c r="C37" s="1306" t="s">
        <v>924</v>
      </c>
      <c r="D37" s="1311" t="str">
        <f>IF('数据-取费表'!B3="万元",NUMBERSTRING(INT(D36*10000),2)&amp;"元整",NUMBERSTRING(INT(D36),2)&amp;"元整")</f>
        <v>零元整</v>
      </c>
      <c r="E37" s="1287"/>
    </row>
    <row r="38" spans="1:5" ht="14.25">
      <c r="A38" s="1287"/>
      <c r="B38" s="3336"/>
      <c r="C38" s="1297" t="s">
        <v>928</v>
      </c>
      <c r="D38" s="1308" t="e">
        <f>IF('数据-取费表'!E3="否",结果表!D113,'结果表 (1修多)'!D117)</f>
        <v>#DIV/0!</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621.03</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0" t="s">
        <v>1030</v>
      </c>
      <c r="B5" s="3350"/>
      <c r="C5" s="3350"/>
      <c r="D5" s="3348" t="str">
        <f>IF('数据-取费表'!E3="否",结果表!D122,'结果表 (1修多)'!D126)</f>
        <v>零元整</v>
      </c>
      <c r="E5" s="3348"/>
      <c r="F5" s="3348" t="str">
        <f>IF('数据-取费表'!E3="否",结果表!F122,'结果表 (1修多)'!F126)</f>
        <v>零元整</v>
      </c>
      <c r="G5" s="3348"/>
      <c r="H5" s="3348" t="str">
        <f>IF('数据-取费表'!E3="否",结果表!H122,'结果表 (1修多)'!H126)</f>
        <v>零元整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IF('数据-取费表'!E3="否",结果表!D125,'结果表 (1修多)'!D129)</f>
        <v>0</v>
      </c>
      <c r="E8" s="3349"/>
      <c r="F8" s="3349"/>
      <c r="G8" s="3349"/>
      <c r="H8" s="3349"/>
      <c r="I8" s="3349"/>
    </row>
    <row r="9" spans="1:9" ht="15">
      <c r="A9" s="3350" t="s">
        <v>1030</v>
      </c>
      <c r="B9" s="3350"/>
      <c r="C9" s="3350"/>
      <c r="D9" s="3348" t="e">
        <f>IF('数据-取费表'!E3="否",结果表!D126,'结果表 (1修多)'!D130)</f>
        <v>#DIV/0!</v>
      </c>
      <c r="E9" s="3348"/>
      <c r="F9" s="3348"/>
      <c r="G9" s="3348"/>
      <c r="H9" s="3348"/>
      <c r="I9" s="3348"/>
    </row>
    <row r="10" spans="1:9" ht="15.75">
      <c r="A10" s="3349" t="str">
        <f>IF('数据-取费表'!E3="否",结果表!A127,'结果表 (1修多)'!A131)</f>
        <v/>
      </c>
      <c r="B10" s="3349"/>
      <c r="C10" s="3349"/>
      <c r="D10" s="3349" t="e">
        <f>IF('数据-取费表'!E3="否",结果表!D127,'结果表 (1修多)'!D130)</f>
        <v>#DIV/0!</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2496</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59" t="str">
        <f>IF(项目基本情况!D4="抵押","4.本次评估估价师所知悉的法定优先受偿款情况说明如下：","——")</f>
        <v>4.本次评估估价师所知悉的法定优先受偿款情况说明如下：</v>
      </c>
      <c r="B15" s="3361"/>
      <c r="C15" s="3361"/>
      <c r="D15" s="3361"/>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0" t="s">
        <v>1045</v>
      </c>
      <c r="B17" s="3360"/>
      <c r="C17" s="3360"/>
      <c r="D17" s="3360"/>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2497</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44827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本次估价的“房地产价值”是指在正常市场情况下，在价值时点2022年9月23日，估价对象规划用途为，假定未设立法定优先受偿款下的房地产市场价值。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2022-09-23T02:38:23Z</dcterms:modified>
</cp:coreProperties>
</file>