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C12" i="4"/>
  <c r="F3" i="64"/>
  <c r="F4" i="64"/>
  <c r="F5" i="64"/>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7" i="61"/>
  <c r="D3" i="61"/>
  <c r="D5" i="61"/>
  <c r="E2" i="36"/>
  <c r="H23" i="31"/>
  <c r="D4" i="61"/>
  <c r="D6" i="61"/>
  <c r="D19" i="57"/>
  <c r="F3" i="61"/>
  <c r="E2" i="37"/>
  <c r="C20" i="57"/>
  <c r="F6" i="61"/>
  <c r="E2" i="11"/>
  <c r="C19" i="57"/>
  <c r="E2" i="34"/>
  <c r="F7" i="61"/>
  <c r="F5" i="61"/>
  <c r="E2" i="21"/>
  <c r="F4" i="61"/>
  <c r="E2" i="35"/>
  <c r="E2" i="33"/>
  <c r="D20" i="57"/>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<sst xmlns="http://schemas.openxmlformats.org/spreadsheetml/2006/main" count="6903" uniqueCount="2931">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</sst>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估价对象为江西省赣州市房地产，为赣州市君成亿置业有限公司所有。根据《不动产权证书》[]，估价对象建筑面积为46.12平方米，（分摊）出让国有建设用地使用权面积为平方米。估价对象用途为。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46.12</v>
      </c>
    </row>
    <row r="19" spans="1:2">
      <c r="A19" s="1702" t="s">
        <v>1125</v>
      </c>
      <c r="B19" s="1689">
        <f ca="1">'预评函-2（1）'!D7</f>
        <v>295768</v>
      </c>
    </row>
    <row r="20" spans="1:2">
      <c r="A20" s="1702" t="s">
        <v>1163</v>
      </c>
      <c r="B20" s="1689" t="str">
        <f>'预评函-2（1）'!C7</f>
        <v>总价（元）</v>
      </c>
    </row>
    <row r="21" spans="1:2">
      <c r="A21" s="1702" t="s">
        <v>1126</v>
      </c>
      <c r="B21" s="1689">
        <f ca="1">'预评函-2（1）'!D9</f>
        <v>6413</v>
      </c>
    </row>
    <row r="22" spans="1:2">
      <c r="A22" s="1702" t="s">
        <v>1127</v>
      </c>
      <c r="B22" s="1689" t="str">
        <f ca="1">'预评函-2（1）'!D8</f>
        <v>贰拾玖万伍仟柒佰陆拾捌元整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295768</v>
      </c>
    </row>
    <row r="30" spans="1:2">
      <c r="A30" s="1702" t="s">
        <v>1133</v>
      </c>
      <c r="B30" s="1689" t="str">
        <f ca="1">'预评函-2（1）'!D16</f>
        <v>贰拾玖万伍仟柒佰陆拾捌元整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210584</v>
      </c>
    </row>
    <row r="38" spans="1:2">
      <c r="A38" s="1702" t="s">
        <v>1141</v>
      </c>
      <c r="B38" s="1689">
        <f ca="1">'预评函-2（2）'!E4</f>
        <v>4566</v>
      </c>
    </row>
    <row r="39" spans="1:2">
      <c r="A39" s="1702" t="s">
        <v>1142</v>
      </c>
      <c r="B39" s="1689" t="str">
        <f ca="1">'预评函-2（2）'!D5</f>
        <v>贰拾壹万零伍佰捌拾肆元整</v>
      </c>
    </row>
    <row r="40" spans="1:2">
      <c r="A40" s="1702" t="s">
        <v>1143</v>
      </c>
      <c r="B40" s="1689">
        <f ca="1">'预评函-2（2）'!F4</f>
        <v>85184</v>
      </c>
    </row>
    <row r="41" spans="1:2">
      <c r="A41" s="1702" t="s">
        <v>1144</v>
      </c>
      <c r="B41" s="1689">
        <f ca="1">'预评函-2（2）'!G4</f>
        <v>1847</v>
      </c>
    </row>
    <row r="42" spans="1:2" s="1699" customFormat="1" ht="15.75" thickBot="1">
      <c r="A42" s="1703" t="s">
        <v>1145</v>
      </c>
      <c r="B42" s="1691" t="str">
        <f ca="1">'预评函-2（2）'!F5</f>
        <v>捌万伍仟壹佰捌拾肆元整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6413</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7" t="s">
        <v>1556</v>
      </c>
      <c r="B8" s="2018" t="s">
        <v>1557</v>
      </c>
      <c r="C8" s="2829"/>
      <c r="D8" s="2830"/>
      <c r="E8" s="2019" t="s">
        <v>1558</v>
      </c>
      <c r="F8" s="2020" t="s">
        <v>1559</v>
      </c>
      <c r="G8" s="690" t="str">
        <f>C6</f>
        <v>江西省赣州市</v>
      </c>
    </row>
    <row r="9" spans="1:10" ht="25.5">
      <c r="A9" s="2817"/>
      <c r="B9" s="344" t="s">
        <v>1560</v>
      </c>
      <c r="C9" s="2735" t="s">
        <v>2828</v>
      </c>
      <c r="D9" s="2021" t="s">
        <v>2826</v>
      </c>
      <c r="E9" s="1010" t="s">
        <v>1561</v>
      </c>
      <c r="F9" s="996"/>
      <c r="G9" s="1012"/>
    </row>
    <row r="10" spans="1:10" ht="13.5" thickBot="1">
      <c r="A10" s="2817"/>
      <c r="B10" s="344" t="s">
        <v>1562</v>
      </c>
      <c r="C10" s="2831"/>
      <c r="D10" s="2832"/>
      <c r="E10" s="2022" t="s">
        <v>1563</v>
      </c>
      <c r="F10" s="1013"/>
      <c r="G10" s="1014"/>
    </row>
    <row r="11" spans="1:10" ht="13.5" thickBot="1">
      <c r="A11" s="2817"/>
      <c r="B11" s="2023" t="s">
        <v>1564</v>
      </c>
      <c r="C11" s="2833"/>
      <c r="D11" s="2834"/>
      <c r="E11" s="1022"/>
      <c r="F11" s="1021"/>
      <c r="G11" s="1074"/>
    </row>
    <row r="12" spans="1:10" ht="24.75" thickBot="1">
      <c r="A12" s="2820" t="s">
        <v>1565</v>
      </c>
      <c r="B12" s="2024" t="s">
        <v>1566</v>
      </c>
      <c r="C12" s="1016">
        <f>租金!C7</f>
        <v>46.12</v>
      </c>
      <c r="D12" s="2024" t="s">
        <v>1567</v>
      </c>
      <c r="E12" s="2025" t="s">
        <v>1568</v>
      </c>
      <c r="F12" s="2026" t="s">
        <v>1569</v>
      </c>
      <c r="G12" s="1074"/>
    </row>
    <row r="13" spans="1:10" ht="21" customHeight="1" thickBot="1">
      <c r="A13" s="2821"/>
      <c r="B13" s="2027" t="s">
        <v>1570</v>
      </c>
      <c r="C13" s="1017"/>
      <c r="D13" s="2027" t="s">
        <v>1571</v>
      </c>
      <c r="E13" s="2028" t="s">
        <v>1568</v>
      </c>
      <c r="F13" s="1021"/>
      <c r="G13" s="1074"/>
      <c r="I13" s="2807"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5" t="s">
        <v>1579</v>
      </c>
      <c r="C17" s="2836"/>
      <c r="D17" s="2837" t="s">
        <v>1580</v>
      </c>
      <c r="E17" s="2838"/>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3" t="s">
        <v>1596</v>
      </c>
      <c r="D27" s="2824"/>
      <c r="E27" s="1004"/>
      <c r="F27" s="1011" t="s">
        <v>1596</v>
      </c>
      <c r="G27" s="1004"/>
      <c r="I27" s="1071"/>
      <c r="K27" s="1071"/>
    </row>
    <row r="28" spans="1:15">
      <c r="A28" s="1008" t="s">
        <v>1597</v>
      </c>
      <c r="B28" s="978"/>
      <c r="C28" s="2825" t="s">
        <v>1598</v>
      </c>
      <c r="D28" s="2826"/>
      <c r="E28" s="978"/>
      <c r="F28" s="1894" t="s">
        <v>1598</v>
      </c>
      <c r="G28" s="978"/>
      <c r="I28" s="1071"/>
      <c r="K28" s="1071"/>
    </row>
    <row r="29" spans="1:15">
      <c r="A29" s="1008" t="s">
        <v>1599</v>
      </c>
      <c r="B29" s="978"/>
      <c r="C29" s="2825" t="s">
        <v>1599</v>
      </c>
      <c r="D29" s="2826"/>
      <c r="E29" s="978"/>
      <c r="F29" s="1894" t="s">
        <v>1600</v>
      </c>
      <c r="G29" s="978"/>
      <c r="I29" s="1071"/>
      <c r="K29" s="1071"/>
    </row>
    <row r="30" spans="1:15">
      <c r="A30" s="1008" t="s">
        <v>1601</v>
      </c>
      <c r="B30" s="978"/>
      <c r="C30" s="2814" t="s">
        <v>1602</v>
      </c>
      <c r="D30" s="2066"/>
      <c r="E30" s="1023" t="str">
        <f>E31&amp;" "&amp;E32&amp;" "&amp;E33&amp;" "&amp;E34</f>
        <v xml:space="preserve">   </v>
      </c>
      <c r="F30" s="1894" t="s">
        <v>1603</v>
      </c>
      <c r="G30" s="978"/>
    </row>
    <row r="31" spans="1:15">
      <c r="A31" s="1008" t="s">
        <v>1604</v>
      </c>
      <c r="B31" s="978"/>
      <c r="C31" s="2815"/>
      <c r="D31" s="1893" t="s">
        <v>1605</v>
      </c>
      <c r="E31" s="978"/>
      <c r="F31" s="1894" t="s">
        <v>1606</v>
      </c>
      <c r="G31" s="978"/>
    </row>
    <row r="32" spans="1:15" ht="24.75" thickBot="1">
      <c r="A32" s="1009" t="s">
        <v>1607</v>
      </c>
      <c r="B32" s="1005"/>
      <c r="C32" s="2815"/>
      <c r="D32" s="1893" t="s">
        <v>1608</v>
      </c>
      <c r="E32" s="978"/>
      <c r="F32" s="1894" t="s">
        <v>1609</v>
      </c>
      <c r="G32" s="978"/>
    </row>
    <row r="33" spans="1:7">
      <c r="A33" s="1007" t="s">
        <v>1610</v>
      </c>
      <c r="B33" s="1004"/>
      <c r="C33" s="2815"/>
      <c r="D33" s="1893" t="s">
        <v>1611</v>
      </c>
      <c r="E33" s="978"/>
      <c r="F33" s="1894" t="s">
        <v>1612</v>
      </c>
      <c r="G33" s="978"/>
    </row>
    <row r="34" spans="1:7" ht="13.5" thickBot="1">
      <c r="A34" s="1008" t="s">
        <v>1613</v>
      </c>
      <c r="B34" s="978"/>
      <c r="C34" s="2816"/>
      <c r="D34" s="1893" t="s">
        <v>1614</v>
      </c>
      <c r="E34" s="978"/>
      <c r="F34" s="1895" t="s">
        <v>1615</v>
      </c>
      <c r="G34" s="1006"/>
    </row>
    <row r="35" spans="1:7">
      <c r="A35" s="1008" t="s">
        <v>1566</v>
      </c>
      <c r="B35" s="978"/>
      <c r="C35" s="2825" t="s">
        <v>1616</v>
      </c>
      <c r="D35" s="2826"/>
      <c r="E35" s="978"/>
      <c r="F35" s="1019" t="s">
        <v>1617</v>
      </c>
      <c r="G35" s="1004"/>
    </row>
    <row r="36" spans="1:7" ht="13.5" thickBot="1">
      <c r="A36" s="1008" t="s">
        <v>1618</v>
      </c>
      <c r="B36" s="978"/>
      <c r="C36" s="2827" t="s">
        <v>1619</v>
      </c>
      <c r="D36" s="2828"/>
      <c r="E36" s="1005"/>
      <c r="F36" s="1891" t="s">
        <v>1620</v>
      </c>
      <c r="G36" s="978"/>
    </row>
    <row r="37" spans="1:7" ht="13.5" thickBot="1">
      <c r="A37" s="1008" t="s">
        <v>1621</v>
      </c>
      <c r="B37" s="978"/>
      <c r="C37" s="2812" t="s">
        <v>1622</v>
      </c>
      <c r="D37" s="2067" t="s">
        <v>1606</v>
      </c>
      <c r="E37" s="1004"/>
      <c r="F37" s="1895" t="s">
        <v>1623</v>
      </c>
      <c r="G37" s="1005"/>
    </row>
    <row r="38" spans="1:7">
      <c r="A38" s="1008" t="s">
        <v>1624</v>
      </c>
      <c r="B38" s="978"/>
      <c r="C38" s="2818"/>
      <c r="D38" s="1893" t="s">
        <v>1613</v>
      </c>
      <c r="E38" s="978"/>
      <c r="F38" s="1011" t="s">
        <v>1625</v>
      </c>
      <c r="G38" s="1004"/>
    </row>
    <row r="39" spans="1:7">
      <c r="A39" s="1008" t="s">
        <v>1626</v>
      </c>
      <c r="B39" s="978"/>
      <c r="C39" s="2818" t="s">
        <v>1627</v>
      </c>
      <c r="D39" s="1893" t="s">
        <v>1566</v>
      </c>
      <c r="E39" s="978"/>
      <c r="F39" s="1894" t="s">
        <v>1628</v>
      </c>
      <c r="G39" s="978"/>
    </row>
    <row r="40" spans="1:7" ht="24.75" customHeight="1" thickBot="1">
      <c r="A40" s="1009" t="s">
        <v>1629</v>
      </c>
      <c r="B40" s="1005"/>
      <c r="C40" s="2819"/>
      <c r="D40" s="1896" t="s">
        <v>1570</v>
      </c>
      <c r="E40" s="1005"/>
      <c r="F40" s="1895" t="s">
        <v>1630</v>
      </c>
      <c r="G40" s="1005"/>
    </row>
    <row r="41" spans="1:7">
      <c r="A41" s="1010" t="s">
        <v>1631</v>
      </c>
      <c r="B41" s="1060"/>
      <c r="C41" s="2808" t="s">
        <v>1631</v>
      </c>
      <c r="D41" s="2809"/>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0" t="s">
        <v>1634</v>
      </c>
      <c r="D48" s="2811"/>
      <c r="E48" s="1055"/>
      <c r="F48" s="1895" t="s">
        <v>1635</v>
      </c>
      <c r="G48" s="1005"/>
    </row>
    <row r="49" spans="1:15">
      <c r="A49" s="1008" t="s">
        <v>1636</v>
      </c>
      <c r="B49" s="1054"/>
      <c r="C49" s="2812" t="s">
        <v>1637</v>
      </c>
      <c r="D49" s="2813"/>
      <c r="E49" s="1056"/>
      <c r="F49" s="1084"/>
      <c r="G49" s="1085"/>
    </row>
    <row r="50" spans="1:15" ht="13.5" thickBot="1">
      <c r="A50" s="1008" t="s">
        <v>1638</v>
      </c>
      <c r="B50" s="1054"/>
      <c r="C50" s="2819" t="s">
        <v>1639</v>
      </c>
      <c r="D50" s="282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46.12</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73792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租金!D7</f>
        <v>1950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46.12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29.576799999999999</v>
      </c>
      <c r="C5" s="1830">
        <f ca="1">ROUND(B5*10000/$B$1,0)</f>
        <v>6413</v>
      </c>
      <c r="D5" s="1830" t="e">
        <f ca="1">ROUND(B5*10000/$B$2,0)</f>
        <v>#DIV/0!</v>
      </c>
      <c r="E5" s="1831"/>
      <c r="F5" s="1835"/>
      <c r="G5" s="1835"/>
    </row>
    <row r="6" spans="1:9" ht="16.5">
      <c r="A6" s="1830" t="s">
        <v>1233</v>
      </c>
      <c r="B6" s="1830">
        <f ca="1">SUM(G14:G23)</f>
        <v>29.576799999999999</v>
      </c>
      <c r="C6" s="1830">
        <f t="shared" ref="C6:C8" ca="1" si="0">ROUND(B6*10000/$B$1,0)</f>
        <v>6413</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46.12</v>
      </c>
      <c r="C14" s="1834">
        <f>项目基本情况!C13</f>
        <v>0</v>
      </c>
      <c r="D14" s="1834">
        <f ca="1">IF('数据-取费表'!B3="万元",IF(A14="估价对象1（结果表）",结果表!H121,'结果表 (1修多)'!H124),IF(A14="估价对象1（结果表）",结果表!H121,'结果表 (1修多)'!H124)/10000)</f>
        <v>29.576799999999999</v>
      </c>
      <c r="E14" s="1834">
        <f ca="1">ROUND(D14*10000/B14,0)</f>
        <v>6413</v>
      </c>
      <c r="F14" s="1834" t="e">
        <f ca="1">ROUND(D14*10000/C14,0)</f>
        <v>#DIV/0!</v>
      </c>
      <c r="G14" s="1834">
        <f ca="1">IF('数据-取费表'!B3="万元",IF(A14="估价对象1（结果表）",结果表!D125,'结果表 (1修多)'!D128),IF(A14="估价对象1（结果表）",结果表!D125,'结果表 (1修多)'!D128)/10000)</f>
        <v>29.576799999999999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0" sqref="B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9" t="str">
        <f>项目基本情况!B1</f>
        <v>江西省赣州市房地产市场价值预评估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6" t="s">
        <v>1772</v>
      </c>
      <c r="B4" s="2197" t="s">
        <v>1773</v>
      </c>
      <c r="C4" s="2198" t="s">
        <v>2868</v>
      </c>
      <c r="D4" s="2198" t="s">
        <v>2869</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2</v>
      </c>
      <c r="D5" s="2911">
        <f>10-C5</f>
        <v>8</v>
      </c>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160016</v>
      </c>
      <c r="D19" s="60">
        <f ca="1">SUMIF(INDIRECT("'"&amp;D4&amp;"'"&amp;"!A:A"),结果表!B19,INDIRECT("'"&amp;D4&amp;"'"&amp;"!B:B"))</f>
        <v>329728</v>
      </c>
      <c r="E19" s="2205" t="s">
        <v>1796</v>
      </c>
      <c r="F19" s="2206" t="s">
        <v>1795</v>
      </c>
      <c r="G19" s="61">
        <f ca="1">ROUND(C19*$C$18+D19*$D$18,0)</f>
        <v>295786</v>
      </c>
      <c r="H19" s="2207" t="str">
        <f>'数据-取费表'!B3</f>
        <v>元</v>
      </c>
      <c r="I19" s="2194"/>
    </row>
    <row r="20" spans="1:35" ht="15">
      <c r="A20" s="2208"/>
      <c r="B20" s="2209" t="s">
        <v>1797</v>
      </c>
      <c r="C20" s="62">
        <f ca="1">SUMIF(INDIRECT("'"&amp;C4&amp;"'"&amp;"!A:A"),结果表!B20,INDIRECT("'"&amp;C4&amp;"'"&amp;"!B:B"))</f>
        <v>3470</v>
      </c>
      <c r="D20" s="63">
        <f ca="1">SUMIF(INDIRECT("'"&amp;D4&amp;"'"&amp;"!A:A"),结果表!B20,INDIRECT("'"&amp;D4&amp;"'"&amp;"!B:B"))</f>
        <v>7149</v>
      </c>
      <c r="E20" s="2208"/>
      <c r="F20" s="2209" t="s">
        <v>1797</v>
      </c>
      <c r="G20" s="64">
        <f ca="1">ROUND(C20*$C$18+D20*$D$18,0)</f>
        <v>6413</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1.0605939406059393</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6413</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4566</v>
      </c>
      <c r="D34" s="1091">
        <f ca="1">IF(D33="自定义",ROUND(C34/C32,3),1-D35)</f>
        <v>0.71199999999999997</v>
      </c>
      <c r="E34" s="2232" t="s">
        <v>1810</v>
      </c>
      <c r="F34" s="1828">
        <v>2000</v>
      </c>
      <c r="G34" s="2194"/>
      <c r="H34" s="2194"/>
      <c r="I34" s="2194"/>
    </row>
    <row r="35" spans="1:16" ht="15.75" thickBot="1">
      <c r="A35" s="2233"/>
      <c r="B35" s="2234" t="s">
        <v>1811</v>
      </c>
      <c r="C35" s="73">
        <f ca="1">IF(D33="自定义",F35,ROUND(C32*D35,0))</f>
        <v>1847</v>
      </c>
      <c r="D35" s="1090">
        <f ca="1">IF(D33="自定义",ROUND(C35/C32,3),IF(D33="成本法成本比率",成本法!C56,IF(D33="收益法收益比率",收益法!J38,收益法!J41)))</f>
        <v>0.28799999999999998</v>
      </c>
      <c r="E35" s="2235" t="s">
        <v>1812</v>
      </c>
      <c r="F35" s="79">
        <v>4460</v>
      </c>
      <c r="G35" s="2194"/>
      <c r="H35" s="2194"/>
      <c r="I35" s="2194"/>
    </row>
    <row r="36" spans="1:16" ht="15.75" thickBot="1">
      <c r="A36" s="2899" t="s">
        <v>1813</v>
      </c>
      <c r="B36" s="2236" t="s">
        <v>1814</v>
      </c>
      <c r="C36" s="69">
        <v>0</v>
      </c>
      <c r="D36" s="2237"/>
      <c r="E36" s="2238"/>
      <c r="F36" s="2238"/>
      <c r="G36" s="2194"/>
      <c r="H36" s="2194"/>
      <c r="I36" s="2194"/>
    </row>
    <row r="37" spans="1:16" ht="15.75" thickBot="1">
      <c r="A37" s="2900"/>
      <c r="B37" s="2239" t="s">
        <v>1815</v>
      </c>
      <c r="C37" s="71">
        <v>0</v>
      </c>
      <c r="D37" s="2204"/>
      <c r="E37" s="2204"/>
      <c r="F37" s="2238"/>
      <c r="G37" s="2204"/>
      <c r="H37" s="2204"/>
      <c r="I37" s="2204"/>
    </row>
    <row r="38" spans="1:16" ht="15.75" thickBot="1">
      <c r="A38" s="290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5" t="s">
        <v>1824</v>
      </c>
      <c r="B45" s="2906"/>
      <c r="C45" s="2907"/>
      <c r="D45" s="80">
        <f ca="1">ROUND(I102*F45,0)</f>
        <v>295768</v>
      </c>
      <c r="E45" s="81" t="s">
        <v>1825</v>
      </c>
      <c r="F45" s="82">
        <v>1</v>
      </c>
      <c r="G45" s="83" t="s">
        <v>1826</v>
      </c>
      <c r="H45" s="2194"/>
      <c r="I45" s="2194"/>
      <c r="J45" s="2967" t="s">
        <v>1827</v>
      </c>
      <c r="K45" s="2967"/>
      <c r="L45" s="2967"/>
      <c r="M45" s="2967"/>
      <c r="N45" s="2967"/>
      <c r="O45" s="2967"/>
      <c r="P45" s="1845"/>
    </row>
    <row r="46" spans="1:16" ht="14.25" customHeight="1">
      <c r="A46" s="2890" t="s">
        <v>1828</v>
      </c>
      <c r="B46" s="2891"/>
      <c r="C46" s="2891"/>
      <c r="D46" s="2891"/>
      <c r="E46" s="2891"/>
      <c r="F46" s="2891"/>
      <c r="G46" s="2892"/>
      <c r="H46" s="2256"/>
      <c r="I46" s="1144"/>
      <c r="J46" s="1883">
        <v>1</v>
      </c>
      <c r="K46" s="2967" t="s">
        <v>1829</v>
      </c>
      <c r="L46" s="2967"/>
      <c r="M46" s="2968" t="str">
        <f>项目基本情况!B1</f>
        <v>江西省赣州市房地产市场价值预评估</v>
      </c>
      <c r="N46" s="2968"/>
      <c r="O46" s="2968"/>
      <c r="P46" s="1845"/>
    </row>
    <row r="47" spans="1:16" ht="12" customHeight="1">
      <c r="A47" s="85" t="s">
        <v>1830</v>
      </c>
      <c r="B47" s="86"/>
      <c r="C47" s="87"/>
      <c r="D47" s="88" t="s">
        <v>1831</v>
      </c>
      <c r="E47" s="14" t="s">
        <v>1832</v>
      </c>
      <c r="F47" s="89" t="s">
        <v>1833</v>
      </c>
      <c r="G47" s="90" t="s">
        <v>1834</v>
      </c>
      <c r="H47" s="2256"/>
      <c r="I47" s="1144"/>
      <c r="J47" s="1883">
        <v>2</v>
      </c>
      <c r="K47" s="2967" t="s">
        <v>1835</v>
      </c>
      <c r="L47" s="2967"/>
      <c r="M47" s="2969">
        <f>'数据-取费表'!B2</f>
        <v>43322</v>
      </c>
      <c r="N47" s="2969"/>
      <c r="O47" s="2969"/>
      <c r="P47" s="1845"/>
    </row>
    <row r="48" spans="1:16" ht="25.5">
      <c r="A48" s="2902" t="s">
        <v>1836</v>
      </c>
      <c r="B48" s="2903"/>
      <c r="C48" s="2903"/>
      <c r="D48" s="56">
        <f ca="1">IF(H48="情况1",0,IF(H48="情况2",D52,IF(H48="情况3",D53,IF(H48="情况4",D54))))</f>
        <v>15493</v>
      </c>
      <c r="E48" s="1893" t="str">
        <f>IF(H48="情况4","(销售额-原购置价)×税（费）率","销售额×税（费）率")</f>
        <v>销售额×税（费）率</v>
      </c>
      <c r="F48" s="91">
        <f>IF(H48="情况1","免征",'数据-取费表'!E29)</f>
        <v>5.5000000000000007E-2</v>
      </c>
      <c r="G48" s="2257" t="s">
        <v>1837</v>
      </c>
      <c r="H48" s="2258" t="s">
        <v>1838</v>
      </c>
      <c r="I48" s="2256"/>
      <c r="J48" s="1883">
        <v>3</v>
      </c>
      <c r="K48" s="2967" t="s">
        <v>1839</v>
      </c>
      <c r="L48" s="2967"/>
      <c r="M48" s="2968">
        <f ca="1">I102</f>
        <v>295768</v>
      </c>
      <c r="N48" s="2968"/>
      <c r="O48" s="2968"/>
      <c r="P48" s="1845"/>
    </row>
    <row r="49" spans="1:16" ht="25.5" customHeight="1">
      <c r="A49" s="92" t="s">
        <v>1840</v>
      </c>
      <c r="B49" s="2895" t="s">
        <v>1841</v>
      </c>
      <c r="C49" s="2895"/>
      <c r="D49" s="93">
        <v>0</v>
      </c>
      <c r="E49" s="13" t="s">
        <v>1842</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4"/>
      <c r="I50" s="2259"/>
      <c r="J50" s="2967" t="s">
        <v>1844</v>
      </c>
      <c r="K50" s="2967"/>
      <c r="L50" s="2967"/>
      <c r="M50" s="2967"/>
      <c r="N50" s="2967"/>
      <c r="O50" s="2967"/>
      <c r="P50" s="1845"/>
    </row>
    <row r="51" spans="1:16" ht="12" customHeight="1">
      <c r="A51" s="97"/>
      <c r="B51" s="2895" t="s">
        <v>1845</v>
      </c>
      <c r="C51" s="2895"/>
      <c r="D51" s="98"/>
      <c r="E51" s="20"/>
      <c r="F51" s="96"/>
      <c r="G51" s="2962"/>
      <c r="H51" s="2194"/>
      <c r="I51" s="2259"/>
      <c r="J51" s="2260" t="s">
        <v>1846</v>
      </c>
      <c r="K51" s="2967" t="s">
        <v>1847</v>
      </c>
      <c r="L51" s="2967"/>
      <c r="M51" s="2260" t="s">
        <v>1848</v>
      </c>
      <c r="N51" s="2260" t="s">
        <v>1849</v>
      </c>
      <c r="O51" s="2260" t="s">
        <v>1850</v>
      </c>
      <c r="P51" s="1845"/>
    </row>
    <row r="52" spans="1:16" ht="24" customHeight="1">
      <c r="A52" s="99" t="s">
        <v>1851</v>
      </c>
      <c r="B52" s="2895" t="s">
        <v>1852</v>
      </c>
      <c r="C52" s="2895"/>
      <c r="D52" s="98">
        <f ca="1">ROUND(D45*'数据-取费表'!E29/(1+'数据-取费表'!F30),0)</f>
        <v>15493</v>
      </c>
      <c r="E52" s="10" t="s">
        <v>1853</v>
      </c>
      <c r="F52" s="100">
        <f>'数据-取费表'!E29</f>
        <v>5.5000000000000007E-2</v>
      </c>
      <c r="G52" s="2261"/>
      <c r="H52" s="2194"/>
      <c r="I52" s="2259"/>
      <c r="J52" s="1883">
        <v>1</v>
      </c>
      <c r="K52" s="2927" t="s">
        <v>1854</v>
      </c>
      <c r="L52" s="2927"/>
      <c r="M52" s="778">
        <f ca="1">D48</f>
        <v>15493</v>
      </c>
      <c r="N52" s="1883" t="str">
        <f>E48</f>
        <v>销售额×税（费）率</v>
      </c>
      <c r="O52" s="779">
        <f>F48</f>
        <v>5.5000000000000007E-2</v>
      </c>
      <c r="P52" s="1845"/>
    </row>
    <row r="53" spans="1:16" ht="12" customHeight="1">
      <c r="A53" s="99" t="s">
        <v>1855</v>
      </c>
      <c r="B53" s="2896" t="s">
        <v>1856</v>
      </c>
      <c r="C53" s="2826"/>
      <c r="D53" s="98">
        <f ca="1">ROUND(D45*'数据-取费表'!E29/(1+'数据-取费表'!F30),0)</f>
        <v>15493</v>
      </c>
      <c r="E53" s="10" t="s">
        <v>1853</v>
      </c>
      <c r="F53" s="100">
        <f>'数据-取费表'!E29</f>
        <v>5.5000000000000007E-2</v>
      </c>
      <c r="G53" s="2261"/>
      <c r="H53" s="2194"/>
      <c r="I53" s="2259"/>
      <c r="J53" s="1883">
        <v>2</v>
      </c>
      <c r="K53" s="2927" t="s">
        <v>1857</v>
      </c>
      <c r="L53" s="2927"/>
      <c r="M53" s="778">
        <f t="shared" ref="M53:O54" ca="1" si="1">D55</f>
        <v>148</v>
      </c>
      <c r="N53" s="1883" t="str">
        <f t="shared" si="1"/>
        <v>销售额×税（费）率</v>
      </c>
      <c r="O53" s="779">
        <f t="shared" si="1"/>
        <v>5.0000000000000001E-4</v>
      </c>
      <c r="P53" s="1845"/>
    </row>
    <row r="54" spans="1:16" ht="12" customHeight="1">
      <c r="A54" s="99" t="s">
        <v>1858</v>
      </c>
      <c r="B54" s="2896" t="s">
        <v>1859</v>
      </c>
      <c r="C54" s="2826"/>
      <c r="D54" s="98">
        <f ca="1">C68</f>
        <v>15493</v>
      </c>
      <c r="E54" s="20" t="s">
        <v>1860</v>
      </c>
      <c r="F54" s="100">
        <f>'数据-取费表'!E29</f>
        <v>5.5000000000000007E-2</v>
      </c>
      <c r="G54" s="2261"/>
      <c r="H54" s="2262"/>
      <c r="I54" s="2259"/>
      <c r="J54" s="1883">
        <v>3</v>
      </c>
      <c r="K54" s="2927" t="s">
        <v>1861</v>
      </c>
      <c r="L54" s="2927"/>
      <c r="M54" s="778">
        <f t="shared" ca="1" si="1"/>
        <v>167673</v>
      </c>
      <c r="N54" s="1883" t="str">
        <f t="shared" si="1"/>
        <v>增值额×税（费）率</v>
      </c>
      <c r="O54" s="780" t="str">
        <f t="shared" si="1"/>
        <v>——</v>
      </c>
      <c r="P54" s="1845"/>
    </row>
    <row r="55" spans="1:16" ht="24" customHeight="1">
      <c r="A55" s="2818" t="s">
        <v>1862</v>
      </c>
      <c r="B55" s="2903"/>
      <c r="C55" s="2903"/>
      <c r="D55" s="101">
        <f ca="1">IF(H55="个人住宅",0,ROUND(D45*I55,0))</f>
        <v>148</v>
      </c>
      <c r="E55" s="10" t="s">
        <v>1863</v>
      </c>
      <c r="F55" s="100">
        <f>IF(H55="正常",I55,"免征")</f>
        <v>5.0000000000000001E-4</v>
      </c>
      <c r="G55" s="2261"/>
      <c r="H55" s="2258" t="s">
        <v>1864</v>
      </c>
      <c r="I55" s="102">
        <f>'数据-取费表'!E37</f>
        <v>5.0000000000000001E-4</v>
      </c>
      <c r="J55" s="1883">
        <f>IF(H59="非个人房产","",4)</f>
        <v>4</v>
      </c>
      <c r="K55" s="2927" t="str">
        <f>IF(H59="非个人房产","——","个人所得税")</f>
        <v>个人所得税</v>
      </c>
      <c r="L55" s="2927"/>
      <c r="M55" s="781">
        <f ca="1">D59</f>
        <v>2958</v>
      </c>
      <c r="N55" s="1886" t="str">
        <f>E59</f>
        <v>销售额×税（费）率</v>
      </c>
      <c r="O55" s="782">
        <f>F59</f>
        <v>0.01</v>
      </c>
      <c r="P55" s="1845"/>
    </row>
    <row r="56" spans="1:16" ht="24.75">
      <c r="A56" s="2818" t="s">
        <v>1865</v>
      </c>
      <c r="B56" s="2903"/>
      <c r="C56" s="2903"/>
      <c r="D56" s="101">
        <f ca="1">IF(H56="个人住宅",D57,D58)</f>
        <v>167673</v>
      </c>
      <c r="E56" s="10" t="s">
        <v>1866</v>
      </c>
      <c r="F56" s="100" t="str">
        <f>IF(H56="正常",F58,"免征")</f>
        <v>——</v>
      </c>
      <c r="G56" s="2263" t="s">
        <v>1867</v>
      </c>
      <c r="H56" s="2264"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1"/>
      <c r="H57" s="1022"/>
      <c r="I57" s="1022"/>
      <c r="J57" s="2927">
        <f>IF(AND(J55="",J56=""),4,IF(项目基本情况!I6="上海银行",J56+1,J55+1))</f>
        <v>5</v>
      </c>
      <c r="K57" s="2927" t="s">
        <v>1869</v>
      </c>
      <c r="L57" s="2265" t="s">
        <v>1870</v>
      </c>
      <c r="M57" s="783"/>
      <c r="N57" s="784">
        <f ca="1">SUMIF(M52:M56,"&lt;9e307")</f>
        <v>186272</v>
      </c>
      <c r="O57" s="2266"/>
      <c r="P57" s="1841" t="e">
        <f ca="1">N57/M49</f>
        <v>#VALUE!</v>
      </c>
    </row>
    <row r="58" spans="1:16" ht="24.75">
      <c r="A58" s="99" t="s">
        <v>1851</v>
      </c>
      <c r="B58" s="2893" t="s">
        <v>1871</v>
      </c>
      <c r="C58" s="2894"/>
      <c r="D58" s="101">
        <f ca="1">IF(H58="转让取得",C81,C97)</f>
        <v>167673</v>
      </c>
      <c r="E58" s="10" t="s">
        <v>1866</v>
      </c>
      <c r="F58" s="14" t="s">
        <v>48</v>
      </c>
      <c r="G58" s="2261"/>
      <c r="H58" s="2264" t="s">
        <v>1872</v>
      </c>
      <c r="I58" s="1022"/>
      <c r="J58" s="2927"/>
      <c r="K58" s="2927"/>
      <c r="L58" s="2265" t="s">
        <v>1873</v>
      </c>
      <c r="M58" s="785"/>
      <c r="N58" s="2267" t="str">
        <f ca="1">IF(H19="元",NUMBERSTRING(INT(N57),2)&amp;"元整",NUMBERSTRING(INT(N57*10000),2)&amp;"元整")</f>
        <v>壹拾捌万陆仟贰佰柒拾贰元整</v>
      </c>
      <c r="O58" s="2268"/>
      <c r="P58" s="1845"/>
    </row>
    <row r="59" spans="1:16" ht="26.25" thickBot="1">
      <c r="A59" s="2819" t="s">
        <v>1874</v>
      </c>
      <c r="B59" s="2822"/>
      <c r="C59" s="2822"/>
      <c r="D59" s="104">
        <f ca="1">IF(H59="非个人房产","——",IF(H59="个人住宅",0,ROUND(D45*I59,0)))</f>
        <v>2958</v>
      </c>
      <c r="E59" s="105" t="str">
        <f>IF(H59="非个人房产","——","销售额×税（费）率")</f>
        <v>销售额×税（费）率</v>
      </c>
      <c r="F59" s="106">
        <f>IF(H59="非个人房产","——",IF(H59="个人住宅","免征",I59))</f>
        <v>0.01</v>
      </c>
      <c r="G59" s="2269" t="s">
        <v>1867</v>
      </c>
      <c r="H59" s="2264" t="s">
        <v>1875</v>
      </c>
      <c r="I59" s="107">
        <v>0.01</v>
      </c>
      <c r="J59" s="2925">
        <f>J57+1</f>
        <v>6</v>
      </c>
      <c r="K59" s="292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6"/>
      <c r="K60" s="2927"/>
      <c r="L60" s="2265" t="s">
        <v>1873</v>
      </c>
      <c r="M60" s="785"/>
      <c r="N60" s="2267" t="e">
        <f ca="1">IF(H19="元",NUMBERSTRING(INT(N59),2)&amp;"元整",NUMBERSTRING(INT(N59*10000),2)&amp;"元整")</f>
        <v>#VALUE!</v>
      </c>
      <c r="O60" s="2268"/>
      <c r="P60" s="1845"/>
    </row>
    <row r="61" spans="1:16" ht="13.5" thickBot="1">
      <c r="A61" s="2908" t="s">
        <v>1877</v>
      </c>
      <c r="B61" s="2908"/>
      <c r="C61" s="2908"/>
      <c r="D61" s="2908"/>
      <c r="E61" s="2908"/>
      <c r="F61" s="1022"/>
      <c r="G61" s="1022"/>
      <c r="H61" s="2247"/>
      <c r="I61" s="2194"/>
      <c r="J61" s="1883">
        <f>J59+1</f>
        <v>7</v>
      </c>
      <c r="K61" s="2927" t="s">
        <v>1878</v>
      </c>
      <c r="L61" s="2927"/>
      <c r="M61" s="788"/>
      <c r="N61" s="789" t="e">
        <f ca="1">IF(H19="元",ROUND(N59/项目基本情况!C12,0),ROUND(N59*10000/项目基本情况!C12,0))</f>
        <v>#VALUE!</v>
      </c>
      <c r="O61" s="2271"/>
      <c r="P61" s="1845"/>
    </row>
    <row r="62" spans="1:16" ht="12.75">
      <c r="A62" s="2915" t="s">
        <v>1879</v>
      </c>
      <c r="B62" s="291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281684</v>
      </c>
      <c r="D63" s="112"/>
      <c r="E63" s="113"/>
      <c r="F63" s="1022"/>
      <c r="G63" s="1022"/>
      <c r="H63" s="2247"/>
      <c r="I63" s="2194"/>
      <c r="J63" s="294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295768</v>
      </c>
      <c r="D64" s="117" t="s">
        <v>41</v>
      </c>
      <c r="E64" s="118"/>
      <c r="F64" s="1022"/>
      <c r="G64" s="1022"/>
      <c r="H64" s="2247"/>
      <c r="I64" s="2194"/>
      <c r="J64" s="294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7"/>
      <c r="K66" s="2272" t="s">
        <v>1892</v>
      </c>
      <c r="L66" s="1844" t="e">
        <f>M49*0.5%</f>
        <v>#VALUE!</v>
      </c>
      <c r="M66" s="14" t="e">
        <f>IF(L66&gt;0.5,0.5,ROUND(L66,0))</f>
        <v>#VALUE!</v>
      </c>
      <c r="N66" s="1845" t="s">
        <v>1893</v>
      </c>
      <c r="O66" s="1845"/>
      <c r="P66" s="1845"/>
    </row>
    <row r="67" spans="1:35" ht="12.75">
      <c r="A67" s="120" t="s">
        <v>42</v>
      </c>
      <c r="B67" s="121" t="s">
        <v>1894</v>
      </c>
      <c r="C67" s="124">
        <f ca="1">C63-C66</f>
        <v>281684</v>
      </c>
      <c r="D67" s="117" t="s">
        <v>41</v>
      </c>
      <c r="E67" s="118"/>
      <c r="F67" s="1022"/>
      <c r="G67" s="1022"/>
      <c r="H67" s="2247"/>
      <c r="I67" s="2194"/>
      <c r="J67" s="294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15493</v>
      </c>
      <c r="D68" s="128">
        <f>'数据-取费表'!E29</f>
        <v>5.5000000000000007E-2</v>
      </c>
      <c r="E68" s="129"/>
      <c r="F68" s="1022"/>
      <c r="G68" s="1022"/>
      <c r="H68" s="2247"/>
      <c r="I68" s="2194"/>
      <c r="J68" s="294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9" t="s">
        <v>1899</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5" t="s">
        <v>1879</v>
      </c>
      <c r="B71" s="291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281684</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1408</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6" t="s">
        <v>1909</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1408</v>
      </c>
      <c r="D78" s="145">
        <f>'数据-取费表'!E31</f>
        <v>5.000000000000001E-3</v>
      </c>
      <c r="E78" s="2887" t="s">
        <v>1914</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280276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199.05965909090909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167673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281684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1408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7" t="s">
        <v>1926</v>
      </c>
      <c r="F91" s="2888"/>
      <c r="G91" s="2888"/>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1408</v>
      </c>
      <c r="D93" s="145">
        <f>'数据-取费表'!E31</f>
        <v>5.000000000000001E-3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280276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199.05965909090909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167673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2" t="s">
        <v>1933</v>
      </c>
      <c r="B99" s="2943"/>
      <c r="C99" s="2943"/>
      <c r="D99" s="2944"/>
      <c r="E99" s="2194"/>
      <c r="F99" s="2953" t="s">
        <v>1934</v>
      </c>
      <c r="G99" s="2954"/>
      <c r="H99" s="2954"/>
      <c r="I99" s="2955"/>
    </row>
    <row r="100" spans="1:35" ht="15.75">
      <c r="A100" s="2956" t="s">
        <v>1935</v>
      </c>
      <c r="B100" s="2957"/>
      <c r="C100" s="720" t="str">
        <f>C4</f>
        <v>成本法</v>
      </c>
      <c r="D100" s="721" t="str">
        <f>D4</f>
        <v>收益法</v>
      </c>
      <c r="E100" s="2194"/>
      <c r="F100" s="2852" t="s">
        <v>1936</v>
      </c>
      <c r="G100" s="2853"/>
      <c r="H100" s="2852" t="s">
        <v>1937</v>
      </c>
      <c r="I100" s="2851"/>
    </row>
    <row r="101" spans="1:35" ht="15.75">
      <c r="A101" s="2934" t="s">
        <v>1938</v>
      </c>
      <c r="B101" s="2289" t="str">
        <f>IF(H19="元","总价（元）","总价（万元）")</f>
        <v>总价（元）</v>
      </c>
      <c r="C101" s="720">
        <f ca="1">C19</f>
        <v>160016</v>
      </c>
      <c r="D101" s="721">
        <f ca="1">D19</f>
        <v>329728</v>
      </c>
      <c r="E101" s="2194"/>
      <c r="F101" s="2852" t="str">
        <f>项目基本情况!I1</f>
        <v>江西省赣州市房地产</v>
      </c>
      <c r="G101" s="2853"/>
      <c r="H101" s="2850">
        <f>项目基本情况!C12</f>
        <v>46.12</v>
      </c>
      <c r="I101" s="2851"/>
    </row>
    <row r="102" spans="1:35" ht="15.75">
      <c r="A102" s="2934"/>
      <c r="B102" s="2289" t="s">
        <v>1939</v>
      </c>
      <c r="C102" s="722">
        <f ca="1">C20</f>
        <v>3470</v>
      </c>
      <c r="D102" s="723">
        <f ca="1">D20</f>
        <v>7149</v>
      </c>
      <c r="E102" s="2194"/>
      <c r="F102" s="2879" t="s">
        <v>1940</v>
      </c>
      <c r="G102" s="2880"/>
      <c r="H102" s="2290" t="str">
        <f>C106</f>
        <v>总价（元）</v>
      </c>
      <c r="I102" s="1862">
        <f ca="1">H121</f>
        <v>295768</v>
      </c>
    </row>
    <row r="103" spans="1:35" ht="15">
      <c r="A103" s="2934" t="s">
        <v>1941</v>
      </c>
      <c r="B103" s="2291" t="str">
        <f>B101</f>
        <v>总价（元）</v>
      </c>
      <c r="C103" s="724">
        <f ca="1">H121</f>
        <v>295768</v>
      </c>
      <c r="D103" s="725"/>
      <c r="E103" s="2194"/>
      <c r="F103" s="2879"/>
      <c r="G103" s="2880"/>
      <c r="H103" s="2290" t="s">
        <v>1939</v>
      </c>
      <c r="I103" s="1050">
        <f ca="1">I121</f>
        <v>6413</v>
      </c>
    </row>
    <row r="104" spans="1:35" ht="16.5" thickBot="1">
      <c r="A104" s="2935"/>
      <c r="B104" s="2292" t="s">
        <v>1939</v>
      </c>
      <c r="C104" s="726">
        <f ca="1">I121</f>
        <v>6413</v>
      </c>
      <c r="D104" s="727"/>
      <c r="E104" s="2194"/>
      <c r="F104" s="2951"/>
      <c r="G104" s="2952"/>
      <c r="H104" s="2936"/>
      <c r="I104" s="2937"/>
    </row>
    <row r="105" spans="1:35" ht="15.75">
      <c r="A105" s="2942" t="s">
        <v>1942</v>
      </c>
      <c r="B105" s="2943"/>
      <c r="C105" s="2943"/>
      <c r="D105" s="2944"/>
      <c r="E105" s="2194"/>
      <c r="F105" s="2940" t="s">
        <v>1943</v>
      </c>
      <c r="G105" s="2941"/>
      <c r="H105" s="2293" t="str">
        <f>C108</f>
        <v>总额（元）</v>
      </c>
      <c r="I105" s="1862">
        <f>SUMIF(I106:I108,"&lt;9E307")</f>
        <v>0</v>
      </c>
    </row>
    <row r="106" spans="1:35" ht="15">
      <c r="A106" s="2866" t="s">
        <v>1944</v>
      </c>
      <c r="B106" s="2867"/>
      <c r="C106" s="2290" t="str">
        <f>B101</f>
        <v>总价（元）</v>
      </c>
      <c r="D106" s="1051">
        <f ca="1">H121</f>
        <v>295768</v>
      </c>
      <c r="E106" s="2194"/>
      <c r="F106" s="2868" t="s">
        <v>1945</v>
      </c>
      <c r="G106" s="286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6"/>
      <c r="B107" s="2867"/>
      <c r="C107" s="2290" t="s">
        <v>1939</v>
      </c>
      <c r="D107" s="1052">
        <f ca="1">I121</f>
        <v>6413</v>
      </c>
      <c r="E107" s="2194"/>
      <c r="F107" s="2868" t="s">
        <v>1946</v>
      </c>
      <c r="G107" s="2869"/>
      <c r="H107" s="2293" t="str">
        <f>C110</f>
        <v>总额（元）</v>
      </c>
      <c r="I107" s="1050">
        <f>C37</f>
        <v>0</v>
      </c>
      <c r="K107" s="2294"/>
    </row>
    <row r="108" spans="1:35" ht="15">
      <c r="A108" s="2873" t="s">
        <v>1947</v>
      </c>
      <c r="B108" s="2874"/>
      <c r="C108" s="2293" t="str">
        <f>IF(H19="元","总额（元）","总额（万元）")</f>
        <v>总额（元）</v>
      </c>
      <c r="D108" s="1051">
        <f>IF(D36="正常操作",I106+I107+I108,I107+I108)</f>
        <v>0</v>
      </c>
      <c r="E108" s="2194"/>
      <c r="F108" s="2868" t="s">
        <v>1948</v>
      </c>
      <c r="G108" s="2869"/>
      <c r="H108" s="2293" t="str">
        <f>C111</f>
        <v>总额（元）</v>
      </c>
      <c r="I108" s="1050">
        <f>C38</f>
        <v>0</v>
      </c>
    </row>
    <row r="109" spans="1:35" ht="15.75">
      <c r="A109" s="2868" t="s">
        <v>1945</v>
      </c>
      <c r="B109" s="2869"/>
      <c r="C109" s="2293" t="str">
        <f>C108</f>
        <v>总额（元）</v>
      </c>
      <c r="D109" s="637">
        <f>IF(D36="同一抵押权人同一抵押物续贷",C36&amp;"（未扣减，详见特别提示）",C36)</f>
        <v>0</v>
      </c>
      <c r="E109" s="2194"/>
      <c r="F109" s="2951"/>
      <c r="G109" s="2952"/>
      <c r="H109" s="2938"/>
      <c r="I109" s="2939"/>
    </row>
    <row r="110" spans="1:35" ht="28.5" customHeight="1">
      <c r="A110" s="2868" t="s">
        <v>1946</v>
      </c>
      <c r="B110" s="2869"/>
      <c r="C110" s="2293" t="str">
        <f>C108</f>
        <v>总额（元）</v>
      </c>
      <c r="D110" s="637">
        <f>C37</f>
        <v>0</v>
      </c>
      <c r="E110" s="2194"/>
      <c r="F110" s="2854" t="str">
        <f>IF(项目基本情况!F5="已注销","——","3.房地产抵押价值")</f>
        <v>3.房地产抵押价值</v>
      </c>
      <c r="G110" s="2855"/>
      <c r="H110" s="2295" t="str">
        <f>C112</f>
        <v>总价（元）</v>
      </c>
      <c r="I110" s="1863">
        <f ca="1">IF(F110="——","——",I102-I105)</f>
        <v>295768</v>
      </c>
    </row>
    <row r="111" spans="1:35" ht="15">
      <c r="A111" s="2868" t="s">
        <v>1948</v>
      </c>
      <c r="B111" s="2869"/>
      <c r="C111" s="2293" t="str">
        <f>C108</f>
        <v>总额（元）</v>
      </c>
      <c r="D111" s="637">
        <f>C38</f>
        <v>0</v>
      </c>
      <c r="E111" s="2194"/>
      <c r="F111" s="2970"/>
      <c r="G111" s="2971"/>
      <c r="H111" s="2290" t="s">
        <v>1939</v>
      </c>
      <c r="I111" s="2296">
        <f ca="1">D113</f>
        <v>6413</v>
      </c>
    </row>
    <row r="112" spans="1:35" ht="26.25" customHeight="1">
      <c r="A112" s="2866" t="str">
        <f>IF(项目基本情况!F5="已注销","——","3.房地产抵押价值")</f>
        <v>3.房地产抵押价值</v>
      </c>
      <c r="B112" s="2867"/>
      <c r="C112" s="2290" t="str">
        <f>B101</f>
        <v>总价（元）</v>
      </c>
      <c r="D112" s="1051">
        <f ca="1">IF(A112="——","——",D106-D108)</f>
        <v>295768</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3" t="str">
        <f>IF(F112="——","——",I102-I107-I108)</f>
        <v>——</v>
      </c>
    </row>
    <row r="113" spans="1:15" ht="15">
      <c r="A113" s="2866"/>
      <c r="B113" s="2867"/>
      <c r="C113" s="2290" t="s">
        <v>1939</v>
      </c>
      <c r="D113" s="1052">
        <f ca="1">ROUND(IF(D112=D106,D107,IF(H19="元",D112/项目基本情况!C12,D112*10000/项目基本情况!C12)),0)</f>
        <v>6413</v>
      </c>
      <c r="E113" s="2194"/>
      <c r="F113" s="2970"/>
      <c r="G113" s="2971"/>
      <c r="H113" s="2290" t="s">
        <v>1939</v>
      </c>
      <c r="I113" s="2297" t="str">
        <f>D115</f>
        <v>——</v>
      </c>
    </row>
    <row r="114" spans="1:15" ht="15.75">
      <c r="A114" s="2866" t="str">
        <f>IF(项目基本情况!F5="已注销及未注销","4.抵押担保权已注销时的房地产抵押价值",IF(项目基本情况!F5="已注销","3.抵押担保权已注销时的房地产抵押价值","——"))</f>
        <v>——</v>
      </c>
      <c r="B114" s="2867"/>
      <c r="C114" s="2290" t="str">
        <f>B101</f>
        <v>总价（元）</v>
      </c>
      <c r="D114" s="1051" t="str">
        <f>IF(A114="——","——",D106-D110-D111)</f>
        <v>——</v>
      </c>
      <c r="E114" s="2194"/>
      <c r="F114" s="2854" t="str">
        <f>IF(项目基本情况!G5="抵押净值",IF(OR(项目基本情况!F5="已注销",项目基本情况!F5="房地产抵押价值"),"4.抵押净值","5.抵押净值"),"——")</f>
        <v>——</v>
      </c>
      <c r="G114" s="2855"/>
      <c r="H114" s="2290" t="str">
        <f>C116</f>
        <v>总价（元）</v>
      </c>
      <c r="I114" s="1862" t="str">
        <f>IF(F114="——","——",N59)</f>
        <v>——</v>
      </c>
    </row>
    <row r="115" spans="1:15" ht="15.75" thickBot="1">
      <c r="A115" s="2866"/>
      <c r="B115" s="2867"/>
      <c r="C115" s="2290" t="s">
        <v>1939</v>
      </c>
      <c r="D115" s="1052" t="str">
        <f>IF(A114="——","——",ROUND(IF(D114=D106,D107,IF(H19="元",D114/项目基本情况!C12,D114*10000/项目基本情况!C12)),0))</f>
        <v>——</v>
      </c>
      <c r="E115" s="2194"/>
      <c r="F115" s="2856"/>
      <c r="G115" s="2857"/>
      <c r="H115" s="2298" t="s">
        <v>1939</v>
      </c>
      <c r="I115" s="1864" t="str">
        <f ca="1">D117</f>
        <v>——</v>
      </c>
    </row>
    <row r="116" spans="1:15" ht="15.75">
      <c r="A116" s="2866" t="str">
        <f>IF(项目基本情况!G5="抵押净值",IF(OR(项目基本情况!F5="已注销",项目基本情况!F5="房地产抵押价值"),"4.抵押净值","5.抵押净值"),"——")</f>
        <v>——</v>
      </c>
      <c r="B116" s="2867"/>
      <c r="C116" s="2290" t="str">
        <f>B101</f>
        <v>总价（元）</v>
      </c>
      <c r="D116" s="1051" t="str">
        <f>IF(A116="——","——",N59)</f>
        <v>——</v>
      </c>
      <c r="E116" s="2194"/>
      <c r="F116" s="2966"/>
      <c r="G116" s="2966"/>
      <c r="H116" s="2922"/>
      <c r="I116" s="2922"/>
      <c r="N116" s="55"/>
      <c r="O116" s="55"/>
    </row>
    <row r="117" spans="1:15" ht="15.75" thickBot="1">
      <c r="A117" s="2871"/>
      <c r="B117" s="2872"/>
      <c r="C117" s="2298" t="s">
        <v>1939</v>
      </c>
      <c r="D117" s="1053" t="str">
        <f ca="1">IF(D116=D112,D113,IF(A116="——","——",N61))</f>
        <v>——</v>
      </c>
      <c r="E117" s="2194"/>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46.12</v>
      </c>
      <c r="C121" s="1887">
        <f>项目基本情况!C13</f>
        <v>0</v>
      </c>
      <c r="D121" s="1887">
        <f ca="1">ROUND(IF(B32="总价",C34,IF('数据-取费表'!B3="万元",E121*B121/10000,E121*B121)),0)</f>
        <v>210584</v>
      </c>
      <c r="E121" s="1887">
        <f ca="1">ROUND(IF(B32="楼面单价",C34,IF(H19="元",D121/B121,D121*10000/B121)),0)</f>
        <v>4566</v>
      </c>
      <c r="F121" s="1887">
        <f ca="1">ROUND(IF(B32="总价",C35,IF('数据-取费表'!B3="万元",G121*B121/10000,G121*B121)),0)</f>
        <v>85184</v>
      </c>
      <c r="G121" s="1887">
        <f ca="1">ROUND(IF(B32="楼面单价",C35,IF(H19="元",F121/B121,F121*10000/B121)),0)</f>
        <v>1847</v>
      </c>
      <c r="H121" s="1887">
        <f ca="1">ROUND(IF(B32="总价",C32,IF('数据-取费表'!B3="万元",I121*B121/10000,I121*B121)),0)</f>
        <v>295768</v>
      </c>
      <c r="I121" s="637">
        <f ca="1">ROUND(IF(B32="楼面单价",C32,IF(H19="元",H121/B121,H121*10000/B121)),0)</f>
        <v>6413</v>
      </c>
    </row>
    <row r="122" spans="1:15" ht="14.25">
      <c r="A122" s="2847" t="s">
        <v>1958</v>
      </c>
      <c r="B122" s="2848"/>
      <c r="C122" s="2848"/>
      <c r="D122" s="2881" t="str">
        <f ca="1">IF(H19="元",NUMBERSTRING(INT(D121),2)&amp;"元整",NUMBERSTRING(INT(D121*10000),2)&amp;"元整")</f>
        <v>贰拾壹万零伍佰捌拾肆元整</v>
      </c>
      <c r="E122" s="2928"/>
      <c r="F122" s="2881" t="str">
        <f ca="1">IF(H19="元",NUMBERSTRING(INT(F121),2)&amp;"元整",NUMBERSTRING(INT(F121*10000),2)&amp;"元整")</f>
        <v>捌万伍仟壹佰捌拾肆元整</v>
      </c>
      <c r="G122" s="2928"/>
      <c r="H122" s="2881" t="str">
        <f ca="1">IF(H19="元",NUMBERSTRING(INT(H121),2)&amp;"元整",NUMBERSTRING(INT(H121*10000),2)&amp;"元整")</f>
        <v>贰拾玖万伍仟柒佰陆拾捌元整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295768</v>
      </c>
      <c r="E125" s="2859"/>
      <c r="F125" s="2859"/>
      <c r="G125" s="2859"/>
      <c r="H125" s="2859"/>
      <c r="I125" s="2860"/>
    </row>
    <row r="126" spans="1:15" ht="14.25">
      <c r="A126" s="2847" t="s">
        <v>1958</v>
      </c>
      <c r="B126" s="2848"/>
      <c r="C126" s="2848"/>
      <c r="D126" s="2861">
        <f ca="1">I111</f>
        <v>6413</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6" t="s">
        <v>1772</v>
      </c>
      <c r="B4" s="2197" t="s">
        <v>1773</v>
      </c>
      <c r="C4" s="2198"/>
      <c r="D4" s="2198"/>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9" t="s">
        <v>1980</v>
      </c>
      <c r="B37" s="2236" t="s">
        <v>1981</v>
      </c>
      <c r="C37" s="69"/>
      <c r="D37" s="2237"/>
      <c r="E37" s="2238"/>
      <c r="F37" s="2238"/>
      <c r="G37" s="2194"/>
      <c r="H37" s="2194"/>
      <c r="I37" s="2194"/>
    </row>
    <row r="38" spans="1:16" ht="15.75" thickBot="1">
      <c r="A38" s="2900"/>
      <c r="B38" s="2239" t="s">
        <v>1982</v>
      </c>
      <c r="C38" s="71"/>
      <c r="D38" s="2204"/>
      <c r="E38" s="2204"/>
      <c r="F38" s="2238"/>
      <c r="G38" s="2204"/>
      <c r="H38" s="2204"/>
      <c r="I38" s="2204"/>
    </row>
    <row r="39" spans="1:16" ht="15.75" thickBot="1">
      <c r="A39" s="290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5" t="s">
        <v>1993</v>
      </c>
      <c r="B46" s="2906"/>
      <c r="C46" s="2907"/>
      <c r="D46" s="80">
        <f>ROUND(I103*F46,0)</f>
        <v>0</v>
      </c>
      <c r="E46" s="81" t="s">
        <v>1994</v>
      </c>
      <c r="F46" s="82">
        <v>1</v>
      </c>
      <c r="G46" s="83" t="s">
        <v>1995</v>
      </c>
      <c r="H46" s="2194"/>
      <c r="I46" s="2194"/>
      <c r="J46" s="2967" t="s">
        <v>1827</v>
      </c>
      <c r="K46" s="2967"/>
      <c r="L46" s="2967"/>
      <c r="M46" s="2967"/>
      <c r="N46" s="2967"/>
      <c r="O46" s="2967"/>
      <c r="P46" s="1845"/>
    </row>
    <row r="47" spans="1:16" ht="14.25" customHeight="1">
      <c r="A47" s="2890" t="s">
        <v>1828</v>
      </c>
      <c r="B47" s="2891"/>
      <c r="C47" s="2891"/>
      <c r="D47" s="2891"/>
      <c r="E47" s="2891"/>
      <c r="F47" s="2891"/>
      <c r="G47" s="2892"/>
      <c r="H47" s="2256"/>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967" t="s">
        <v>1835</v>
      </c>
      <c r="L48" s="2967"/>
      <c r="M48" s="2969">
        <f>'数据-取费表'!B2</f>
        <v>43322</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4"/>
      <c r="I51" s="2259"/>
      <c r="J51" s="2967" t="s">
        <v>1844</v>
      </c>
      <c r="K51" s="2967"/>
      <c r="L51" s="2967"/>
      <c r="M51" s="2967"/>
      <c r="N51" s="2967"/>
      <c r="O51" s="2967"/>
      <c r="P51" s="1845"/>
    </row>
    <row r="52" spans="1:16" ht="12" customHeight="1">
      <c r="A52" s="97"/>
      <c r="B52" s="2895" t="s">
        <v>1845</v>
      </c>
      <c r="C52" s="2895"/>
      <c r="D52" s="98"/>
      <c r="E52" s="20"/>
      <c r="F52" s="96"/>
      <c r="G52" s="2962"/>
      <c r="H52" s="2194"/>
      <c r="I52" s="2259"/>
      <c r="J52" s="2260" t="s">
        <v>1846</v>
      </c>
      <c r="K52" s="2967" t="s">
        <v>1847</v>
      </c>
      <c r="L52" s="2967"/>
      <c r="M52" s="2260" t="s">
        <v>1848</v>
      </c>
      <c r="N52" s="2260" t="s">
        <v>1849</v>
      </c>
      <c r="O52" s="2260" t="s">
        <v>1850</v>
      </c>
      <c r="P52" s="1845"/>
    </row>
    <row r="53" spans="1:16" ht="24" customHeight="1">
      <c r="A53" s="99" t="s">
        <v>1851</v>
      </c>
      <c r="B53" s="2895" t="s">
        <v>1852</v>
      </c>
      <c r="C53" s="2895"/>
      <c r="D53" s="98">
        <f>ROUND(D46*'数据-取费表'!E29/(1+'数据-取费表'!F30),0)</f>
        <v>0</v>
      </c>
      <c r="E53" s="10" t="s">
        <v>1853</v>
      </c>
      <c r="F53" s="100">
        <f>'数据-取费表'!E29</f>
        <v>5.5000000000000007E-2</v>
      </c>
      <c r="G53" s="2261"/>
      <c r="H53" s="2194"/>
      <c r="I53" s="2259"/>
      <c r="J53" s="1883">
        <v>1</v>
      </c>
      <c r="K53" s="2927" t="s">
        <v>1854</v>
      </c>
      <c r="L53" s="2927"/>
      <c r="M53" s="778">
        <f>D49</f>
        <v>0</v>
      </c>
      <c r="N53" s="1883" t="str">
        <f>E49</f>
        <v>销售额×税（费）率</v>
      </c>
      <c r="O53" s="779">
        <f>F49</f>
        <v>5.5000000000000007E-2</v>
      </c>
      <c r="P53" s="1845"/>
    </row>
    <row r="54" spans="1:16" ht="12" customHeight="1">
      <c r="A54" s="99" t="s">
        <v>1855</v>
      </c>
      <c r="B54" s="2896" t="s">
        <v>1856</v>
      </c>
      <c r="C54" s="2826"/>
      <c r="D54" s="98">
        <f>ROUND(D46*'数据-取费表'!E29/(1+'数据-取费表'!F30),0)</f>
        <v>0</v>
      </c>
      <c r="E54" s="10" t="s">
        <v>1853</v>
      </c>
      <c r="F54" s="100">
        <f>'数据-取费表'!E29</f>
        <v>5.5000000000000007E-2</v>
      </c>
      <c r="G54" s="2261"/>
      <c r="H54" s="2194"/>
      <c r="I54" s="2259"/>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5.5000000000000007E-2</v>
      </c>
      <c r="G55" s="2261"/>
      <c r="H55" s="2262"/>
      <c r="I55" s="2259"/>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3" t="s">
        <v>1867</v>
      </c>
      <c r="H57" s="2264"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1"/>
      <c r="H58" s="1022"/>
      <c r="I58" s="1022"/>
      <c r="J58" s="2927">
        <f>IF(AND(J56="",J57=""),4,IF(项目基本情况!I6="上海银行",J57+1,J56+1))</f>
        <v>4</v>
      </c>
      <c r="K58" s="2927" t="s">
        <v>1869</v>
      </c>
      <c r="L58" s="2265" t="s">
        <v>1870</v>
      </c>
      <c r="M58" s="783"/>
      <c r="N58" s="784">
        <f>SUMIF(M53:M57,"&lt;9e307")</f>
        <v>0</v>
      </c>
      <c r="O58" s="2266"/>
      <c r="P58" s="1841" t="e">
        <f>N58/M50</f>
        <v>#VALUE!</v>
      </c>
    </row>
    <row r="59" spans="1:16" ht="24.75">
      <c r="A59" s="99" t="s">
        <v>1851</v>
      </c>
      <c r="B59" s="2893" t="s">
        <v>1871</v>
      </c>
      <c r="C59" s="2894"/>
      <c r="D59" s="101">
        <f>IF(H59="转让取得",C82,C98)</f>
        <v>0</v>
      </c>
      <c r="E59" s="10" t="s">
        <v>1866</v>
      </c>
      <c r="F59" s="14" t="s">
        <v>48</v>
      </c>
      <c r="G59" s="2261"/>
      <c r="H59" s="2264" t="s">
        <v>1872</v>
      </c>
      <c r="I59" s="1022"/>
      <c r="J59" s="2927"/>
      <c r="K59" s="2927"/>
      <c r="L59" s="2265" t="s">
        <v>1873</v>
      </c>
      <c r="M59" s="785"/>
      <c r="N59" s="2267" t="str">
        <f>IF(H19="元",NUMBERSTRING(INT(N58),2)&amp;"元整",NUMBERSTRING(INT(N58*10000),2)&amp;"元整")</f>
        <v>零元整</v>
      </c>
      <c r="O59" s="2268"/>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5">
        <f>J58+1</f>
        <v>5</v>
      </c>
      <c r="K60" s="2927" t="s">
        <v>1876</v>
      </c>
      <c r="L60" s="1883" t="s">
        <v>1870</v>
      </c>
      <c r="M60" s="786"/>
      <c r="N60" s="787" t="e">
        <f>M50-N58</f>
        <v>#VALUE!</v>
      </c>
      <c r="O60" s="2270"/>
      <c r="P60" s="1845"/>
    </row>
    <row r="61" spans="1:16" ht="12" customHeight="1">
      <c r="A61" s="2066"/>
      <c r="B61" s="2194"/>
      <c r="C61" s="2194"/>
      <c r="D61" s="2194"/>
      <c r="E61" s="1022"/>
      <c r="F61" s="1022"/>
      <c r="G61" s="1022"/>
      <c r="H61" s="2247"/>
      <c r="I61" s="2194"/>
      <c r="J61" s="2926"/>
      <c r="K61" s="2927"/>
      <c r="L61" s="2265" t="s">
        <v>1873</v>
      </c>
      <c r="M61" s="785"/>
      <c r="N61" s="2267" t="e">
        <f>IF(H19="元",NUMBERSTRING(INT(N60),2)&amp;"元整",NUMBERSTRING(INT(N60*10000),2)&amp;"元整")</f>
        <v>#VALUE!</v>
      </c>
      <c r="O61" s="2268"/>
      <c r="P61" s="1845"/>
    </row>
    <row r="62" spans="1:16" ht="13.5" thickBot="1">
      <c r="A62" s="2908" t="s">
        <v>1877</v>
      </c>
      <c r="B62" s="2908"/>
      <c r="C62" s="2908"/>
      <c r="D62" s="2908"/>
      <c r="E62" s="2908"/>
      <c r="F62" s="1022"/>
      <c r="G62" s="1022"/>
      <c r="H62" s="2247"/>
      <c r="I62" s="2194"/>
      <c r="J62" s="1883">
        <f>J60+1</f>
        <v>6</v>
      </c>
      <c r="K62" s="2927" t="s">
        <v>1878</v>
      </c>
      <c r="L62" s="2927"/>
      <c r="M62" s="788"/>
      <c r="N62" s="789" t="e">
        <f>IF(H19="元",ROUND(N60/项目基本情况!C12,0),ROUND(N60*10000/项目基本情况!C12,0))</f>
        <v>#VALUE!</v>
      </c>
      <c r="O62" s="2271"/>
      <c r="P62" s="1845"/>
    </row>
    <row r="63" spans="1:16" ht="12.75">
      <c r="A63" s="2915" t="s">
        <v>1879</v>
      </c>
      <c r="B63" s="291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1899</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1879</v>
      </c>
      <c r="B72" s="291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6" t="s">
        <v>1909</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7" t="s">
        <v>1914</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7" t="s">
        <v>1926</v>
      </c>
      <c r="F92" s="2888"/>
      <c r="G92" s="2888"/>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2" t="s">
        <v>1933</v>
      </c>
      <c r="B100" s="2943"/>
      <c r="C100" s="2943"/>
      <c r="D100" s="2944"/>
      <c r="E100" s="2194"/>
      <c r="F100" s="2953" t="s">
        <v>1934</v>
      </c>
      <c r="G100" s="2954"/>
      <c r="H100" s="2954"/>
      <c r="I100" s="2955"/>
    </row>
    <row r="101" spans="1:35" ht="15.75">
      <c r="A101" s="2956" t="s">
        <v>1935</v>
      </c>
      <c r="B101" s="2957"/>
      <c r="C101" s="720">
        <f>C4</f>
        <v>0</v>
      </c>
      <c r="D101" s="721">
        <f>D4</f>
        <v>0</v>
      </c>
      <c r="E101" s="2194"/>
      <c r="F101" s="2852" t="s">
        <v>1936</v>
      </c>
      <c r="G101" s="2853"/>
      <c r="H101" s="2978" t="s">
        <v>1937</v>
      </c>
      <c r="I101" s="2851"/>
    </row>
    <row r="102" spans="1:35" ht="15.75">
      <c r="A102" s="2979" t="s">
        <v>1997</v>
      </c>
      <c r="B102" s="2289" t="str">
        <f>IF(H19="元","总价（元）","总价（万元）")</f>
        <v>总价（元）</v>
      </c>
      <c r="C102" s="720" t="e">
        <f ca="1">C19</f>
        <v>#REF!</v>
      </c>
      <c r="D102" s="721" t="e">
        <f ca="1">D19</f>
        <v>#REF!</v>
      </c>
      <c r="E102" s="2194"/>
      <c r="F102" s="2980"/>
      <c r="G102" s="2981"/>
      <c r="H102" s="2850">
        <f>典型户型修正!B25</f>
        <v>0</v>
      </c>
      <c r="I102" s="2851"/>
    </row>
    <row r="103" spans="1:35" ht="15.75">
      <c r="A103" s="2979"/>
      <c r="B103" s="2289" t="s">
        <v>1939</v>
      </c>
      <c r="C103" s="722" t="e">
        <f ca="1">C20</f>
        <v>#REF!</v>
      </c>
      <c r="D103" s="723" t="e">
        <f ca="1">D20</f>
        <v>#REF!</v>
      </c>
      <c r="E103" s="2194"/>
      <c r="F103" s="2879" t="s">
        <v>1940</v>
      </c>
      <c r="G103" s="2880"/>
      <c r="H103" s="2290" t="str">
        <f>C109</f>
        <v>总价（元）</v>
      </c>
      <c r="I103" s="1862">
        <f>H124</f>
        <v>0</v>
      </c>
    </row>
    <row r="104" spans="1:35" ht="15">
      <c r="A104" s="2979" t="s">
        <v>1998</v>
      </c>
      <c r="B104" s="2291" t="str">
        <f>B102</f>
        <v>总价（元）</v>
      </c>
      <c r="C104" s="1190" t="e">
        <f ca="1">ROUND(IF('数据-取费表'!B4="总价",G19,IF(H19="元",G20*'数据-取费表'!E5,G20*'数据-取费表'!E5/10000)),0)</f>
        <v>#REF!</v>
      </c>
      <c r="D104" s="725"/>
      <c r="E104" s="2194"/>
      <c r="F104" s="2879"/>
      <c r="G104" s="2880"/>
      <c r="H104" s="2290" t="s">
        <v>1939</v>
      </c>
      <c r="I104" s="1050" t="e">
        <f>I124</f>
        <v>#DIV/0!</v>
      </c>
    </row>
    <row r="105" spans="1:35" ht="15.75">
      <c r="A105" s="2979"/>
      <c r="B105" s="2289" t="s">
        <v>1939</v>
      </c>
      <c r="C105" s="1191" t="e">
        <f ca="1">ROUND(IF('数据-取费表'!B4="楼面单价",G20,IF(H19="元",G19/'数据-取费表'!E5,G19*10000/'数据-取费表'!E5)),0)</f>
        <v>#REF!</v>
      </c>
      <c r="D105" s="725"/>
      <c r="E105" s="2194"/>
      <c r="F105" s="2951"/>
      <c r="G105" s="2952"/>
      <c r="H105" s="2936"/>
      <c r="I105" s="2937"/>
    </row>
    <row r="106" spans="1:35" ht="15.75">
      <c r="A106" s="2972" t="s">
        <v>1999</v>
      </c>
      <c r="B106" s="2329" t="str">
        <f>B102</f>
        <v>总价（元）</v>
      </c>
      <c r="C106" s="724">
        <f>H124</f>
        <v>0</v>
      </c>
      <c r="D106" s="1189"/>
      <c r="E106" s="2194"/>
      <c r="F106" s="2940" t="s">
        <v>1943</v>
      </c>
      <c r="G106" s="2941"/>
      <c r="H106" s="2293" t="str">
        <f>C111</f>
        <v>总额（元）</v>
      </c>
      <c r="I106" s="1862">
        <f>SUMIF(I107:I109,"&lt;9E307")</f>
        <v>0</v>
      </c>
    </row>
    <row r="107" spans="1:35" ht="15.75" thickBot="1">
      <c r="A107" s="2935"/>
      <c r="B107" s="2292" t="s">
        <v>1939</v>
      </c>
      <c r="C107" s="726" t="e">
        <f>I124</f>
        <v>#DIV/0!</v>
      </c>
      <c r="D107" s="727"/>
      <c r="E107" s="2194"/>
      <c r="F107" s="2868" t="s">
        <v>1945</v>
      </c>
      <c r="G107" s="286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5" t="s">
        <v>1942</v>
      </c>
      <c r="B108" s="2976"/>
      <c r="C108" s="2976"/>
      <c r="D108" s="2977"/>
      <c r="E108" s="2194"/>
      <c r="F108" s="2868" t="s">
        <v>1946</v>
      </c>
      <c r="G108" s="2869"/>
      <c r="H108" s="2293" t="str">
        <f>C113</f>
        <v>总额（元）</v>
      </c>
      <c r="I108" s="1050">
        <f>C38</f>
        <v>0</v>
      </c>
      <c r="K108" s="2294"/>
    </row>
    <row r="109" spans="1:35" ht="15">
      <c r="A109" s="2866" t="s">
        <v>2000</v>
      </c>
      <c r="B109" s="2867"/>
      <c r="C109" s="2290" t="str">
        <f>B102</f>
        <v>总价（元）</v>
      </c>
      <c r="D109" s="1051">
        <f>H124</f>
        <v>0</v>
      </c>
      <c r="E109" s="2194"/>
      <c r="F109" s="2868" t="s">
        <v>1948</v>
      </c>
      <c r="G109" s="2869"/>
      <c r="H109" s="2293" t="str">
        <f>C114</f>
        <v>总额（元）</v>
      </c>
      <c r="I109" s="1050">
        <f>C39</f>
        <v>0</v>
      </c>
    </row>
    <row r="110" spans="1:35" ht="15.75">
      <c r="A110" s="2866"/>
      <c r="B110" s="2867"/>
      <c r="C110" s="2290" t="s">
        <v>1939</v>
      </c>
      <c r="D110" s="1052" t="e">
        <f>I124</f>
        <v>#DIV/0!</v>
      </c>
      <c r="E110" s="2194"/>
      <c r="F110" s="2951"/>
      <c r="G110" s="2952"/>
      <c r="H110" s="2938"/>
      <c r="I110" s="2939"/>
    </row>
    <row r="111" spans="1:35" ht="28.5" customHeight="1">
      <c r="A111" s="2873" t="s">
        <v>1947</v>
      </c>
      <c r="B111" s="2874"/>
      <c r="C111" s="2293" t="str">
        <f>IF(H19="元","总额（元）","总额（万元）")</f>
        <v>总额（元）</v>
      </c>
      <c r="D111" s="1051">
        <f>IF(D37="正常操作",I107+I108+I109,I108+I109)</f>
        <v>0</v>
      </c>
      <c r="E111" s="2194"/>
      <c r="F111" s="2854" t="str">
        <f>IF(项目基本情况!F5="已注销","——","3.房地产抵押价值")</f>
        <v>3.房地产抵押价值</v>
      </c>
      <c r="G111" s="2855"/>
      <c r="H111" s="2330" t="str">
        <f>C115</f>
        <v>总价（元）</v>
      </c>
      <c r="I111" s="1862">
        <f>IF(F111="——","——",I103-I106)</f>
        <v>0</v>
      </c>
    </row>
    <row r="112" spans="1:35" ht="15">
      <c r="A112" s="2868" t="s">
        <v>1945</v>
      </c>
      <c r="B112" s="2869"/>
      <c r="C112" s="2293" t="str">
        <f>C111</f>
        <v>总额（元）</v>
      </c>
      <c r="D112" s="637">
        <f>IF(D37="同一抵押权人同一抵押物续贷",C37&amp;"（未扣减，详见特别提示）",C37)</f>
        <v>0</v>
      </c>
      <c r="E112" s="2194"/>
      <c r="F112" s="2970"/>
      <c r="G112" s="2971"/>
      <c r="H112" s="2290" t="s">
        <v>1939</v>
      </c>
      <c r="I112" s="2296" t="e">
        <f>D116</f>
        <v>#DIV/0!</v>
      </c>
    </row>
    <row r="113" spans="1:26" ht="15.75">
      <c r="A113" s="2868" t="s">
        <v>1946</v>
      </c>
      <c r="B113" s="2869"/>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2" t="str">
        <f>IF(F113="——","——",I103-I108-I109)</f>
        <v>——</v>
      </c>
    </row>
    <row r="114" spans="1:26" ht="15">
      <c r="A114" s="2868" t="s">
        <v>1948</v>
      </c>
      <c r="B114" s="2869"/>
      <c r="C114" s="2293" t="str">
        <f>C111</f>
        <v>总额（元）</v>
      </c>
      <c r="D114" s="637">
        <f>C39</f>
        <v>0</v>
      </c>
      <c r="E114" s="2194"/>
      <c r="F114" s="2970"/>
      <c r="G114" s="2971"/>
      <c r="H114" s="2290" t="s">
        <v>1939</v>
      </c>
      <c r="I114" s="1050" t="str">
        <f>D118</f>
        <v>——</v>
      </c>
    </row>
    <row r="115" spans="1:26" ht="15.75">
      <c r="A115" s="2866" t="str">
        <f>IF(项目基本情况!F5="已注销","——","3.房地产抵押价值")</f>
        <v>3.房地产抵押价值</v>
      </c>
      <c r="B115" s="2867"/>
      <c r="C115" s="2290" t="str">
        <f>B102</f>
        <v>总价（元）</v>
      </c>
      <c r="D115" s="1051">
        <f>IF(A115="——","——",D109-D111)</f>
        <v>0</v>
      </c>
      <c r="E115" s="2194"/>
      <c r="F115" s="2854" t="str">
        <f>IF(项目基本情况!G5="抵押净值",IF(OR(项目基本情况!F5="已注销",项目基本情况!F5="房地产抵押价值"),"4.抵押净值","5.抵押净值"),"——")</f>
        <v>——</v>
      </c>
      <c r="G115" s="2855"/>
      <c r="H115" s="2290" t="str">
        <f>C119</f>
        <v>总价（元）</v>
      </c>
      <c r="I115" s="1862" t="str">
        <f>IF(F115="——","——",N60)</f>
        <v>——</v>
      </c>
    </row>
    <row r="116" spans="1:26" ht="15.75" thickBot="1">
      <c r="A116" s="2866"/>
      <c r="B116" s="2867"/>
      <c r="C116" s="2290" t="s">
        <v>2001</v>
      </c>
      <c r="D116" s="1052" t="e">
        <f>ROUND(IF(D115=D109,D110,IF(H19="元",D115/B124,D115*10000/B124)),0)</f>
        <v>#DIV/0!</v>
      </c>
      <c r="E116" s="2194"/>
      <c r="F116" s="2856"/>
      <c r="G116" s="2857"/>
      <c r="H116" s="2298"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0" t="str">
        <f>B102</f>
        <v>总价（元）</v>
      </c>
      <c r="D117" s="1051" t="str">
        <f>IF(A117="——","——",D109-D113-D114)</f>
        <v>——</v>
      </c>
      <c r="E117" s="2194"/>
      <c r="F117" s="2966"/>
      <c r="G117" s="2966"/>
      <c r="H117" s="2922"/>
      <c r="I117" s="2922"/>
      <c r="N117" s="55"/>
      <c r="O117" s="55"/>
    </row>
    <row r="118" spans="1:26" s="1845" customFormat="1" ht="15">
      <c r="A118" s="2866"/>
      <c r="B118" s="2867"/>
      <c r="C118" s="2290" t="s">
        <v>2001</v>
      </c>
      <c r="D118" s="1052" t="str">
        <f>IF(A117="——","——",IF(H19="元",ROUND(D117/B124,0),ROUND(D117*10000/B124,0)))</f>
        <v>——</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329728</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7149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18743</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18720</v>
      </c>
      <c r="D6" s="80" t="s">
        <v>2803</v>
      </c>
      <c r="E6" s="319" t="s">
        <v>2109</v>
      </c>
      <c r="F6" s="320">
        <f>'数据-取费表'!B29</f>
        <v>1950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23</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94905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73792</v>
      </c>
      <c r="D14" s="1888" t="s">
        <v>2128</v>
      </c>
      <c r="E14" s="1889"/>
      <c r="F14" s="979"/>
      <c r="G14" s="1239"/>
      <c r="H14" s="337" t="s">
        <v>2107</v>
      </c>
      <c r="I14" s="319" t="s">
        <v>2129</v>
      </c>
      <c r="J14" s="14">
        <f ca="1">C29</f>
        <v>111653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2214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2055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9224</v>
      </c>
      <c r="D17" s="319" t="s">
        <v>2142</v>
      </c>
      <c r="E17" s="319" t="s">
        <v>2143</v>
      </c>
      <c r="F17" s="16">
        <f>'数据-取费表'!E23</f>
        <v>200</v>
      </c>
      <c r="G17" s="1239"/>
      <c r="H17" s="337" t="s">
        <v>2144</v>
      </c>
      <c r="I17" s="319" t="s">
        <v>2145</v>
      </c>
      <c r="J17" s="14">
        <f ca="1">ROUND(IF(项目基本情况!B7="自然人",J5*M17,J18+J19+J20),0)</f>
        <v>938</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1107</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86337</v>
      </c>
      <c r="D19" s="56" t="s">
        <v>2154</v>
      </c>
      <c r="E19" s="1898"/>
      <c r="F19" s="16"/>
      <c r="G19" s="1239"/>
      <c r="H19" s="337" t="s">
        <v>2130</v>
      </c>
      <c r="I19" s="319" t="s">
        <v>2155</v>
      </c>
      <c r="J19" s="14">
        <f ca="1">IF(项目基本情况!B7="自然人","——",IF(K19="按租金收入计税",ROUND(J5*M19,1),ROUND(C29*M19*0.7,1)))</f>
        <v>937.9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1727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1117</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1916</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-2055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13210</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111653</v>
      </c>
      <c r="D29" s="1433"/>
      <c r="E29" s="1431"/>
      <c r="F29" s="1434"/>
      <c r="G29" s="791"/>
      <c r="H29" s="356" t="s">
        <v>24</v>
      </c>
      <c r="I29" s="357" t="s">
        <v>2203</v>
      </c>
      <c r="J29" s="358">
        <f ca="1">ROUND(J26/(1+F40)^F41,0)</f>
        <v>0</v>
      </c>
      <c r="K29" s="359" t="s">
        <v>2204</v>
      </c>
      <c r="L29" s="360"/>
      <c r="M29" s="361">
        <f>IF(D1="仅计算典型户型",'数据-取费表'!E5,'数据-取费表'!B5)</f>
        <v>46.12</v>
      </c>
    </row>
    <row r="30" spans="1:37" ht="18" customHeight="1" thickTop="1">
      <c r="A30" s="1420" t="s">
        <v>14</v>
      </c>
      <c r="B30" s="1421" t="s">
        <v>2205</v>
      </c>
      <c r="C30" s="327">
        <f ca="1">ROUND(C31+C36+C37+C38,0)</f>
        <v>3319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1919.9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982</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937.9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5694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1117</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187</v>
      </c>
      <c r="D38" s="1433" t="s">
        <v>2180</v>
      </c>
      <c r="E38" s="1431" t="s">
        <v>2176</v>
      </c>
      <c r="F38" s="1426">
        <f>'数据-取费表'!B46</f>
        <v>0.01</v>
      </c>
      <c r="G38" s="791"/>
      <c r="H38" s="1230"/>
      <c r="I38" s="365" t="s">
        <v>2218</v>
      </c>
      <c r="J38" s="220">
        <f ca="1">ROUND(J34/C39,3)</f>
        <v>0.36899999999999999</v>
      </c>
      <c r="K38" s="1235"/>
      <c r="L38" s="1230"/>
      <c r="M38" s="1230"/>
    </row>
    <row r="39" spans="1:18" ht="18" customHeight="1" thickTop="1">
      <c r="A39" s="1420" t="s">
        <v>22</v>
      </c>
      <c r="B39" s="1435" t="s">
        <v>2219</v>
      </c>
      <c r="C39" s="327">
        <f ca="1">C5-C30</f>
        <v>15424</v>
      </c>
      <c r="D39" s="1436" t="s">
        <v>2220</v>
      </c>
      <c r="E39" s="1437"/>
      <c r="F39" s="1438"/>
      <c r="G39" s="791"/>
      <c r="H39" s="1230"/>
      <c r="I39" s="365" t="s">
        <v>2221</v>
      </c>
      <c r="J39" s="220">
        <f ca="1">1-J38</f>
        <v>0.63100000000000001</v>
      </c>
      <c r="K39" s="1235"/>
      <c r="L39" s="1230"/>
      <c r="M39" s="1230"/>
    </row>
    <row r="40" spans="1:18" s="791" customFormat="1" ht="18" customHeight="1">
      <c r="A40" s="316" t="s">
        <v>23</v>
      </c>
      <c r="B40" s="317" t="s">
        <v>2222</v>
      </c>
      <c r="C40" s="318">
        <f ca="1">ROUND(C39*(1-((1+F42)/(1+F40))^F41)/(F40-F42),0)</f>
        <v>329728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0.28799999999999998</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0.71199999999999997</v>
      </c>
      <c r="K42" s="1234"/>
      <c r="L42" s="1237"/>
      <c r="M42" s="1237"/>
      <c r="Q42" s="795"/>
    </row>
    <row r="43" spans="1:18" s="791" customFormat="1" ht="18" customHeight="1" thickBot="1">
      <c r="A43" s="356" t="s">
        <v>24</v>
      </c>
      <c r="B43" s="357" t="s">
        <v>2225</v>
      </c>
      <c r="C43" s="358">
        <f ca="1">ROUND(C40/F43,0)</f>
        <v>7149</v>
      </c>
      <c r="D43" s="359" t="s">
        <v>2226</v>
      </c>
      <c r="E43" s="360" t="s">
        <v>2227</v>
      </c>
      <c r="F43" s="361">
        <f>IF(D1="仅计算典型户型",'数据-取费表'!E5,'数据-取费表'!B5)</f>
        <v>46.12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329728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-367804</v>
      </c>
      <c r="D47" s="2344" t="str">
        <f>C2</f>
        <v>元</v>
      </c>
      <c r="E47" s="776"/>
      <c r="F47" s="776"/>
      <c r="I47" s="2345" t="s">
        <v>2238</v>
      </c>
      <c r="J47" s="1343"/>
      <c r="K47" s="1344"/>
      <c r="L47" s="1357" t="str">
        <f>IF(M48="住宅",0,IF(L49&gt;J52,L61,J61))</f>
        <v>0</v>
      </c>
      <c r="O47" s="1371" t="s">
        <v>959</v>
      </c>
      <c r="P47" s="1368" t="s">
        <v>2239</v>
      </c>
      <c r="Q47" s="1369">
        <f ca="1">C29</f>
        <v>111653</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329728</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6534117</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329728</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94905</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111653</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2150</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937.9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329728</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937.9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329728</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1117</v>
      </c>
      <c r="D65" s="1893" t="s">
        <v>2215</v>
      </c>
      <c r="E65" s="319" t="s">
        <v>2159</v>
      </c>
      <c r="F65" s="350">
        <f t="shared" si="0"/>
        <v>0.01</v>
      </c>
      <c r="I65" s="2367" t="s">
        <v>2295</v>
      </c>
      <c r="J65" s="1874">
        <v>50</v>
      </c>
      <c r="K65" s="1874">
        <v>35</v>
      </c>
      <c r="L65" s="1874">
        <v>60</v>
      </c>
      <c r="M65" s="1873">
        <v>0</v>
      </c>
      <c r="O65" s="1371" t="s">
        <v>959</v>
      </c>
      <c r="P65" s="1368" t="s">
        <v>2269</v>
      </c>
      <c r="Q65" s="1373">
        <f ca="1">L52</f>
        <v>6534117</v>
      </c>
      <c r="R65" s="1374" t="s">
        <v>2296</v>
      </c>
    </row>
    <row r="66" spans="1:18" s="791" customFormat="1" ht="20.25" thickBot="1">
      <c r="A66" s="337" t="s">
        <v>20</v>
      </c>
      <c r="B66" s="319" t="s">
        <v>2174</v>
      </c>
      <c r="C66" s="14">
        <f ca="1">ROUND(C57*F66,0)</f>
        <v>95</v>
      </c>
      <c r="D66" s="1893" t="s">
        <v>2175</v>
      </c>
      <c r="E66" s="319" t="s">
        <v>2176</v>
      </c>
      <c r="F66" s="351">
        <f t="shared" si="0"/>
        <v>1E-3</v>
      </c>
      <c r="I66" s="2367" t="s">
        <v>2297</v>
      </c>
      <c r="J66" s="1874">
        <v>40</v>
      </c>
      <c r="K66" s="1874">
        <v>30</v>
      </c>
      <c r="L66" s="1874">
        <v>50</v>
      </c>
      <c r="M66" s="1872">
        <v>0.02</v>
      </c>
      <c r="O66" s="1371" t="s">
        <v>960</v>
      </c>
      <c r="P66" s="1375" t="s">
        <v>2298</v>
      </c>
      <c r="Q66" s="1369">
        <f ca="1">ROUND(Q67-Q68*Q69,0)</f>
        <v>9730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15424</v>
      </c>
      <c r="R67" s="1370" t="s">
        <v>2234</v>
      </c>
    </row>
    <row r="68" spans="1:18" ht="15.75" thickBot="1">
      <c r="A68" s="332" t="s">
        <v>22</v>
      </c>
      <c r="B68" s="89" t="s">
        <v>2184</v>
      </c>
      <c r="C68" s="334">
        <f ca="1">C49-C59</f>
        <v>-2150</v>
      </c>
      <c r="D68" s="1888" t="s">
        <v>2185</v>
      </c>
      <c r="E68" s="1892"/>
      <c r="F68" s="353"/>
      <c r="H68" s="791"/>
      <c r="I68" s="791"/>
      <c r="J68" s="791"/>
      <c r="K68" s="791"/>
      <c r="L68" s="791"/>
      <c r="M68" s="791"/>
      <c r="O68" s="1371" t="s">
        <v>966</v>
      </c>
      <c r="P68" s="1375" t="s">
        <v>2300</v>
      </c>
      <c r="Q68" s="1369">
        <f ca="1">C13</f>
        <v>94905</v>
      </c>
      <c r="R68" s="1370" t="s">
        <v>2234</v>
      </c>
    </row>
    <row r="69" spans="1:18" ht="15.75" thickBot="1">
      <c r="A69" s="316" t="s">
        <v>23</v>
      </c>
      <c r="B69" s="317" t="s">
        <v>2222</v>
      </c>
      <c r="C69" s="318">
        <f ca="1">ROUND(C68*(1-((1+F71)/(1+F69))^F70)/(F69-F71),0)</f>
        <v>-38076</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-826</v>
      </c>
      <c r="D72" s="359" t="s">
        <v>2226</v>
      </c>
      <c r="E72" s="360" t="s">
        <v>2227</v>
      </c>
      <c r="F72" s="361">
        <f>F43</f>
        <v>46.12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329728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46.12</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6" t="s">
        <v>2341</v>
      </c>
      <c r="D4" s="3047"/>
      <c r="E4" s="3048" t="s">
        <v>2342</v>
      </c>
      <c r="F4" s="3049"/>
      <c r="G4" s="3046" t="s">
        <v>2343</v>
      </c>
      <c r="H4" s="3047"/>
      <c r="I4" s="3046" t="s">
        <v>2344</v>
      </c>
      <c r="J4" s="3047"/>
      <c r="K4" s="23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2395"/>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2395"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41"/>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7"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1"/>
      <c r="Q28" s="1899">
        <f t="shared" si="11"/>
        <v>111</v>
      </c>
      <c r="R28" s="753" t="s">
        <v>28</v>
      </c>
      <c r="S28" s="754">
        <f t="shared" ref="S28:S46" si="12">F28</f>
        <v>100</v>
      </c>
      <c r="T28" s="753" t="s">
        <v>28</v>
      </c>
      <c r="U28" s="754">
        <f t="shared" ref="U28:U46" si="13">H28</f>
        <v>100</v>
      </c>
      <c r="V28" s="753" t="s">
        <v>28</v>
      </c>
      <c r="W28" s="754">
        <f t="shared" ref="W28:W46" si="14">J28</f>
        <v>100</v>
      </c>
      <c r="X28" s="1900"/>
      <c r="Y28" s="302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5"/>
      <c r="Q37" s="1887"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5"/>
      <c r="Q44" s="1887">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46.12</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46.12</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5"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66"/>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67"/>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46.12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46.12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46.12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160016</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3470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46.12</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46.12</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86337</v>
      </c>
      <c r="D33" s="183"/>
      <c r="E33" s="1532"/>
      <c r="F33" s="191"/>
      <c r="G33" s="184"/>
    </row>
    <row r="34" spans="1:7" s="206" customFormat="1" ht="13.5" customHeight="1">
      <c r="A34" s="176" t="s">
        <v>2044</v>
      </c>
      <c r="B34" s="177" t="s">
        <v>2066</v>
      </c>
      <c r="C34" s="199">
        <f>IF(B1="仅计算典型户型",'数据-取费表'!F18,'数据-取费表'!E18)</f>
        <v>73792</v>
      </c>
      <c r="D34" s="1533"/>
      <c r="E34" s="199"/>
      <c r="F34" s="1544" t="str">
        <f>IF('数据-取费表'!B25=0,"",'数据-取费表'!E20)</f>
        <v/>
      </c>
      <c r="G34" s="179"/>
    </row>
    <row r="35" spans="1:7" ht="13.5" customHeight="1">
      <c r="A35" s="176" t="s">
        <v>2018</v>
      </c>
      <c r="B35" s="177" t="s">
        <v>2067</v>
      </c>
      <c r="C35" s="199">
        <f>ROUND(C34*F35,0)</f>
        <v>2214</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9224</v>
      </c>
      <c r="D37" s="1533">
        <f>IF(B1="仅计算典型户型",'数据-取费表'!E5,'数据-取费表'!B5)</f>
        <v>46.12</v>
      </c>
      <c r="E37" s="199">
        <f>'数据-取费表'!E23</f>
        <v>200</v>
      </c>
      <c r="F37" s="1545"/>
      <c r="G37" s="208" t="s">
        <v>2072</v>
      </c>
    </row>
    <row r="38" spans="1:7" ht="13.5" customHeight="1">
      <c r="A38" s="176" t="s">
        <v>2073</v>
      </c>
      <c r="B38" s="177" t="s">
        <v>2074</v>
      </c>
      <c r="C38" s="199">
        <f>ROUND(C34*F38,0)</f>
        <v>1107</v>
      </c>
      <c r="D38" s="199"/>
      <c r="E38" s="199"/>
      <c r="F38" s="1545">
        <f>'数据-取费表'!E24</f>
        <v>1.4999999999999999E-2</v>
      </c>
      <c r="G38" s="179" t="s">
        <v>2068</v>
      </c>
    </row>
    <row r="39" spans="1:7" s="175" customFormat="1" ht="13.5" customHeight="1">
      <c r="A39" s="204" t="s">
        <v>2033</v>
      </c>
      <c r="B39" s="173" t="s">
        <v>2036</v>
      </c>
      <c r="C39" s="183">
        <f>ROUND(C33*F20,0)</f>
        <v>1727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1916</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1878</v>
      </c>
      <c r="D42" s="188"/>
      <c r="E42" s="188"/>
      <c r="F42" s="189"/>
      <c r="G42" s="3069" t="s">
        <v>2078</v>
      </c>
    </row>
    <row r="43" spans="1:7" ht="13.5" customHeight="1">
      <c r="A43" s="176" t="s">
        <v>2018</v>
      </c>
      <c r="B43" s="177" t="s">
        <v>2047</v>
      </c>
      <c r="C43" s="188">
        <f ca="1">ROUND(IF('数据-取费表'!B23&lt;=1,C39*F22*'数据-取费表'!B22/2,C39*(POWER((1+F22),'数据-取费表'!B22/2)-1)),0)</f>
        <v>38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13210</v>
      </c>
      <c r="D45" s="185">
        <f>C47</f>
        <v>3.0000000000000001E-3</v>
      </c>
      <c r="E45" s="186" t="s">
        <v>2076</v>
      </c>
      <c r="F45" s="196"/>
      <c r="G45" s="197" t="s">
        <v>2079</v>
      </c>
    </row>
    <row r="46" spans="1:7" s="175" customFormat="1" ht="13.5" customHeight="1">
      <c r="A46" s="176" t="s">
        <v>2044</v>
      </c>
      <c r="B46" s="198" t="s">
        <v>2080</v>
      </c>
      <c r="C46" s="199">
        <f>ROUND((C33+C39)*F27,0)</f>
        <v>13210</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111653</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94905</v>
      </c>
      <c r="D51" s="183"/>
      <c r="E51" s="183"/>
      <c r="F51" s="210"/>
      <c r="G51" s="184" t="s">
        <v>2092</v>
      </c>
    </row>
    <row r="52" spans="1:7" s="172" customFormat="1" ht="16.5" thickBot="1">
      <c r="A52" s="211" t="s">
        <v>2093</v>
      </c>
      <c r="B52" s="212"/>
      <c r="C52" s="213">
        <f ca="1">C31+C51</f>
        <v>160016</v>
      </c>
      <c r="D52" s="212"/>
      <c r="E52" s="212"/>
      <c r="F52" s="212"/>
      <c r="G52" s="214"/>
    </row>
    <row r="55" spans="1:7" ht="15">
      <c r="B55" s="216" t="s">
        <v>2094</v>
      </c>
      <c r="C55" s="217"/>
    </row>
    <row r="56" spans="1:7">
      <c r="B56" s="219" t="s">
        <v>2095</v>
      </c>
      <c r="C56" s="220">
        <f ca="1">ROUND(C51/C52,3)</f>
        <v>0.59299999999999997</v>
      </c>
    </row>
    <row r="57" spans="1:7">
      <c r="B57" s="219" t="s">
        <v>2096</v>
      </c>
      <c r="C57" s="221">
        <f ca="1">1-C56</f>
        <v>0.40700000000000003</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1040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74" t="s">
        <v>2831</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30" ht="41.25" customHeight="1" thickBot="1">
      <c r="A6" s="385"/>
      <c r="B6" s="386"/>
      <c r="C6" s="3075" t="s">
        <v>2830</v>
      </c>
      <c r="D6" s="3030"/>
      <c r="E6" s="3059" t="str">
        <f>Sheet1!B6</f>
        <v>赣州经开区铜铝产业园XC0102-15-01地块</v>
      </c>
      <c r="F6" s="3060"/>
      <c r="G6" s="3029" t="str">
        <f>Sheet1!B8</f>
        <v>赣州经开区迎宾大道北侧、工业路西侧</v>
      </c>
      <c r="H6" s="3030"/>
      <c r="I6" s="3029" t="str">
        <f>Sheet1!B18</f>
        <v>赣州经开区金英路西侧，金坪东路北侧</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3" t="s">
        <v>2354</v>
      </c>
      <c r="Q7" s="3041"/>
      <c r="R7" s="749" t="s">
        <v>25</v>
      </c>
      <c r="S7" s="750">
        <f t="shared" ref="S7:S15" si="0">F7</f>
        <v>100</v>
      </c>
      <c r="T7" s="749" t="s">
        <v>25</v>
      </c>
      <c r="U7" s="750">
        <f t="shared" ref="U7:U15" si="1">H7</f>
        <v>100</v>
      </c>
      <c r="V7" s="749" t="s">
        <v>25</v>
      </c>
      <c r="W7" s="750">
        <f t="shared" ref="W7:W15" si="2">J7</f>
        <v>100</v>
      </c>
      <c r="X7" s="751"/>
      <c r="Y7" s="3033" t="s">
        <v>2354</v>
      </c>
      <c r="Z7" s="3034"/>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9"/>
      <c r="Q11" s="1887" t="str">
        <f t="shared" si="6"/>
        <v>容积率</v>
      </c>
      <c r="R11" s="749" t="s">
        <v>25</v>
      </c>
      <c r="S11" s="750">
        <f t="shared" si="0"/>
        <v>99.5</v>
      </c>
      <c r="T11" s="749" t="s">
        <v>25</v>
      </c>
      <c r="U11" s="750">
        <f t="shared" si="1"/>
        <v>100</v>
      </c>
      <c r="V11" s="749" t="s">
        <v>25</v>
      </c>
      <c r="W11" s="750">
        <f t="shared" si="2"/>
        <v>100</v>
      </c>
      <c r="X11" s="751"/>
      <c r="Y11" s="2848"/>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3"/>
      <c r="Q25" s="1899" t="str">
        <f t="shared" si="8"/>
        <v>自然及人文环境状况</v>
      </c>
      <c r="R25" s="753" t="s">
        <v>25</v>
      </c>
      <c r="S25" s="754">
        <f>F25</f>
        <v>100</v>
      </c>
      <c r="T25" s="753" t="s">
        <v>25</v>
      </c>
      <c r="U25" s="754">
        <f>H25</f>
        <v>100</v>
      </c>
      <c r="V25" s="753" t="s">
        <v>25</v>
      </c>
      <c r="W25" s="754">
        <f>J25</f>
        <v>98</v>
      </c>
      <c r="X25" s="1900"/>
      <c r="Y25" s="3023"/>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3"/>
      <c r="Q32" s="1899" t="str">
        <f t="shared" si="8"/>
        <v>毗邻道路的类型与等级</v>
      </c>
      <c r="R32" s="753" t="s">
        <v>25</v>
      </c>
      <c r="S32" s="754">
        <f t="shared" si="10"/>
        <v>100</v>
      </c>
      <c r="T32" s="753" t="s">
        <v>25</v>
      </c>
      <c r="U32" s="754">
        <f t="shared" si="11"/>
        <v>102</v>
      </c>
      <c r="V32" s="753" t="s">
        <v>25</v>
      </c>
      <c r="W32" s="754">
        <f t="shared" si="12"/>
        <v>100</v>
      </c>
      <c r="X32" s="1900"/>
      <c r="Y32" s="3023"/>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7"/>
      <c r="Q38" s="1899" t="str">
        <f>B38</f>
        <v>宗地面积</v>
      </c>
      <c r="R38" s="753" t="s">
        <v>25</v>
      </c>
      <c r="S38" s="754">
        <f t="shared" si="10"/>
        <v>100</v>
      </c>
      <c r="T38" s="753" t="s">
        <v>25</v>
      </c>
      <c r="U38" s="754">
        <f t="shared" si="11"/>
        <v>100</v>
      </c>
      <c r="V38" s="753" t="s">
        <v>25</v>
      </c>
      <c r="W38" s="754">
        <f t="shared" si="12"/>
        <v>100</v>
      </c>
      <c r="X38" s="1900"/>
      <c r="Y38" s="3027"/>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7"/>
      <c r="Q43" s="1899" t="str">
        <f t="shared" si="14"/>
        <v>位置</v>
      </c>
      <c r="R43" s="753" t="s">
        <v>25</v>
      </c>
      <c r="S43" s="754">
        <f t="shared" si="10"/>
        <v>108</v>
      </c>
      <c r="T43" s="753" t="s">
        <v>25</v>
      </c>
      <c r="U43" s="754">
        <f t="shared" si="11"/>
        <v>108</v>
      </c>
      <c r="V43" s="753" t="s">
        <v>25</v>
      </c>
      <c r="W43" s="754">
        <f t="shared" si="12"/>
        <v>108</v>
      </c>
      <c r="X43" s="1900"/>
      <c r="Y43" s="3027"/>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9" t="str">
        <f>A46</f>
        <v>成交单价</v>
      </c>
      <c r="Q46" s="3019"/>
      <c r="R46" s="3056">
        <f>E46</f>
        <v>2633.49</v>
      </c>
      <c r="S46" s="3056"/>
      <c r="T46" s="3056">
        <f>G46</f>
        <v>2276</v>
      </c>
      <c r="U46" s="3056"/>
      <c r="V46" s="3056">
        <f>I46</f>
        <v>2336</v>
      </c>
      <c r="W46" s="3056"/>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9" t="str">
        <f>A47</f>
        <v>比较价值（元/平方米）</v>
      </c>
      <c r="Q47" s="3019"/>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6" t="str">
        <f>A48</f>
        <v>估价对象商业用房的比较价值（楼面单价，元/平方米）</v>
      </c>
      <c r="Q48" s="301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估价对象为江西省赣州市房地产，为赣州市君成亿置业有限公司所有。根据《不动产权证书》[]，估价对象建筑面积为46.12平方米，（分摊）出让国有建设用地使用权面积为平方米。估价对象用途为。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tabSelected="1" workbookViewId="0">
      <selection activeCell="D9" sqref="D9"/>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F2" s="2755">
        <f>ROUND(C2*E2,0)</f>
        <v>0</v>
      </c>
    </row>
    <row r="3" spans="1:6" ht="14.25">
      <c r="A3" s="2755">
        <v>2</v>
      </c>
      <c r="B3" s="2755">
        <v>296</v>
      </c>
      <c r="C3" s="2755">
        <v>35.840000000000003</v>
      </c>
      <c r="D3" s="2755">
        <v>1200</v>
      </c>
      <c r="E3" s="2755">
        <v>5138</v>
      </c>
      <c r="F3" s="2755">
        <f t="shared" ref="F3:F10" si="0">ROUND(C3*E3,0)</f>
        <v>184146</v>
      </c>
    </row>
    <row r="4" spans="1:6" ht="14.25">
      <c r="A4" s="2755">
        <v>3</v>
      </c>
      <c r="B4" s="2755">
        <v>266</v>
      </c>
      <c r="C4" s="2755">
        <v>21.83</v>
      </c>
      <c r="D4" s="2755">
        <v>950</v>
      </c>
      <c r="E4" s="2755">
        <v>6919</v>
      </c>
      <c r="F4" s="2755">
        <f t="shared" si="0"/>
        <v>151042</v>
      </c>
    </row>
    <row r="5" spans="1:6" ht="14.25">
      <c r="A5" s="2755">
        <v>4</v>
      </c>
      <c r="B5" s="2755">
        <v>265</v>
      </c>
      <c r="C5" s="2755">
        <v>21.83</v>
      </c>
      <c r="D5" s="2755">
        <f>D4</f>
        <v>950</v>
      </c>
      <c r="E5" s="2755">
        <v>6919</v>
      </c>
      <c r="F5" s="2755">
        <f t="shared" si="0"/>
        <v>151042</v>
      </c>
    </row>
    <row r="6" spans="1:6" ht="14.25">
      <c r="A6" s="2755">
        <v>5</v>
      </c>
      <c r="B6" s="2755">
        <v>264</v>
      </c>
      <c r="C6" s="2755">
        <v>22.24</v>
      </c>
      <c r="D6" s="2755">
        <f>D4</f>
        <v>950</v>
      </c>
      <c r="E6" s="2755">
        <v>6784</v>
      </c>
      <c r="F6" s="2755">
        <f t="shared" si="0"/>
        <v>150876</v>
      </c>
    </row>
    <row r="7" spans="1:6" ht="14.25">
      <c r="A7" s="2755">
        <v>6</v>
      </c>
      <c r="B7" s="2755">
        <v>163</v>
      </c>
      <c r="C7" s="2755">
        <v>46.12</v>
      </c>
      <c r="D7" s="2755">
        <v>1950</v>
      </c>
      <c r="E7" s="2755">
        <v>6413</v>
      </c>
      <c r="F7" s="2755">
        <f t="shared" si="0"/>
        <v>295768</v>
      </c>
    </row>
    <row r="8" spans="1:6" ht="14.25">
      <c r="A8" s="2755">
        <v>7</v>
      </c>
      <c r="B8" s="2755">
        <v>160</v>
      </c>
      <c r="C8" s="2755">
        <v>47.9</v>
      </c>
      <c r="D8" s="2755">
        <v>2000</v>
      </c>
      <c r="F8" s="2755">
        <f t="shared" si="0"/>
        <v>0</v>
      </c>
    </row>
    <row r="9" spans="1:6" ht="14.25">
      <c r="A9" s="2755">
        <v>8</v>
      </c>
      <c r="B9" s="2755">
        <v>20</v>
      </c>
      <c r="C9" s="2755">
        <v>18.14</v>
      </c>
      <c r="D9" s="2755">
        <v>1200</v>
      </c>
      <c r="F9" s="2755">
        <f t="shared" si="0"/>
        <v>0</v>
      </c>
    </row>
    <row r="10" spans="1:6" ht="14.25">
      <c r="A10" s="2755">
        <v>9</v>
      </c>
      <c r="B10" s="2755">
        <v>137</v>
      </c>
      <c r="C10" s="2755">
        <v>22.24</v>
      </c>
      <c r="D10" s="2755">
        <v>1300</v>
      </c>
      <c r="F10" s="2755">
        <f t="shared" si="0"/>
        <v>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783</v>
      </c>
      <c r="D5" s="2777"/>
      <c r="E5" s="1927"/>
    </row>
    <row r="6" spans="1:5" ht="14.25">
      <c r="A6" s="1927"/>
      <c r="B6" s="1932" t="str">
        <f>项目基本情况!I1</f>
        <v>江西省赣州市房地产</v>
      </c>
      <c r="C6" s="2778">
        <f>项目基本情况!C12</f>
        <v>46.12</v>
      </c>
      <c r="D6" s="2778"/>
      <c r="E6" s="1927"/>
    </row>
    <row r="7" spans="1:5" ht="14.25">
      <c r="A7" s="1927"/>
      <c r="B7" s="2772" t="s">
        <v>784</v>
      </c>
      <c r="C7" s="1933" t="str">
        <f>IF('数据-取费表'!B3="万元","总价（万元）","总价（元）")</f>
        <v>总价（元）</v>
      </c>
      <c r="D7" s="1934">
        <f ca="1">IF('数据-取费表'!E3="否",结果表!I102,'结果表 (1修多)'!I103)</f>
        <v>295768</v>
      </c>
      <c r="E7" s="1927"/>
    </row>
    <row r="8" spans="1:5" ht="28.5">
      <c r="A8" s="1927"/>
      <c r="B8" s="2772"/>
      <c r="C8" s="1935" t="s">
        <v>1175</v>
      </c>
      <c r="D8" s="1936" t="str">
        <f ca="1">IF('数据-取费表'!B3="万元",NUMBERSTRING(INT(D7*10000),2)&amp;"元整",NUMBERSTRING(INT(D7),2)&amp;"元整")</f>
        <v>贰拾玖万伍仟柒佰陆拾捌元整</v>
      </c>
      <c r="E8" s="1927"/>
    </row>
    <row r="9" spans="1:5" ht="14.25">
      <c r="A9" s="1927"/>
      <c r="B9" s="2772"/>
      <c r="C9" s="1937" t="s">
        <v>1273</v>
      </c>
      <c r="D9" s="1934">
        <f ca="1">IF('数据-取费表'!E3="否",结果表!I103,'结果表 (1修多)'!I104)</f>
        <v>6413</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295768</v>
      </c>
      <c r="E15" s="1927"/>
    </row>
    <row r="16" spans="1:5" ht="28.5">
      <c r="A16" s="1927"/>
      <c r="B16" s="2779"/>
      <c r="C16" s="1935" t="s">
        <v>1175</v>
      </c>
      <c r="D16" s="1934" t="str">
        <f ca="1">IF('数据-取费表'!B3="万元",NUMBERSTRING(INT(D15*10000),2)&amp;"元整",NUMBERSTRING(INT(D15),2)&amp;"元整")</f>
        <v>贰拾玖万伍仟柒佰陆拾捌元整</v>
      </c>
      <c r="E16" s="1927"/>
    </row>
    <row r="17" spans="1:5" ht="14.25">
      <c r="A17" s="1927"/>
      <c r="B17" s="2779"/>
      <c r="C17" s="1937" t="s">
        <v>1273</v>
      </c>
      <c r="D17" s="1934">
        <f ca="1">IF('数据-取费表'!E3="否",结果表!I111,'结果表 (1修多)'!I112)</f>
        <v>6413</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1273</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1274</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295768</v>
      </c>
      <c r="E28" s="1927"/>
    </row>
    <row r="29" spans="1:5" ht="28.5">
      <c r="A29" s="1927"/>
      <c r="B29" s="2758"/>
      <c r="C29" s="1946" t="s">
        <v>1175</v>
      </c>
      <c r="D29" s="1947" t="str">
        <f ca="1">IF('数据-取费表'!B3="万元",NUMBERSTRING(INT(D28*10000),2)&amp;"元整",NUMBERSTRING(INT(D28),2)&amp;"元整")</f>
        <v>贰拾玖万伍仟柒佰陆拾捌元整</v>
      </c>
      <c r="E29" s="1927"/>
    </row>
    <row r="30" spans="1:5" ht="14.25">
      <c r="A30" s="1927"/>
      <c r="B30" s="2759"/>
      <c r="C30" s="1937" t="s">
        <v>1178</v>
      </c>
      <c r="D30" s="1948">
        <f ca="1">IF('数据-取费表'!E3="否",结果表!I103,'结果表 (1修多)'!I104)</f>
        <v>6413</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295768</v>
      </c>
      <c r="E36" s="1927"/>
    </row>
    <row r="37" spans="1:5" ht="28.5">
      <c r="A37" s="1927"/>
      <c r="B37" s="2760"/>
      <c r="C37" s="1946" t="s">
        <v>1175</v>
      </c>
      <c r="D37" s="1951" t="str">
        <f ca="1">IF('数据-取费表'!B3="万元",NUMBERSTRING(INT(D36*10000),2)&amp;"元整",NUMBERSTRING(INT(D36),2)&amp;"元整")</f>
        <v>贰拾玖万伍仟柒佰陆拾捌元整</v>
      </c>
      <c r="E37" s="1927"/>
    </row>
    <row r="38" spans="1:5" ht="14.25">
      <c r="A38" s="1927"/>
      <c r="B38" s="2760"/>
      <c r="C38" s="1937" t="s">
        <v>1179</v>
      </c>
      <c r="D38" s="1948">
        <f ca="1">IF('数据-取费表'!E3="否",结果表!D113,'结果表 (1修多)'!D116)</f>
        <v>6413</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46.12</v>
      </c>
      <c r="C4" s="1049">
        <f>结果表!C121</f>
        <v>0</v>
      </c>
      <c r="D4" s="1049">
        <f ca="1">IF('数据-取费表'!E3="否",结果表!D121,'结果表 (1修多)'!D124)</f>
        <v>210584</v>
      </c>
      <c r="E4" s="1049">
        <f ca="1">IF('数据-取费表'!E3="否",结果表!E121,'结果表 (1修多)'!E124)</f>
        <v>4566</v>
      </c>
      <c r="F4" s="1049">
        <f ca="1">IF('数据-取费表'!E3="否",结果表!F121,'结果表 (1修多)'!F124)</f>
        <v>85184</v>
      </c>
      <c r="G4" s="1049">
        <f ca="1">IF('数据-取费表'!E3="否",结果表!G121,'结果表 (1修多)'!G124)</f>
        <v>1847</v>
      </c>
      <c r="H4" s="1049">
        <f ca="1">IF('数据-取费表'!E3="否",结果表!H121,'结果表 (1修多)'!H124)</f>
        <v>295768</v>
      </c>
      <c r="I4" s="1049">
        <f ca="1">IF('数据-取费表'!E3="否",结果表!I121,'结果表 (1修多)'!I124)</f>
        <v>6413</v>
      </c>
    </row>
    <row r="5" spans="1:9" ht="15">
      <c r="A5" s="2780" t="s">
        <v>1283</v>
      </c>
      <c r="B5" s="2780"/>
      <c r="C5" s="2780"/>
      <c r="D5" s="2781" t="str">
        <f ca="1">IF('数据-取费表'!E3="否",结果表!D122,'结果表 (1修多)'!D125)</f>
        <v>贰拾壹万零伍佰捌拾肆元整</v>
      </c>
      <c r="E5" s="2781"/>
      <c r="F5" s="2781" t="str">
        <f ca="1">IF('数据-取费表'!E3="否",结果表!F122,'结果表 (1修多)'!F125)</f>
        <v>捌万伍仟壹佰捌拾肆元整</v>
      </c>
      <c r="G5" s="2781"/>
      <c r="H5" s="2781" t="str">
        <f ca="1">IF('数据-取费表'!E3="否",结果表!H122,'结果表 (1修多)'!H125)</f>
        <v>贰拾玖万伍仟柒佰陆拾捌元整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1283</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295768</v>
      </c>
      <c r="E8" s="2782"/>
      <c r="F8" s="2782"/>
      <c r="G8" s="2782"/>
      <c r="H8" s="2782"/>
      <c r="I8" s="2782"/>
    </row>
    <row r="9" spans="1:9" ht="15">
      <c r="A9" s="2780" t="s">
        <v>1283</v>
      </c>
      <c r="B9" s="2780"/>
      <c r="C9" s="2780"/>
      <c r="D9" s="2781">
        <f ca="1">IF('数据-取费表'!E3="否",结果表!D126,'结果表 (1修多)'!D129)</f>
        <v>6413</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1283</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1297</v>
      </c>
      <c r="B1" s="2792"/>
      <c r="C1" s="2792"/>
      <c r="D1" s="2792"/>
    </row>
    <row r="2" spans="1:4" ht="18">
      <c r="A2" s="2791" t="s">
        <v>1285</v>
      </c>
      <c r="B2" s="2791"/>
      <c r="C2" s="2791"/>
      <c r="D2" s="279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1" t="s">
        <v>1290</v>
      </c>
      <c r="B7" s="2791"/>
      <c r="C7" s="2791"/>
      <c r="D7" s="279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3" t="s">
        <v>1299</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1300</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2018-10-10T03:15:54Z</dcterms:modified>
</cp:coreProperties>
</file>