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2)" sheetId="8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比较法-办公" sheetId="34" state="hidden" r:id="rId46"/>
    <sheet name="Sheet2" sheetId="79" r:id="rId47"/>
    <sheet name="Sheet1" sheetId="80" r:id="rId48"/>
    <sheet name="Sheet3" sheetId="81" r:id="rId49"/>
  </sheets>
  <externalReferences>
    <externalReference r:id="rId50"/>
    <externalReference r:id="rId51"/>
  </externalReferences>
  <definedNames>
    <definedName name="_xlnm._FilterDatabase" localSheetId="45" hidden="1">'比较法-办公'!$A$1:$L$50</definedName>
    <definedName name="_xlnm._FilterDatabase" localSheetId="21" hidden="1">'比较法-办公 (2)'!$A$1:$L$50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45">'比较法-办公'!$A$1:$K$55,'比较法-办公'!$A$58:$M$132</definedName>
    <definedName name="_xlnm.Print_Area" localSheetId="21">'比较法-办公 (2)'!$A$1:$K$55,'比较法-办公 (2)'!$A$58:$M$132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1">'比较法-办公 (2)'!$B$119:$M$119</definedName>
    <definedName name="办公层高">'比较法-办公'!$B$119:$M$119</definedName>
    <definedName name="办公朝向" localSheetId="21">'比较法-办公 (2)'!$B$91:$M$91</definedName>
    <definedName name="办公朝向">'比较法-办公'!$B$91:$M$91</definedName>
    <definedName name="办公道路级别" localSheetId="21">'比较法-办公 (2)'!$B$87:$M$87</definedName>
    <definedName name="办公道路级别">'比较法-办公'!$B$87:$M$87</definedName>
    <definedName name="办公公共部分装修" localSheetId="21">'比较法-办公 (2)'!$B$108:$M$108</definedName>
    <definedName name="办公公共部分装修">'比较法-办公'!$B$108:$M$108</definedName>
    <definedName name="办公基础设施水平" localSheetId="21">'比较法-办公 (2)'!$B$117:$M$117</definedName>
    <definedName name="办公基础设施水平">'比较法-办公'!$B$117:$M$117</definedName>
    <definedName name="办公集聚程度">定义!$M$1:$M$6</definedName>
    <definedName name="办公建筑结构" localSheetId="21">'比较法-办公 (2)'!$B$106:$M$106</definedName>
    <definedName name="办公建筑结构">'比较法-办公'!$B$106:$M$106</definedName>
    <definedName name="办公建筑类型" localSheetId="21">'比较法-办公 (2)'!$B$101:$M$101</definedName>
    <definedName name="办公建筑类型">'比较法-办公'!$B$101:$M$101</definedName>
    <definedName name="办公交易情况" localSheetId="21">'比较法-办公 (2)'!$A$62:$M$62</definedName>
    <definedName name="办公交易情况">'比较法-办公'!$A$62:$M$62</definedName>
    <definedName name="办公楼层" localSheetId="21">'比较法-办公 (2)'!$B$89:$M$89</definedName>
    <definedName name="办公楼层">'比较法-办公'!$B$89:$M$89</definedName>
    <definedName name="办公内部装修" localSheetId="21">'比较法-办公 (2)'!$B$123:$M$123</definedName>
    <definedName name="办公内部装修">'比较法-办公'!$B$123:$M$123</definedName>
    <definedName name="办公物业管理" localSheetId="21">'比较法-办公 (2)'!$B$115:$M$115</definedName>
    <definedName name="办公物业管理">'比较法-办公'!$B$115:$M$115</definedName>
    <definedName name="办公用途" localSheetId="21">'比较法-办公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 localSheetId="21">'比较法-办公 (2)'!$B$113:$M$113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Q74" i="80" l="1"/>
  <c r="P74" i="80"/>
  <c r="O74" i="80"/>
  <c r="P85" i="80"/>
  <c r="N85" i="80"/>
  <c r="J10" i="81" l="1"/>
  <c r="I37" i="82"/>
  <c r="G37" i="82"/>
  <c r="E37" i="82"/>
  <c r="C37" i="82"/>
  <c r="I37" i="34"/>
  <c r="G45" i="82"/>
  <c r="H46" i="82" l="1"/>
  <c r="AB46" i="82" s="1"/>
  <c r="G34" i="82"/>
  <c r="G5" i="82"/>
  <c r="B131" i="82"/>
  <c r="F47" i="82" s="1"/>
  <c r="AA47" i="82" s="1"/>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J32" i="82" s="1"/>
  <c r="B97" i="82"/>
  <c r="B95" i="82"/>
  <c r="H30" i="82" s="1"/>
  <c r="B93" i="82"/>
  <c r="D92" i="82"/>
  <c r="E92" i="82" s="1"/>
  <c r="F92" i="82" s="1"/>
  <c r="G92" i="82" s="1"/>
  <c r="H92" i="82" s="1"/>
  <c r="I92" i="82" s="1"/>
  <c r="J92" i="82" s="1"/>
  <c r="K92" i="82" s="1"/>
  <c r="L92" i="82" s="1"/>
  <c r="M92" i="82" s="1"/>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D86" i="82"/>
  <c r="E86" i="82" s="1"/>
  <c r="F86" i="82" s="1"/>
  <c r="G86" i="82" s="1"/>
  <c r="E84" i="82"/>
  <c r="F84" i="82" s="1"/>
  <c r="G84" i="82" s="1"/>
  <c r="D84" i="82"/>
  <c r="D82" i="82"/>
  <c r="E82" i="82" s="1"/>
  <c r="F82" i="82" s="1"/>
  <c r="G82" i="82" s="1"/>
  <c r="E80" i="82"/>
  <c r="F80" i="82" s="1"/>
  <c r="G80" i="82" s="1"/>
  <c r="D80" i="82"/>
  <c r="D78" i="82"/>
  <c r="E78" i="82" s="1"/>
  <c r="F78" i="82" s="1"/>
  <c r="G78" i="82" s="1"/>
  <c r="B75" i="82"/>
  <c r="J14" i="82" s="1"/>
  <c r="B73" i="82"/>
  <c r="B71" i="82"/>
  <c r="D70" i="82"/>
  <c r="E70" i="82" s="1"/>
  <c r="F70" i="82" s="1"/>
  <c r="G70" i="82" s="1"/>
  <c r="H70" i="82" s="1"/>
  <c r="M68" i="82"/>
  <c r="L68" i="82"/>
  <c r="K68" i="82"/>
  <c r="J68" i="82"/>
  <c r="I68" i="82"/>
  <c r="H68" i="82"/>
  <c r="G68" i="82"/>
  <c r="F68" i="82"/>
  <c r="E68" i="82"/>
  <c r="D68" i="82"/>
  <c r="C68" i="82"/>
  <c r="I67" i="82"/>
  <c r="G67" i="82"/>
  <c r="H67" i="82" s="1"/>
  <c r="F67" i="82"/>
  <c r="C64" i="82"/>
  <c r="J9" i="82" s="1"/>
  <c r="P50" i="82"/>
  <c r="P49" i="82"/>
  <c r="K49" i="82"/>
  <c r="V48" i="82"/>
  <c r="P48" i="82"/>
  <c r="I48" i="82"/>
  <c r="E48" i="82"/>
  <c r="R48" i="82" s="1"/>
  <c r="Q47" i="82"/>
  <c r="Z47" i="82" s="1"/>
  <c r="Q46" i="82"/>
  <c r="Z46" i="82" s="1"/>
  <c r="J46" i="82"/>
  <c r="AC46" i="82" s="1"/>
  <c r="F46" i="82"/>
  <c r="S46" i="82" s="1"/>
  <c r="Q45" i="82"/>
  <c r="Z45" i="82" s="1"/>
  <c r="I45" i="82"/>
  <c r="E45" i="82"/>
  <c r="F45" i="82" s="1"/>
  <c r="C45" i="82"/>
  <c r="H45" i="82" s="1"/>
  <c r="AC44" i="82"/>
  <c r="Q44" i="82"/>
  <c r="Z44" i="82" s="1"/>
  <c r="J44" i="82"/>
  <c r="W44" i="82" s="1"/>
  <c r="H44" i="82"/>
  <c r="AB44" i="82" s="1"/>
  <c r="F44" i="82"/>
  <c r="AA44" i="82" s="1"/>
  <c r="U43" i="82"/>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W40" i="82"/>
  <c r="Q40" i="82"/>
  <c r="Z40" i="82" s="1"/>
  <c r="J40" i="82"/>
  <c r="AC40" i="82" s="1"/>
  <c r="H40" i="82"/>
  <c r="AB40" i="82" s="1"/>
  <c r="F40" i="82"/>
  <c r="AA40" i="82" s="1"/>
  <c r="Q39" i="82"/>
  <c r="Z39" i="82" s="1"/>
  <c r="J39" i="82"/>
  <c r="AC39" i="82" s="1"/>
  <c r="H39" i="82"/>
  <c r="U39" i="82" s="1"/>
  <c r="F39" i="82"/>
  <c r="AA39" i="82" s="1"/>
  <c r="Q38" i="82"/>
  <c r="Z38" i="82" s="1"/>
  <c r="J38" i="82"/>
  <c r="AC38" i="82" s="1"/>
  <c r="H38" i="82"/>
  <c r="AB38" i="82" s="1"/>
  <c r="F38" i="82"/>
  <c r="S38" i="82" s="1"/>
  <c r="Q37" i="82"/>
  <c r="Z37" i="82" s="1"/>
  <c r="W36" i="82"/>
  <c r="Q36" i="82"/>
  <c r="Z36" i="82" s="1"/>
  <c r="J36" i="82"/>
  <c r="AC36" i="82" s="1"/>
  <c r="H36" i="82"/>
  <c r="AB36" i="82" s="1"/>
  <c r="F36" i="82"/>
  <c r="AA36" i="82" s="1"/>
  <c r="Q35" i="82"/>
  <c r="Z35" i="82" s="1"/>
  <c r="J35" i="82"/>
  <c r="AC35" i="82" s="1"/>
  <c r="H35" i="82"/>
  <c r="U35" i="82" s="1"/>
  <c r="F35" i="82"/>
  <c r="AA35" i="82" s="1"/>
  <c r="Q34" i="82"/>
  <c r="Z34" i="82" s="1"/>
  <c r="Q33" i="82"/>
  <c r="Z33" i="82" s="1"/>
  <c r="J33" i="82"/>
  <c r="W33" i="82" s="1"/>
  <c r="H33" i="82"/>
  <c r="AB33" i="82" s="1"/>
  <c r="F33" i="82"/>
  <c r="S33" i="82" s="1"/>
  <c r="Q32" i="82"/>
  <c r="Z32" i="82" s="1"/>
  <c r="Q31" i="82"/>
  <c r="Z31" i="82" s="1"/>
  <c r="J31" i="82"/>
  <c r="AC31" i="82" s="1"/>
  <c r="H31" i="82"/>
  <c r="AB31" i="82" s="1"/>
  <c r="F31" i="82"/>
  <c r="S31" i="82" s="1"/>
  <c r="AC30" i="82"/>
  <c r="Q30" i="82"/>
  <c r="Z30" i="82" s="1"/>
  <c r="J30" i="82"/>
  <c r="W30" i="82" s="1"/>
  <c r="F30" i="82"/>
  <c r="AA30" i="82" s="1"/>
  <c r="Q29" i="82"/>
  <c r="Z29" i="82" s="1"/>
  <c r="J29" i="82"/>
  <c r="AC29" i="82" s="1"/>
  <c r="H29" i="82"/>
  <c r="U29" i="82" s="1"/>
  <c r="F29" i="82"/>
  <c r="S29" i="82" s="1"/>
  <c r="Q28" i="82"/>
  <c r="Z28" i="82" s="1"/>
  <c r="J28" i="82"/>
  <c r="H28" i="82"/>
  <c r="U28" i="82" s="1"/>
  <c r="F28" i="82"/>
  <c r="S28" i="82" s="1"/>
  <c r="Q27" i="82"/>
  <c r="Z27" i="82" s="1"/>
  <c r="J27" i="82"/>
  <c r="AC27" i="82" s="1"/>
  <c r="H27" i="82"/>
  <c r="AB27" i="82" s="1"/>
  <c r="F27" i="82"/>
  <c r="AA27" i="82" s="1"/>
  <c r="Q25" i="82"/>
  <c r="Z25" i="82" s="1"/>
  <c r="J25" i="82"/>
  <c r="AC25" i="82" s="1"/>
  <c r="H25" i="82"/>
  <c r="F25" i="82"/>
  <c r="AA25" i="82" s="1"/>
  <c r="Q23" i="82"/>
  <c r="Z23" i="82" s="1"/>
  <c r="H23" i="82"/>
  <c r="AB23" i="82" s="1"/>
  <c r="F23" i="82"/>
  <c r="S23" i="82" s="1"/>
  <c r="C23" i="82"/>
  <c r="Q21" i="82"/>
  <c r="Z21" i="82" s="1"/>
  <c r="J21" i="82"/>
  <c r="AC21" i="82" s="1"/>
  <c r="H21" i="82"/>
  <c r="AB21" i="82" s="1"/>
  <c r="F21" i="82"/>
  <c r="AA21" i="82" s="1"/>
  <c r="C21" i="82"/>
  <c r="Q19" i="82"/>
  <c r="Z19" i="82" s="1"/>
  <c r="J19" i="82"/>
  <c r="AC19" i="82" s="1"/>
  <c r="H19" i="82"/>
  <c r="AB19" i="82" s="1"/>
  <c r="F19" i="82"/>
  <c r="S19" i="82" s="1"/>
  <c r="C19" i="82"/>
  <c r="Q17" i="82"/>
  <c r="Z17" i="82" s="1"/>
  <c r="J17" i="82"/>
  <c r="AC17" i="82" s="1"/>
  <c r="H17" i="82"/>
  <c r="AB17" i="82" s="1"/>
  <c r="F17" i="82"/>
  <c r="AA17" i="82" s="1"/>
  <c r="C17" i="82"/>
  <c r="Q15" i="82"/>
  <c r="Z15" i="82" s="1"/>
  <c r="J15" i="82"/>
  <c r="AC15" i="82" s="1"/>
  <c r="H15" i="82"/>
  <c r="AB15" i="82" s="1"/>
  <c r="F15" i="82"/>
  <c r="S15" i="82" s="1"/>
  <c r="C15" i="82"/>
  <c r="S14" i="82"/>
  <c r="Q14" i="82"/>
  <c r="Z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J10" i="82"/>
  <c r="AC10" i="82" s="1"/>
  <c r="H10" i="82"/>
  <c r="U10" i="82" s="1"/>
  <c r="F10" i="82"/>
  <c r="AA10" i="82" s="1"/>
  <c r="Q9" i="82"/>
  <c r="Z9" i="82" s="1"/>
  <c r="H9" i="82"/>
  <c r="AB9" i="82" s="1"/>
  <c r="F9" i="82"/>
  <c r="AA9" i="82" s="1"/>
  <c r="J8" i="82"/>
  <c r="AC8" i="82" s="1"/>
  <c r="H8" i="82"/>
  <c r="F8" i="82"/>
  <c r="AA8" i="82" s="1"/>
  <c r="I5" i="82"/>
  <c r="E5" i="82"/>
  <c r="H10" i="81"/>
  <c r="G48" i="82" s="1"/>
  <c r="G55" i="82" s="1"/>
  <c r="H55" i="82" s="1"/>
  <c r="H6" i="81"/>
  <c r="D2" i="82"/>
  <c r="AB30" i="82" l="1"/>
  <c r="U30" i="82"/>
  <c r="AA23" i="82"/>
  <c r="AB29" i="82"/>
  <c r="AA33" i="82"/>
  <c r="H47" i="82"/>
  <c r="AB47" i="82" s="1"/>
  <c r="AA19" i="82"/>
  <c r="AA28" i="82"/>
  <c r="W31" i="82"/>
  <c r="J23" i="82"/>
  <c r="AC23" i="82" s="1"/>
  <c r="AB28" i="82"/>
  <c r="AA31" i="82"/>
  <c r="J45" i="82"/>
  <c r="J47" i="82"/>
  <c r="AC47" i="82" s="1"/>
  <c r="AA29" i="82"/>
  <c r="AB35" i="82"/>
  <c r="W8" i="82"/>
  <c r="S8" i="82"/>
  <c r="AA15" i="82"/>
  <c r="AB10" i="82"/>
  <c r="S21" i="82"/>
  <c r="AC14" i="82"/>
  <c r="W14" i="82"/>
  <c r="U8" i="82"/>
  <c r="AB8" i="82"/>
  <c r="S9" i="82"/>
  <c r="I70" i="82"/>
  <c r="J70" i="82" s="1"/>
  <c r="K70" i="82" s="1"/>
  <c r="L70" i="82" s="1"/>
  <c r="M70" i="82" s="1"/>
  <c r="W12" i="82"/>
  <c r="S17" i="82"/>
  <c r="AC9" i="82"/>
  <c r="W9" i="82"/>
  <c r="AB25" i="82"/>
  <c r="U25" i="82"/>
  <c r="W27" i="82"/>
  <c r="W29" i="82"/>
  <c r="AB39" i="82"/>
  <c r="U9" i="82"/>
  <c r="S13" i="82"/>
  <c r="U14" i="82"/>
  <c r="U17" i="82"/>
  <c r="U21" i="82"/>
  <c r="W25" i="82"/>
  <c r="AC45" i="82"/>
  <c r="W45" i="82"/>
  <c r="AA46" i="82"/>
  <c r="AC32" i="82"/>
  <c r="W32" i="82"/>
  <c r="F112" i="82"/>
  <c r="S12" i="82"/>
  <c r="U13" i="82"/>
  <c r="W17" i="82"/>
  <c r="W19" i="82"/>
  <c r="W21" i="82"/>
  <c r="S27" i="82"/>
  <c r="F32" i="82"/>
  <c r="AA38" i="82"/>
  <c r="U47" i="82"/>
  <c r="I55" i="82"/>
  <c r="J55" i="82" s="1"/>
  <c r="S42" i="82"/>
  <c r="AB45" i="82"/>
  <c r="U45" i="82"/>
  <c r="W10" i="82"/>
  <c r="U15" i="82"/>
  <c r="U19" i="82"/>
  <c r="U23" i="82"/>
  <c r="AC33" i="82"/>
  <c r="W15" i="82"/>
  <c r="S10" i="82"/>
  <c r="U12" i="82"/>
  <c r="W13" i="82"/>
  <c r="S25" i="82"/>
  <c r="U27" i="82"/>
  <c r="AC28" i="82"/>
  <c r="W28" i="82"/>
  <c r="H32" i="82"/>
  <c r="AA45" i="82"/>
  <c r="S45" i="82"/>
  <c r="U33" i="82"/>
  <c r="W35" i="82"/>
  <c r="U38" i="82"/>
  <c r="W39" i="82"/>
  <c r="S41" i="82"/>
  <c r="U42" i="82"/>
  <c r="W43" i="82"/>
  <c r="U46" i="82"/>
  <c r="W47" i="82"/>
  <c r="E55" i="82"/>
  <c r="F55" i="82" s="1"/>
  <c r="S36" i="82"/>
  <c r="W38" i="82"/>
  <c r="S40" i="82"/>
  <c r="U41" i="82"/>
  <c r="W42" i="82"/>
  <c r="S44" i="82"/>
  <c r="W46" i="82"/>
  <c r="S30" i="82"/>
  <c r="U31" i="82"/>
  <c r="S35" i="82"/>
  <c r="U36" i="82"/>
  <c r="S39" i="82"/>
  <c r="U40" i="82"/>
  <c r="W41" i="82"/>
  <c r="S43" i="82"/>
  <c r="U44" i="82"/>
  <c r="S47" i="82"/>
  <c r="T48" i="82"/>
  <c r="G45" i="34"/>
  <c r="H77" i="80"/>
  <c r="I77" i="80" s="1"/>
  <c r="G48" i="34" s="1"/>
  <c r="I48" i="34"/>
  <c r="E48" i="34"/>
  <c r="I45" i="34"/>
  <c r="E45" i="34"/>
  <c r="C45" i="34"/>
  <c r="W23" i="82" l="1"/>
  <c r="S32" i="82"/>
  <c r="AA32" i="82"/>
  <c r="G112" i="82"/>
  <c r="H112" i="82" s="1"/>
  <c r="I112" i="82" s="1"/>
  <c r="J112" i="82" s="1"/>
  <c r="K112" i="82" s="1"/>
  <c r="L112" i="82" s="1"/>
  <c r="M112" i="82" s="1"/>
  <c r="H37" i="82"/>
  <c r="F37" i="82"/>
  <c r="J37" i="82"/>
  <c r="AB32" i="82"/>
  <c r="U32" i="82"/>
  <c r="I42" i="15"/>
  <c r="AA37" i="82" l="1"/>
  <c r="S37" i="82"/>
  <c r="AB37" i="82"/>
  <c r="U37" i="82"/>
  <c r="AC37" i="82"/>
  <c r="W37" i="82"/>
  <c r="M38" i="78"/>
  <c r="M39" i="78" s="1"/>
  <c r="H31" i="78"/>
  <c r="C57" i="78" l="1"/>
  <c r="P77" i="80" l="1"/>
  <c r="G3" i="78"/>
  <c r="K7" i="78"/>
  <c r="J5" i="78"/>
  <c r="J4" i="78"/>
  <c r="J3" i="78"/>
  <c r="M3" i="78" s="1"/>
  <c r="G11" i="78"/>
  <c r="G10" i="78"/>
  <c r="G4" i="78"/>
  <c r="G5" i="78"/>
  <c r="G6" i="78"/>
  <c r="J6" i="78" s="1"/>
  <c r="M6" i="78" s="1"/>
  <c r="G15" i="78" l="1"/>
  <c r="I15" i="78" s="1"/>
  <c r="J7" i="78"/>
  <c r="M7" i="78" s="1"/>
  <c r="G14" i="78"/>
  <c r="I14" i="78" s="1"/>
  <c r="I5" i="34"/>
  <c r="G5" i="34"/>
  <c r="E5" i="34"/>
  <c r="I112" i="80"/>
  <c r="O91" i="80"/>
  <c r="P91" i="80" s="1"/>
  <c r="N91" i="80"/>
  <c r="M91" i="80"/>
  <c r="S86" i="80"/>
  <c r="R86" i="80"/>
  <c r="S83" i="80"/>
  <c r="M83" i="80" s="1"/>
  <c r="P83" i="80"/>
  <c r="N83" i="80"/>
  <c r="N77" i="80"/>
  <c r="P75" i="80"/>
  <c r="P73" i="80"/>
  <c r="N73" i="80"/>
  <c r="L26" i="9"/>
  <c r="K26" i="9"/>
  <c r="M26" i="9" s="1"/>
  <c r="J8" i="78" l="1"/>
  <c r="I16" i="78"/>
  <c r="M13" i="3"/>
  <c r="I13" i="3"/>
  <c r="M27" i="78" l="1"/>
  <c r="J20" i="78" l="1"/>
  <c r="L20" i="78" s="1"/>
  <c r="J19" i="78"/>
  <c r="L19" i="78" s="1"/>
  <c r="K5" i="78"/>
  <c r="M5" i="78" s="1"/>
  <c r="K4" i="78"/>
  <c r="M4" i="78" s="1"/>
  <c r="K22" i="78" l="1"/>
  <c r="M8" i="78"/>
  <c r="K8" i="78" s="1"/>
  <c r="N21" i="1" l="1"/>
  <c r="N23" i="1" s="1"/>
  <c r="N6" i="1" s="1"/>
  <c r="Y6" i="1" s="1"/>
  <c r="K13" i="3"/>
  <c r="G7" i="78"/>
  <c r="H16" i="78" s="1"/>
  <c r="G19" i="6" l="1"/>
  <c r="F19" i="6"/>
  <c r="G15" i="73"/>
  <c r="F15" i="73"/>
  <c r="E15" i="73"/>
  <c r="G16" i="73" l="1"/>
  <c r="F16" i="73"/>
  <c r="E16" i="73"/>
  <c r="G13" i="73" l="1"/>
  <c r="F13" i="73"/>
  <c r="E13" i="73"/>
  <c r="C6" i="68"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6" i="71"/>
  <c r="AG6" i="71"/>
  <c r="AE6" i="71"/>
  <c r="AF6" i="71" s="1"/>
  <c r="AD6" i="71"/>
  <c r="Q6" i="71"/>
  <c r="P6" i="71"/>
  <c r="O6" i="71"/>
  <c r="N6" i="71"/>
  <c r="D32" i="77" l="1"/>
  <c r="C32" i="77"/>
  <c r="C38" i="77" s="1"/>
  <c r="C39" i="77" s="1"/>
  <c r="R25" i="77"/>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C7" i="68" s="1"/>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B19" i="72" s="1"/>
  <c r="K59" i="67"/>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H9" i="43"/>
  <c r="AG9" i="43"/>
  <c r="AF9" i="43"/>
  <c r="AE9" i="43"/>
  <c r="AD9" i="43"/>
  <c r="AC9" i="43"/>
  <c r="AB9" i="43"/>
  <c r="AA9" i="43"/>
  <c r="AA12" i="43" s="1"/>
  <c r="Z9" i="43"/>
  <c r="K49" i="9"/>
  <c r="E107" i="9"/>
  <c r="A122" i="9" s="1"/>
  <c r="A8" i="52" s="1"/>
  <c r="E111" i="9"/>
  <c r="A126" i="9" s="1"/>
  <c r="E109" i="9"/>
  <c r="A124" i="9" s="1"/>
  <c r="B44" i="72"/>
  <c r="B42" i="72"/>
  <c r="B69" i="72"/>
  <c r="B68" i="72"/>
  <c r="B63" i="72"/>
  <c r="B62" i="72"/>
  <c r="B16" i="72"/>
  <c r="B65" i="72"/>
  <c r="B66"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B81" i="71"/>
  <c r="B80" i="71" s="1"/>
  <c r="B79" i="71" s="1"/>
  <c r="D78" i="71"/>
  <c r="Q77" i="71"/>
  <c r="P77" i="71"/>
  <c r="O77" i="71"/>
  <c r="N77" i="71"/>
  <c r="F77" i="71"/>
  <c r="V77" i="71" s="1"/>
  <c r="E77" i="71"/>
  <c r="U77" i="71" s="1"/>
  <c r="C77" i="7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Q65" i="71" s="1"/>
  <c r="E65" i="71"/>
  <c r="P65" i="71" s="1"/>
  <c r="C65" i="71"/>
  <c r="D65" i="71" s="1"/>
  <c r="B65"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D58" i="71"/>
  <c r="Q57" i="71"/>
  <c r="P57" i="71"/>
  <c r="O57" i="71"/>
  <c r="N57" i="71"/>
  <c r="Q56" i="71"/>
  <c r="P56" i="71"/>
  <c r="O56" i="71"/>
  <c r="N56" i="71"/>
  <c r="Q55" i="71"/>
  <c r="P55" i="71"/>
  <c r="O55" i="71"/>
  <c r="N55" i="71"/>
  <c r="Q54" i="71"/>
  <c r="F55" i="71" s="1"/>
  <c r="F56" i="71" s="1"/>
  <c r="F57" i="71" s="1"/>
  <c r="V57" i="71" s="1"/>
  <c r="P54" i="71"/>
  <c r="E55" i="71" s="1"/>
  <c r="O54" i="71"/>
  <c r="C55" i="71" s="1"/>
  <c r="C56" i="71" s="1"/>
  <c r="N54" i="71"/>
  <c r="B55"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s="1"/>
  <c r="B41" i="71" s="1"/>
  <c r="S41" i="71" s="1"/>
  <c r="D38" i="71"/>
  <c r="Q37" i="71"/>
  <c r="P37" i="71"/>
  <c r="O37" i="71"/>
  <c r="N37" i="71"/>
  <c r="Q36" i="71"/>
  <c r="AB36" i="71" s="1"/>
  <c r="P36" i="71"/>
  <c r="O36" i="71"/>
  <c r="N36" i="71"/>
  <c r="X36" i="71" s="1"/>
  <c r="Q35" i="71"/>
  <c r="P35" i="71"/>
  <c r="AA35" i="71" s="1"/>
  <c r="O35" i="71"/>
  <c r="Y35" i="71" s="1"/>
  <c r="Z35" i="71" s="1"/>
  <c r="N35" i="71"/>
  <c r="Q34" i="71"/>
  <c r="F35" i="71" s="1"/>
  <c r="P34" i="71"/>
  <c r="O34" i="71"/>
  <c r="N34" i="71"/>
  <c r="B35" i="71" s="1"/>
  <c r="B36" i="71" s="1"/>
  <c r="D34" i="71"/>
  <c r="Q33" i="71"/>
  <c r="P33" i="71"/>
  <c r="O33" i="71"/>
  <c r="N33" i="71"/>
  <c r="Q32" i="71"/>
  <c r="P32" i="71"/>
  <c r="O32" i="71"/>
  <c r="N32" i="71"/>
  <c r="Q31" i="71"/>
  <c r="AB31" i="71" s="1"/>
  <c r="P31" i="71"/>
  <c r="O31" i="71"/>
  <c r="N31" i="71"/>
  <c r="Q30" i="71"/>
  <c r="P30" i="71"/>
  <c r="O30" i="71"/>
  <c r="C31" i="71" s="1"/>
  <c r="N30" i="71"/>
  <c r="B31" i="71" s="1"/>
  <c r="B32" i="71" s="1"/>
  <c r="D30" i="71"/>
  <c r="Q29" i="71"/>
  <c r="P29" i="71"/>
  <c r="O29" i="71"/>
  <c r="N29" i="71"/>
  <c r="Q28" i="71"/>
  <c r="P28" i="71"/>
  <c r="O28" i="71"/>
  <c r="N28" i="71"/>
  <c r="Q27" i="71"/>
  <c r="P27" i="71"/>
  <c r="O27" i="71"/>
  <c r="N27" i="71"/>
  <c r="Q26" i="71"/>
  <c r="F27" i="71" s="1"/>
  <c r="F28" i="71" s="1"/>
  <c r="F29" i="71" s="1"/>
  <c r="V29" i="71" s="1"/>
  <c r="P26" i="71"/>
  <c r="O26" i="71"/>
  <c r="C27" i="71" s="1"/>
  <c r="N26" i="71"/>
  <c r="D26" i="71"/>
  <c r="O25" i="71"/>
  <c r="C25" i="71" s="1"/>
  <c r="D25" i="71" s="1"/>
  <c r="N25" i="71"/>
  <c r="B27" i="71"/>
  <c r="B28" i="71" s="1"/>
  <c r="E27" i="71"/>
  <c r="E28" i="71" s="1"/>
  <c r="E29" i="71" s="1"/>
  <c r="U29" i="71" s="1"/>
  <c r="E35" i="71"/>
  <c r="E36" i="71" s="1"/>
  <c r="Y30" i="71"/>
  <c r="Z30" i="71" s="1"/>
  <c r="B25" i="71"/>
  <c r="D43" i="71"/>
  <c r="P25" i="71"/>
  <c r="U65" i="71"/>
  <c r="E64" i="71"/>
  <c r="E63" i="71" s="1"/>
  <c r="Q25" i="71"/>
  <c r="F25" i="71" s="1"/>
  <c r="F24" i="71" s="1"/>
  <c r="F23" i="71" s="1"/>
  <c r="D55" i="71"/>
  <c r="T65" i="71"/>
  <c r="O65" i="71"/>
  <c r="C64" i="71"/>
  <c r="O64" i="71" s="1"/>
  <c r="E72" i="71"/>
  <c r="E71" i="71"/>
  <c r="D77" i="71"/>
  <c r="E25" i="71"/>
  <c r="E24" i="71" s="1"/>
  <c r="P6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c r="H25" i="40"/>
  <c r="AB25" i="40" s="1"/>
  <c r="J25" i="40"/>
  <c r="AC25" i="40" s="1"/>
  <c r="H29" i="39"/>
  <c r="J29" i="39"/>
  <c r="AC29" i="39" s="1"/>
  <c r="J18" i="36"/>
  <c r="AC18" i="36" s="1"/>
  <c r="H18" i="35"/>
  <c r="AB18" i="35" s="1"/>
  <c r="S18" i="35"/>
  <c r="J18" i="35"/>
  <c r="H21" i="37"/>
  <c r="AB21" i="37" s="1"/>
  <c r="F21" i="37"/>
  <c r="AA21" i="37" s="1"/>
  <c r="F84" i="34"/>
  <c r="G84" i="34" s="1"/>
  <c r="H21" i="34"/>
  <c r="H21" i="33"/>
  <c r="U21" i="33" s="1"/>
  <c r="F21" i="33"/>
  <c r="AA21" i="33" s="1"/>
  <c r="H1" i="69"/>
  <c r="W25" i="40"/>
  <c r="U25" i="40"/>
  <c r="W18" i="36"/>
  <c r="U21" i="37"/>
  <c r="AB21" i="33"/>
  <c r="J21" i="37"/>
  <c r="J21" i="34"/>
  <c r="AC21" i="34" s="1"/>
  <c r="J21" i="33"/>
  <c r="AC21" i="33" s="1"/>
  <c r="H21" i="21"/>
  <c r="AB21" i="21" s="1"/>
  <c r="F38" i="69"/>
  <c r="E37" i="69"/>
  <c r="F36" i="69"/>
  <c r="F35" i="69"/>
  <c r="F21" i="69"/>
  <c r="F40" i="69" s="1"/>
  <c r="F20" i="69"/>
  <c r="F39" i="69" s="1"/>
  <c r="E10" i="69"/>
  <c r="E9" i="69"/>
  <c r="C7" i="69"/>
  <c r="W21" i="33"/>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s="1"/>
  <c r="K63" i="43"/>
  <c r="J63" i="43" s="1"/>
  <c r="M62" i="43"/>
  <c r="N62" i="43" s="1"/>
  <c r="K62" i="43"/>
  <c r="J62" i="43"/>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C59" i="82" s="1"/>
  <c r="F15" i="4"/>
  <c r="F8" i="1"/>
  <c r="F9" i="1"/>
  <c r="G9" i="1" s="1"/>
  <c r="F10" i="1"/>
  <c r="F11" i="1"/>
  <c r="F12" i="1"/>
  <c r="G12" i="1" s="1"/>
  <c r="F13" i="1"/>
  <c r="G13" i="1" s="1"/>
  <c r="D6" i="1"/>
  <c r="D9" i="1"/>
  <c r="D10" i="1"/>
  <c r="D11" i="1"/>
  <c r="D12" i="1"/>
  <c r="D13" i="1"/>
  <c r="D7" i="1"/>
  <c r="D8" i="1"/>
  <c r="A7" i="1"/>
  <c r="A8" i="1"/>
  <c r="B8" i="1" s="1"/>
  <c r="E8" i="1" s="1"/>
  <c r="A9" i="1"/>
  <c r="A10" i="1"/>
  <c r="K10" i="1" s="1"/>
  <c r="A11" i="1"/>
  <c r="A12" i="1"/>
  <c r="A13" i="1"/>
  <c r="B13" i="1" s="1"/>
  <c r="E13" i="1" s="1"/>
  <c r="A6" i="1"/>
  <c r="B11" i="1"/>
  <c r="E11" i="1" s="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U36" i="39" s="1"/>
  <c r="J30" i="36"/>
  <c r="H30" i="36"/>
  <c r="F30" i="36"/>
  <c r="C26" i="35"/>
  <c r="J31" i="35"/>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s="1"/>
  <c r="F9" i="40"/>
  <c r="S9" i="40" s="1"/>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c r="F92" i="39" s="1"/>
  <c r="G92" i="39" s="1"/>
  <c r="D90" i="39"/>
  <c r="E90" i="39" s="1"/>
  <c r="F90" i="39" s="1"/>
  <c r="G90" i="39" s="1"/>
  <c r="D88" i="39"/>
  <c r="E88" i="39" s="1"/>
  <c r="F88" i="39" s="1"/>
  <c r="G88" i="39" s="1"/>
  <c r="B85" i="39"/>
  <c r="F14" i="39" s="1"/>
  <c r="B83" i="39"/>
  <c r="F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E71" i="37" s="1"/>
  <c r="H15" i="37"/>
  <c r="B68" i="37"/>
  <c r="H14" i="37" s="1"/>
  <c r="B66" i="37"/>
  <c r="B64" i="37"/>
  <c r="J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D68" i="36"/>
  <c r="E68" i="36" s="1"/>
  <c r="F68" i="36" s="1"/>
  <c r="G68" i="36" s="1"/>
  <c r="D64" i="36"/>
  <c r="E64" i="36" s="1"/>
  <c r="F64" i="36" s="1"/>
  <c r="G64" i="36" s="1"/>
  <c r="J16" i="36"/>
  <c r="D62" i="36"/>
  <c r="E62" i="36" s="1"/>
  <c r="F62" i="36" s="1"/>
  <c r="G62" i="36" s="1"/>
  <c r="B59" i="36"/>
  <c r="F13" i="36" s="1"/>
  <c r="S13" i="36" s="1"/>
  <c r="B57" i="36"/>
  <c r="J12" i="36" s="1"/>
  <c r="AC12" i="36" s="1"/>
  <c r="B55" i="36"/>
  <c r="F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B99" i="35"/>
  <c r="B97" i="35"/>
  <c r="B77" i="35"/>
  <c r="B75" i="35"/>
  <c r="B73" i="35"/>
  <c r="H23" i="35" s="1"/>
  <c r="U23" i="35" s="1"/>
  <c r="B57" i="35"/>
  <c r="H11" i="35" s="1"/>
  <c r="B61" i="35"/>
  <c r="B59" i="35"/>
  <c r="H12" i="35" s="1"/>
  <c r="B131" i="34"/>
  <c r="B129" i="34"/>
  <c r="J46" i="34" s="1"/>
  <c r="AC46" i="34" s="1"/>
  <c r="B127" i="34"/>
  <c r="B99" i="34"/>
  <c r="F32" i="34" s="1"/>
  <c r="B97" i="34"/>
  <c r="B95" i="34"/>
  <c r="H30" i="34" s="1"/>
  <c r="B93" i="34"/>
  <c r="B75" i="34"/>
  <c r="F14" i="34" s="1"/>
  <c r="B73" i="34"/>
  <c r="B71" i="34"/>
  <c r="F12" i="34" s="1"/>
  <c r="B130" i="33"/>
  <c r="B128" i="33"/>
  <c r="H45" i="33" s="1"/>
  <c r="B126" i="33"/>
  <c r="B98" i="33"/>
  <c r="F31" i="33" s="1"/>
  <c r="B96" i="33"/>
  <c r="B94" i="33"/>
  <c r="H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Q9" i="34"/>
  <c r="Z9" i="34" s="1"/>
  <c r="J8" i="34"/>
  <c r="AC8" i="34" s="1"/>
  <c r="H8" i="34"/>
  <c r="U8" i="34" s="1"/>
  <c r="F8" i="34"/>
  <c r="S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6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B126" i="21"/>
  <c r="J44" i="21" s="1"/>
  <c r="B98" i="21"/>
  <c r="B96" i="21"/>
  <c r="B94" i="21"/>
  <c r="J29" i="21" s="1"/>
  <c r="AC29" i="21" s="1"/>
  <c r="B92" i="21"/>
  <c r="B90" i="21"/>
  <c r="B74" i="21"/>
  <c r="B72" i="21"/>
  <c r="H13"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J39" i="21"/>
  <c r="AC39" i="21" s="1"/>
  <c r="Q39" i="21"/>
  <c r="Z39" i="21" s="1"/>
  <c r="H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Y11" i="43" s="1"/>
  <c r="Y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H10" i="2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35" i="39"/>
  <c r="AC35" i="39" s="1"/>
  <c r="U9" i="39"/>
  <c r="U30" i="37"/>
  <c r="E103" i="37"/>
  <c r="F103" i="37" s="1"/>
  <c r="G103" i="37" s="1"/>
  <c r="H103" i="37" s="1"/>
  <c r="I103" i="37" s="1"/>
  <c r="J103" i="37" s="1"/>
  <c r="K103" i="37" s="1"/>
  <c r="L103" i="37" s="1"/>
  <c r="M103" i="37" s="1"/>
  <c r="F39" i="37"/>
  <c r="S39" i="37" s="1"/>
  <c r="F29" i="36"/>
  <c r="AA29" i="36" s="1"/>
  <c r="F16" i="36"/>
  <c r="AA16" i="36" s="1"/>
  <c r="W28" i="36"/>
  <c r="W31" i="36"/>
  <c r="U31" i="36"/>
  <c r="H22" i="35"/>
  <c r="AB22" i="35" s="1"/>
  <c r="U31" i="35"/>
  <c r="W22" i="35"/>
  <c r="F36" i="34"/>
  <c r="J35" i="34"/>
  <c r="W35" i="34" s="1"/>
  <c r="H39" i="33"/>
  <c r="AB39" i="33" s="1"/>
  <c r="W33" i="33"/>
  <c r="H39" i="37"/>
  <c r="AB39" i="37" s="1"/>
  <c r="F11" i="40"/>
  <c r="AA11" i="40" s="1"/>
  <c r="H11" i="40"/>
  <c r="AB11" i="40" s="1"/>
  <c r="AC9" i="40"/>
  <c r="U9" i="40"/>
  <c r="S34" i="40"/>
  <c r="U34" i="40"/>
  <c r="U40" i="40"/>
  <c r="F42" i="39"/>
  <c r="AA42" i="39" s="1"/>
  <c r="F41" i="39"/>
  <c r="S41" i="39" s="1"/>
  <c r="H40" i="39"/>
  <c r="AB40" i="39" s="1"/>
  <c r="H39" i="39"/>
  <c r="H34" i="39"/>
  <c r="U34" i="39" s="1"/>
  <c r="H31" i="39"/>
  <c r="AB31" i="39" s="1"/>
  <c r="F31" i="39"/>
  <c r="AA31" i="39" s="1"/>
  <c r="H19" i="39"/>
  <c r="AB19" i="39" s="1"/>
  <c r="F19" i="39"/>
  <c r="AA19" i="39" s="1"/>
  <c r="H17" i="39"/>
  <c r="F17" i="39"/>
  <c r="J23" i="40"/>
  <c r="AC23" i="40"/>
  <c r="F21" i="40"/>
  <c r="S21" i="40" s="1"/>
  <c r="AA21" i="40"/>
  <c r="J21" i="40"/>
  <c r="W21" i="40"/>
  <c r="H42" i="39"/>
  <c r="AB42" i="39" s="1"/>
  <c r="J34" i="39"/>
  <c r="AC34" i="39" s="1"/>
  <c r="J31" i="39"/>
  <c r="H27" i="39"/>
  <c r="U27" i="39" s="1"/>
  <c r="J19" i="39"/>
  <c r="AC19" i="39" s="1"/>
  <c r="J17" i="39"/>
  <c r="AC17" i="39" s="1"/>
  <c r="J27" i="39"/>
  <c r="AC27" i="39" s="1"/>
  <c r="F27" i="39"/>
  <c r="F11" i="21"/>
  <c r="C27" i="39"/>
  <c r="H11" i="39"/>
  <c r="U11" i="39" s="1"/>
  <c r="H32" i="33"/>
  <c r="AB32" i="33"/>
  <c r="H11" i="21"/>
  <c r="J11" i="21"/>
  <c r="W11" i="21" s="1"/>
  <c r="H37" i="40"/>
  <c r="U37" i="40" s="1"/>
  <c r="H36" i="40"/>
  <c r="AB36" i="40"/>
  <c r="F35" i="40"/>
  <c r="H23" i="40"/>
  <c r="AB23" i="40" s="1"/>
  <c r="H17" i="40"/>
  <c r="U17" i="40" s="1"/>
  <c r="J15" i="40"/>
  <c r="W15" i="40" s="1"/>
  <c r="J11" i="40"/>
  <c r="W11" i="40" s="1"/>
  <c r="F37" i="39"/>
  <c r="AA37" i="39"/>
  <c r="U30" i="36"/>
  <c r="J30" i="35"/>
  <c r="W30" i="35" s="1"/>
  <c r="H30" i="35"/>
  <c r="F22" i="35"/>
  <c r="H10" i="35"/>
  <c r="U10" i="35" s="1"/>
  <c r="W30" i="36"/>
  <c r="H16" i="36"/>
  <c r="AB16" i="36" s="1"/>
  <c r="E85" i="36"/>
  <c r="F85" i="36" s="1"/>
  <c r="G85" i="36" s="1"/>
  <c r="H85" i="36" s="1"/>
  <c r="I85" i="36" s="1"/>
  <c r="J85" i="36" s="1"/>
  <c r="K85" i="36" s="1"/>
  <c r="L85" i="36" s="1"/>
  <c r="M85" i="36" s="1"/>
  <c r="J29" i="36"/>
  <c r="AC29" i="36" s="1"/>
  <c r="F12" i="36"/>
  <c r="S12" i="36" s="1"/>
  <c r="F24" i="36"/>
  <c r="AA24" i="36" s="1"/>
  <c r="S10" i="36"/>
  <c r="F14" i="35"/>
  <c r="AA14" i="35" s="1"/>
  <c r="F23" i="35"/>
  <c r="AA23" i="35" s="1"/>
  <c r="J32" i="35"/>
  <c r="AC32" i="35" s="1"/>
  <c r="J16" i="35"/>
  <c r="AC16" i="35" s="1"/>
  <c r="H16" i="35"/>
  <c r="U16" i="35" s="1"/>
  <c r="F16" i="35"/>
  <c r="S16" i="35" s="1"/>
  <c r="H14" i="35"/>
  <c r="J29" i="35"/>
  <c r="AC29" i="35" s="1"/>
  <c r="H33" i="35"/>
  <c r="AB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E114" i="34"/>
  <c r="F114" i="34" s="1"/>
  <c r="G114" i="34" s="1"/>
  <c r="H114" i="34" s="1"/>
  <c r="I114" i="34" s="1"/>
  <c r="J114" i="34" s="1"/>
  <c r="K114" i="34" s="1"/>
  <c r="L114" i="34" s="1"/>
  <c r="M114" i="34" s="1"/>
  <c r="H36" i="34"/>
  <c r="U36" i="34" s="1"/>
  <c r="F37" i="34"/>
  <c r="AA37" i="34" s="1"/>
  <c r="S35" i="34"/>
  <c r="F27" i="34"/>
  <c r="F25" i="34"/>
  <c r="S25" i="34" s="1"/>
  <c r="F41" i="33"/>
  <c r="S38" i="33"/>
  <c r="F32" i="33"/>
  <c r="AA32" i="33" s="1"/>
  <c r="J19" i="33"/>
  <c r="AC19" i="33" s="1"/>
  <c r="J15" i="33"/>
  <c r="AC15" i="33"/>
  <c r="F11" i="33"/>
  <c r="AA11" i="33" s="1"/>
  <c r="U40" i="33"/>
  <c r="F37" i="40"/>
  <c r="AA37" i="40" s="1"/>
  <c r="F36" i="40"/>
  <c r="AA36" i="40" s="1"/>
  <c r="H28" i="40"/>
  <c r="U28" i="40" s="1"/>
  <c r="F23" i="40"/>
  <c r="F17" i="40"/>
  <c r="AA17" i="40" s="1"/>
  <c r="J17" i="40"/>
  <c r="W17" i="40" s="1"/>
  <c r="F15" i="40"/>
  <c r="S15" i="40" s="1"/>
  <c r="H15" i="40"/>
  <c r="AB15" i="40" s="1"/>
  <c r="AC11" i="40"/>
  <c r="AA12" i="36"/>
  <c r="AB30" i="36"/>
  <c r="U33" i="35"/>
  <c r="F29" i="35"/>
  <c r="H29" i="35"/>
  <c r="AB29" i="35" s="1"/>
  <c r="H33" i="37"/>
  <c r="U33" i="37" s="1"/>
  <c r="AB33" i="37"/>
  <c r="F33" i="37"/>
  <c r="AA33" i="37" s="1"/>
  <c r="U34" i="37"/>
  <c r="W33" i="37"/>
  <c r="S34" i="37"/>
  <c r="J43" i="34"/>
  <c r="AB42" i="34"/>
  <c r="J40" i="34"/>
  <c r="W40" i="34" s="1"/>
  <c r="H38" i="34"/>
  <c r="AB38" i="34" s="1"/>
  <c r="J36" i="34"/>
  <c r="H37" i="34"/>
  <c r="U37" i="34" s="1"/>
  <c r="H25" i="34"/>
  <c r="J25" i="34"/>
  <c r="AC25" i="34" s="1"/>
  <c r="J19" i="34"/>
  <c r="AC19" i="34" s="1"/>
  <c r="F17" i="34"/>
  <c r="AA17" i="34" s="1"/>
  <c r="J17" i="34"/>
  <c r="W17" i="34" s="1"/>
  <c r="H37" i="33"/>
  <c r="AB37" i="33" s="1"/>
  <c r="H15" i="33"/>
  <c r="AB15" i="33" s="1"/>
  <c r="H11" i="33"/>
  <c r="U11" i="33" s="1"/>
  <c r="AB11" i="33"/>
  <c r="F28" i="40"/>
  <c r="AA28" i="40" s="1"/>
  <c r="AC38" i="34"/>
  <c r="J37" i="34"/>
  <c r="AC37" i="34" s="1"/>
  <c r="J11" i="33"/>
  <c r="W11" i="33" s="1"/>
  <c r="U23" i="40"/>
  <c r="J42" i="21"/>
  <c r="AC42" i="21" s="1"/>
  <c r="H42" i="21"/>
  <c r="U42" i="21" s="1"/>
  <c r="J44" i="34"/>
  <c r="W44" i="34" s="1"/>
  <c r="F44" i="34"/>
  <c r="AA44" i="34" s="1"/>
  <c r="J10" i="35"/>
  <c r="W10" i="35" s="1"/>
  <c r="E119" i="21"/>
  <c r="F119" i="21" s="1"/>
  <c r="G119" i="21" s="1"/>
  <c r="H119" i="21" s="1"/>
  <c r="I119" i="21" s="1"/>
  <c r="J119" i="21" s="1"/>
  <c r="K119" i="21" s="1"/>
  <c r="L119" i="21" s="1"/>
  <c r="M119" i="21" s="1"/>
  <c r="J28" i="33"/>
  <c r="W28" i="33" s="1"/>
  <c r="F33" i="35"/>
  <c r="S33" i="35" s="1"/>
  <c r="J33" i="35"/>
  <c r="AC33" i="35" s="1"/>
  <c r="F30" i="35"/>
  <c r="S30" i="35" s="1"/>
  <c r="H10" i="36"/>
  <c r="J14" i="36"/>
  <c r="AC14" i="36" s="1"/>
  <c r="H14" i="36"/>
  <c r="U14" i="36" s="1"/>
  <c r="F28" i="36"/>
  <c r="AA28" i="36" s="1"/>
  <c r="J13" i="21"/>
  <c r="AC13" i="21" s="1"/>
  <c r="H29" i="21"/>
  <c r="U29" i="21" s="1"/>
  <c r="F27" i="33"/>
  <c r="AA27" i="33" s="1"/>
  <c r="H13" i="33"/>
  <c r="AB13" i="33" s="1"/>
  <c r="J29" i="33"/>
  <c r="F29" i="33"/>
  <c r="S29" i="33" s="1"/>
  <c r="H31" i="33"/>
  <c r="AB31" i="33" s="1"/>
  <c r="J45" i="33"/>
  <c r="J14" i="34"/>
  <c r="W14" i="34" s="1"/>
  <c r="H14" i="34"/>
  <c r="J30" i="34"/>
  <c r="J32" i="34"/>
  <c r="J11" i="35"/>
  <c r="J26" i="36"/>
  <c r="W26" i="36" s="1"/>
  <c r="H28" i="36"/>
  <c r="U28" i="36" s="1"/>
  <c r="H32" i="36"/>
  <c r="AB32" i="36" s="1"/>
  <c r="J32" i="36"/>
  <c r="W32" i="36" s="1"/>
  <c r="J11" i="36"/>
  <c r="AC11" i="36" s="1"/>
  <c r="J13" i="36"/>
  <c r="AC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H14" i="33"/>
  <c r="U14" i="33" s="1"/>
  <c r="F14" i="33"/>
  <c r="J14" i="33"/>
  <c r="AC14" i="33" s="1"/>
  <c r="H30" i="33"/>
  <c r="AB30" i="33" s="1"/>
  <c r="F30" i="33"/>
  <c r="J30" i="33"/>
  <c r="H44" i="33"/>
  <c r="U44" i="33" s="1"/>
  <c r="J44" i="33"/>
  <c r="AC44" i="33" s="1"/>
  <c r="F44" i="33"/>
  <c r="J46" i="33"/>
  <c r="AC46" i="33" s="1"/>
  <c r="F46" i="33"/>
  <c r="AA46" i="33" s="1"/>
  <c r="H46" i="33"/>
  <c r="H13" i="34"/>
  <c r="J13" i="34"/>
  <c r="W13" i="34" s="1"/>
  <c r="F13" i="34"/>
  <c r="AA13" i="34" s="1"/>
  <c r="J29" i="34"/>
  <c r="AC29" i="34" s="1"/>
  <c r="F29" i="34"/>
  <c r="S29" i="34" s="1"/>
  <c r="H29" i="34"/>
  <c r="AB29" i="34" s="1"/>
  <c r="J31" i="34"/>
  <c r="H31" i="34"/>
  <c r="AB31" i="34" s="1"/>
  <c r="F31" i="34"/>
  <c r="S31" i="34" s="1"/>
  <c r="H45" i="34"/>
  <c r="U45" i="34" s="1"/>
  <c r="J45" i="34"/>
  <c r="F45" i="34"/>
  <c r="S45" i="34" s="1"/>
  <c r="H47" i="34"/>
  <c r="U47" i="34" s="1"/>
  <c r="F47" i="34"/>
  <c r="S47" i="34"/>
  <c r="J47" i="34"/>
  <c r="AC47" i="34" s="1"/>
  <c r="F13" i="35"/>
  <c r="S13" i="35" s="1"/>
  <c r="J13" i="35"/>
  <c r="H13" i="35"/>
  <c r="J25" i="35"/>
  <c r="W25" i="35" s="1"/>
  <c r="F25" i="35"/>
  <c r="S25" i="35" s="1"/>
  <c r="H25" i="35"/>
  <c r="AB25" i="35" s="1"/>
  <c r="J35" i="35"/>
  <c r="AC35" i="35"/>
  <c r="F35" i="35"/>
  <c r="H35" i="35"/>
  <c r="AB35" i="35" s="1"/>
  <c r="F43" i="39"/>
  <c r="AA43" i="39" s="1"/>
  <c r="H43" i="39"/>
  <c r="J14" i="39"/>
  <c r="AC14" i="39" s="1"/>
  <c r="H14" i="39"/>
  <c r="AB14" i="39" s="1"/>
  <c r="F12" i="40"/>
  <c r="S12" i="40" s="1"/>
  <c r="H30" i="40"/>
  <c r="AB30" i="40" s="1"/>
  <c r="J35" i="40"/>
  <c r="J37" i="40"/>
  <c r="AC37" i="40" s="1"/>
  <c r="H13" i="40"/>
  <c r="U13" i="40" s="1"/>
  <c r="J13" i="40"/>
  <c r="W13" i="40" s="1"/>
  <c r="F13" i="40"/>
  <c r="AA13" i="40" s="1"/>
  <c r="F14" i="37"/>
  <c r="F27" i="37"/>
  <c r="AA27" i="37" s="1"/>
  <c r="J14" i="37"/>
  <c r="J27" i="37"/>
  <c r="AC27" i="37" s="1"/>
  <c r="J36" i="37"/>
  <c r="AC36" i="37" s="1"/>
  <c r="J10" i="36"/>
  <c r="F17" i="21"/>
  <c r="AA17" i="21" s="1"/>
  <c r="H17" i="21"/>
  <c r="AB17" i="21" s="1"/>
  <c r="F15" i="21"/>
  <c r="J41" i="39"/>
  <c r="W41" i="39" s="1"/>
  <c r="G544" i="3"/>
  <c r="G540" i="3"/>
  <c r="G536" i="3"/>
  <c r="G535" i="3"/>
  <c r="G532" i="3"/>
  <c r="G531" i="3"/>
  <c r="G528" i="3"/>
  <c r="G527" i="3"/>
  <c r="G523" i="3"/>
  <c r="G518" i="3"/>
  <c r="G514" i="3"/>
  <c r="G510" i="3"/>
  <c r="G508" i="3"/>
  <c r="G504" i="3"/>
  <c r="G500" i="3"/>
  <c r="G496" i="3"/>
  <c r="G584" i="3"/>
  <c r="G576" i="3"/>
  <c r="G568" i="3"/>
  <c r="G564" i="3"/>
  <c r="G560" i="3"/>
  <c r="G554" i="3"/>
  <c r="G550" i="3"/>
  <c r="BL584" i="3"/>
  <c r="BL568" i="3"/>
  <c r="BL564" i="3"/>
  <c r="BL560" i="3"/>
  <c r="AZ560" i="3" s="1"/>
  <c r="BL554" i="3"/>
  <c r="BL546" i="3"/>
  <c r="BL542" i="3"/>
  <c r="BL538" i="3"/>
  <c r="BL534" i="3"/>
  <c r="BL530" i="3"/>
  <c r="BL526" i="3"/>
  <c r="BL522" i="3"/>
  <c r="BL516" i="3"/>
  <c r="BL512" i="3"/>
  <c r="BL506" i="3"/>
  <c r="BL502" i="3"/>
  <c r="BL498" i="3"/>
  <c r="BL494" i="3"/>
  <c r="BL570" i="3"/>
  <c r="BL566" i="3"/>
  <c r="BL562" i="3"/>
  <c r="BL556" i="3"/>
  <c r="BL552" i="3"/>
  <c r="BL544" i="3"/>
  <c r="BL540" i="3"/>
  <c r="BL536" i="3"/>
  <c r="AZ536" i="3" s="1"/>
  <c r="G533" i="3"/>
  <c r="BL532" i="3"/>
  <c r="G529" i="3"/>
  <c r="BL528" i="3"/>
  <c r="G525" i="3"/>
  <c r="BL524" i="3"/>
  <c r="BL518" i="3"/>
  <c r="BL514" i="3"/>
  <c r="BL510" i="3"/>
  <c r="BL504" i="3"/>
  <c r="BL500" i="3"/>
  <c r="BL496" i="3"/>
  <c r="G493" i="3"/>
  <c r="BA570" i="3"/>
  <c r="AZ570" i="3" s="1"/>
  <c r="BA568" i="3"/>
  <c r="BA566" i="3"/>
  <c r="BA564" i="3"/>
  <c r="BA562" i="3"/>
  <c r="AZ562" i="3" s="1"/>
  <c r="BA560" i="3"/>
  <c r="BA558" i="3"/>
  <c r="BA556" i="3"/>
  <c r="BA554" i="3"/>
  <c r="AZ554" i="3" s="1"/>
  <c r="BA552" i="3"/>
  <c r="BA548" i="3"/>
  <c r="BA546" i="3"/>
  <c r="BA544" i="3"/>
  <c r="AZ544" i="3" s="1"/>
  <c r="BA542" i="3"/>
  <c r="AZ542" i="3"/>
  <c r="BA540" i="3"/>
  <c r="BA538" i="3"/>
  <c r="BA536" i="3"/>
  <c r="BA534" i="3"/>
  <c r="AZ534" i="3" s="1"/>
  <c r="BA532" i="3"/>
  <c r="AZ532" i="3"/>
  <c r="BA530" i="3"/>
  <c r="BA528" i="3"/>
  <c r="BA526" i="3"/>
  <c r="AZ526" i="3" s="1"/>
  <c r="BA524" i="3"/>
  <c r="AZ524" i="3" s="1"/>
  <c r="BA522" i="3"/>
  <c r="BA520" i="3"/>
  <c r="BA518" i="3"/>
  <c r="BA516" i="3"/>
  <c r="AZ516" i="3" s="1"/>
  <c r="BA514" i="3"/>
  <c r="BA512" i="3"/>
  <c r="BA510" i="3"/>
  <c r="BA508" i="3"/>
  <c r="BA506" i="3"/>
  <c r="BA504" i="3"/>
  <c r="BA502" i="3"/>
  <c r="BA500" i="3"/>
  <c r="BA498" i="3"/>
  <c r="AZ498" i="3" s="1"/>
  <c r="BA496" i="3"/>
  <c r="BA494" i="3"/>
  <c r="BA573"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BA513" i="3"/>
  <c r="BA511" i="3"/>
  <c r="BA507" i="3"/>
  <c r="BA505" i="3"/>
  <c r="BA503" i="3"/>
  <c r="BA501" i="3"/>
  <c r="BA499" i="3"/>
  <c r="BA497" i="3"/>
  <c r="BA495" i="3"/>
  <c r="BA493" i="3"/>
  <c r="G581" i="3"/>
  <c r="G579" i="3"/>
  <c r="G577" i="3"/>
  <c r="G571" i="3"/>
  <c r="G569" i="3"/>
  <c r="G567" i="3"/>
  <c r="G565" i="3"/>
  <c r="G563" i="3"/>
  <c r="G561" i="3"/>
  <c r="BL558" i="3"/>
  <c r="BA557" i="3"/>
  <c r="AC557" i="3"/>
  <c r="BQ557" i="3"/>
  <c r="BL557" i="3" s="1"/>
  <c r="BQ583" i="3"/>
  <c r="BQ581" i="3"/>
  <c r="BQ579" i="3"/>
  <c r="BQ577" i="3"/>
  <c r="BQ575" i="3"/>
  <c r="BQ573" i="3"/>
  <c r="BQ571" i="3"/>
  <c r="BL571" i="3"/>
  <c r="BQ569" i="3"/>
  <c r="BL569" i="3" s="1"/>
  <c r="BQ567" i="3"/>
  <c r="BL567" i="3" s="1"/>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AZ545" i="3" s="1"/>
  <c r="BQ543" i="3"/>
  <c r="BL543" i="3" s="1"/>
  <c r="BQ541" i="3"/>
  <c r="BL541" i="3" s="1"/>
  <c r="BQ539" i="3"/>
  <c r="BL539" i="3" s="1"/>
  <c r="BQ537" i="3"/>
  <c r="BL537" i="3" s="1"/>
  <c r="AZ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BL520" i="3"/>
  <c r="G519" i="3"/>
  <c r="G517" i="3"/>
  <c r="G515" i="3"/>
  <c r="G513" i="3"/>
  <c r="G511" i="3"/>
  <c r="BQ519" i="3"/>
  <c r="BL519" i="3" s="1"/>
  <c r="BQ517" i="3"/>
  <c r="BL517" i="3" s="1"/>
  <c r="BQ515" i="3"/>
  <c r="BL515" i="3" s="1"/>
  <c r="AZ515" i="3"/>
  <c r="BQ513" i="3"/>
  <c r="BL513" i="3" s="1"/>
  <c r="BQ511" i="3"/>
  <c r="BL511" i="3" s="1"/>
  <c r="BA509" i="3"/>
  <c r="AZ509" i="3" s="1"/>
  <c r="AC509" i="3"/>
  <c r="G509" i="3" s="1"/>
  <c r="BQ509" i="3"/>
  <c r="BL509" i="3"/>
  <c r="BL508" i="3"/>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F10" i="35"/>
  <c r="S10" i="35" s="1"/>
  <c r="H23" i="37"/>
  <c r="AB23" i="37" s="1"/>
  <c r="J32" i="37"/>
  <c r="AC32" i="37" s="1"/>
  <c r="F36" i="37"/>
  <c r="AA36" i="37" s="1"/>
  <c r="F37" i="37"/>
  <c r="AA37" i="37" s="1"/>
  <c r="F31" i="40"/>
  <c r="AA31" i="40" s="1"/>
  <c r="H31" i="40"/>
  <c r="U31" i="40" s="1"/>
  <c r="F32" i="40"/>
  <c r="S32" i="40" s="1"/>
  <c r="H32" i="40"/>
  <c r="AB32" i="40" s="1"/>
  <c r="J36" i="40"/>
  <c r="H19" i="37"/>
  <c r="AB19" i="37" s="1"/>
  <c r="H42" i="33"/>
  <c r="AB42" i="33" s="1"/>
  <c r="J43" i="33"/>
  <c r="AC43" i="33" s="1"/>
  <c r="S28" i="31"/>
  <c r="S27" i="31"/>
  <c r="S26" i="31"/>
  <c r="AC32" i="36"/>
  <c r="U35" i="35"/>
  <c r="AA12" i="35"/>
  <c r="W47" i="34"/>
  <c r="U19" i="21"/>
  <c r="U26" i="21"/>
  <c r="F43" i="33"/>
  <c r="AA43" i="33" s="1"/>
  <c r="W40" i="37"/>
  <c r="H37" i="21"/>
  <c r="U37" i="21" s="1"/>
  <c r="S42" i="21"/>
  <c r="H19" i="34"/>
  <c r="AB19" i="34" s="1"/>
  <c r="J9" i="37"/>
  <c r="W9" i="37" s="1"/>
  <c r="H9" i="37"/>
  <c r="F9" i="37"/>
  <c r="S9" i="37" s="1"/>
  <c r="H12" i="37"/>
  <c r="F12" i="37"/>
  <c r="S12" i="37" s="1"/>
  <c r="F15" i="37"/>
  <c r="AA15" i="37" s="1"/>
  <c r="E94" i="37"/>
  <c r="F94" i="37" s="1"/>
  <c r="G94" i="37" s="1"/>
  <c r="H94" i="37" s="1"/>
  <c r="I94" i="37" s="1"/>
  <c r="J94" i="37" s="1"/>
  <c r="K94" i="37" s="1"/>
  <c r="L94" i="37" s="1"/>
  <c r="M94" i="37" s="1"/>
  <c r="F31" i="37"/>
  <c r="S31" i="37" s="1"/>
  <c r="F12" i="39"/>
  <c r="S12" i="39" s="1"/>
  <c r="J42" i="39"/>
  <c r="AC42" i="39" s="1"/>
  <c r="H21" i="40"/>
  <c r="H31" i="37"/>
  <c r="U31" i="37" s="1"/>
  <c r="F71" i="37"/>
  <c r="G71" i="37" s="1"/>
  <c r="J15" i="37"/>
  <c r="W15" i="37" s="1"/>
  <c r="AT6" i="3"/>
  <c r="C12" i="43"/>
  <c r="H19" i="40"/>
  <c r="U19" i="40" s="1"/>
  <c r="F88" i="40"/>
  <c r="G88" i="40" s="1"/>
  <c r="F19" i="40"/>
  <c r="W23" i="39"/>
  <c r="AC43" i="39"/>
  <c r="W43" i="39"/>
  <c r="U45" i="39"/>
  <c r="AB45" i="39"/>
  <c r="H37" i="39"/>
  <c r="AB37" i="39" s="1"/>
  <c r="AC37" i="39"/>
  <c r="W37" i="39"/>
  <c r="H25" i="39"/>
  <c r="AB25" i="39" s="1"/>
  <c r="J25" i="39"/>
  <c r="F25" i="39"/>
  <c r="AA25" i="39" s="1"/>
  <c r="F15" i="39"/>
  <c r="AA15" i="39" s="1"/>
  <c r="H15" i="39"/>
  <c r="U15" i="39" s="1"/>
  <c r="J15" i="39"/>
  <c r="W15" i="39" s="1"/>
  <c r="H41" i="39"/>
  <c r="W27" i="39"/>
  <c r="AB34" i="39"/>
  <c r="S42" i="39"/>
  <c r="AA41" i="39"/>
  <c r="W9" i="39"/>
  <c r="W8" i="39"/>
  <c r="J19" i="40"/>
  <c r="AC19" i="40" s="1"/>
  <c r="J50" i="40"/>
  <c r="B54" i="72"/>
  <c r="H103" i="9"/>
  <c r="D8" i="53" s="1"/>
  <c r="B16" i="53"/>
  <c r="B33" i="72" s="1"/>
  <c r="C7" i="37"/>
  <c r="C7" i="34"/>
  <c r="C59" i="34" s="1"/>
  <c r="D59" i="34" s="1"/>
  <c r="E59" i="34" s="1"/>
  <c r="F59" i="34" s="1"/>
  <c r="G59" i="34" s="1"/>
  <c r="H59" i="34" s="1"/>
  <c r="I59" i="34" s="1"/>
  <c r="J59" i="34" s="1"/>
  <c r="C7" i="36"/>
  <c r="A118" i="9"/>
  <c r="A4" i="52"/>
  <c r="B41" i="72" s="1"/>
  <c r="J11" i="39"/>
  <c r="F11" i="39"/>
  <c r="A12" i="52"/>
  <c r="B56" i="72" s="1"/>
  <c r="G4" i="4"/>
  <c r="I4" i="4"/>
  <c r="A2" i="9"/>
  <c r="F59" i="43"/>
  <c r="H62" i="43" s="1"/>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AZ345" i="3" s="1"/>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AZ192" i="3" s="1"/>
  <c r="G193" i="3"/>
  <c r="BA195" i="3"/>
  <c r="BL196" i="3"/>
  <c r="G197" i="3"/>
  <c r="BA199" i="3"/>
  <c r="BL200" i="3"/>
  <c r="G201" i="3"/>
  <c r="BA203" i="3"/>
  <c r="AZ203" i="3" s="1"/>
  <c r="BL204" i="3"/>
  <c r="AZ204" i="3" s="1"/>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s="1"/>
  <c r="BA321" i="3"/>
  <c r="AZ321" i="3" s="1"/>
  <c r="BL321" i="3"/>
  <c r="G322" i="3"/>
  <c r="G325" i="3"/>
  <c r="BL326" i="3"/>
  <c r="BA328" i="3"/>
  <c r="AZ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AZ388" i="3" s="1"/>
  <c r="G389" i="3"/>
  <c r="BA391" i="3"/>
  <c r="AZ391" i="3"/>
  <c r="BL392" i="3"/>
  <c r="G393" i="3"/>
  <c r="BM5" i="3"/>
  <c r="AZ309" i="3"/>
  <c r="AZ506" i="3"/>
  <c r="G548" i="3"/>
  <c r="G538" i="3"/>
  <c r="G520" i="3"/>
  <c r="G502" i="3"/>
  <c r="BI5" i="3"/>
  <c r="G17" i="3"/>
  <c r="BA17" i="3"/>
  <c r="BA15" i="3"/>
  <c r="AZ394" i="3"/>
  <c r="AZ376" i="3"/>
  <c r="U36" i="40"/>
  <c r="F36" i="43"/>
  <c r="F81" i="43"/>
  <c r="H83" i="43" s="1"/>
  <c r="H113" i="43"/>
  <c r="F48" i="43"/>
  <c r="H56" i="43" s="1"/>
  <c r="F70" i="43"/>
  <c r="H73" i="43" s="1"/>
  <c r="M11" i="43"/>
  <c r="D17" i="43"/>
  <c r="F39" i="43"/>
  <c r="I17" i="43"/>
  <c r="F35" i="43"/>
  <c r="J17" i="43"/>
  <c r="F6" i="1"/>
  <c r="G6" i="1" s="1"/>
  <c r="U35" i="21"/>
  <c r="G8" i="1"/>
  <c r="G10" i="1"/>
  <c r="AC44" i="34"/>
  <c r="S15" i="37"/>
  <c r="J37" i="33"/>
  <c r="W37" i="33" s="1"/>
  <c r="AC17" i="34"/>
  <c r="F106" i="33"/>
  <c r="G106" i="33" s="1"/>
  <c r="H106" i="33" s="1"/>
  <c r="I106" i="33" s="1"/>
  <c r="J106" i="33" s="1"/>
  <c r="K106" i="33" s="1"/>
  <c r="L106" i="33" s="1"/>
  <c r="M106" i="33" s="1"/>
  <c r="J34" i="33"/>
  <c r="F33" i="34"/>
  <c r="S33" i="34" s="1"/>
  <c r="W12" i="36"/>
  <c r="H20" i="36"/>
  <c r="J20" i="36"/>
  <c r="J27" i="36"/>
  <c r="W27" i="36" s="1"/>
  <c r="H35" i="40"/>
  <c r="AB35" i="40" s="1"/>
  <c r="W29" i="35"/>
  <c r="H35" i="37"/>
  <c r="AC14" i="35"/>
  <c r="H20" i="35"/>
  <c r="U20" i="35" s="1"/>
  <c r="F20" i="35"/>
  <c r="AA20" i="35" s="1"/>
  <c r="AB23" i="35"/>
  <c r="AB29" i="36"/>
  <c r="U29" i="36"/>
  <c r="H32" i="37"/>
  <c r="AB32" i="37" s="1"/>
  <c r="F96" i="37"/>
  <c r="G96" i="37" s="1"/>
  <c r="H96" i="37" s="1"/>
  <c r="I96" i="37" s="1"/>
  <c r="J96" i="37" s="1"/>
  <c r="K96" i="37" s="1"/>
  <c r="L96" i="37" s="1"/>
  <c r="M96" i="37" s="1"/>
  <c r="H27" i="40"/>
  <c r="U27" i="40" s="1"/>
  <c r="J27" i="40"/>
  <c r="W27" i="40" s="1"/>
  <c r="F27" i="40"/>
  <c r="S27" i="40" s="1"/>
  <c r="J30" i="40"/>
  <c r="W30" i="40" s="1"/>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c r="J39" i="34"/>
  <c r="W39" i="34" s="1"/>
  <c r="F40" i="34"/>
  <c r="S40" i="34" s="1"/>
  <c r="F43" i="34"/>
  <c r="AA43" i="34" s="1"/>
  <c r="H44" i="34"/>
  <c r="U44" i="34" s="1"/>
  <c r="AC38" i="39"/>
  <c r="F39" i="39"/>
  <c r="S39" i="39" s="1"/>
  <c r="J39" i="39"/>
  <c r="AC39" i="39" s="1"/>
  <c r="C40" i="11"/>
  <c r="H75"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D93" i="9"/>
  <c r="W27" i="34"/>
  <c r="AC27" i="34"/>
  <c r="AC12" i="39"/>
  <c r="W12" i="39"/>
  <c r="AA32" i="36"/>
  <c r="S32" i="36"/>
  <c r="AA39" i="34"/>
  <c r="BL14" i="3"/>
  <c r="AA47" i="34"/>
  <c r="S19" i="39"/>
  <c r="F12" i="33"/>
  <c r="H12" i="39"/>
  <c r="AB12" i="39" s="1"/>
  <c r="F39" i="40"/>
  <c r="AA39" i="40" s="1"/>
  <c r="BA14" i="3"/>
  <c r="S12" i="1"/>
  <c r="AQ12" i="1" s="1"/>
  <c r="R12" i="1"/>
  <c r="B12" i="1"/>
  <c r="E12" i="1" s="1"/>
  <c r="S10" i="1"/>
  <c r="AQ10" i="1" s="1"/>
  <c r="R10" i="1"/>
  <c r="B10" i="1"/>
  <c r="E10" i="1" s="1"/>
  <c r="K12" i="1"/>
  <c r="M12" i="1" s="1"/>
  <c r="S13" i="1"/>
  <c r="AR13" i="1" s="1"/>
  <c r="R13" i="1"/>
  <c r="S11" i="1"/>
  <c r="AQ11" i="1" s="1"/>
  <c r="R11" i="1"/>
  <c r="S9" i="1"/>
  <c r="AR9" i="1" s="1"/>
  <c r="R9" i="1"/>
  <c r="J51" i="67"/>
  <c r="C42" i="1"/>
  <c r="C24" i="12" s="1"/>
  <c r="H100" i="43"/>
  <c r="J100" i="43"/>
  <c r="AA32" i="40"/>
  <c r="S17" i="40"/>
  <c r="AC17" i="40"/>
  <c r="AC15" i="40"/>
  <c r="AB27" i="40"/>
  <c r="S28" i="40"/>
  <c r="AA27" i="40"/>
  <c r="AB19" i="40"/>
  <c r="U37" i="39"/>
  <c r="S37" i="39"/>
  <c r="F32" i="39"/>
  <c r="AA32" i="39" s="1"/>
  <c r="F106" i="39"/>
  <c r="G106" i="39" s="1"/>
  <c r="H106" i="39" s="1"/>
  <c r="I106" i="39" s="1"/>
  <c r="J106" i="39" s="1"/>
  <c r="K106" i="39" s="1"/>
  <c r="L106" i="39" s="1"/>
  <c r="M106" i="39" s="1"/>
  <c r="AB27" i="39"/>
  <c r="U31" i="39"/>
  <c r="J21" i="39"/>
  <c r="W21" i="39" s="1"/>
  <c r="F21" i="39"/>
  <c r="G94" i="39"/>
  <c r="H21" i="39"/>
  <c r="AB21" i="39" s="1"/>
  <c r="W19" i="39"/>
  <c r="U19" i="39"/>
  <c r="S15" i="39"/>
  <c r="AA12" i="39"/>
  <c r="S9" i="39"/>
  <c r="U14" i="39"/>
  <c r="S23" i="36"/>
  <c r="AC27" i="36"/>
  <c r="S27" i="36"/>
  <c r="AA26" i="36"/>
  <c r="S29" i="36"/>
  <c r="W14" i="36"/>
  <c r="AB14" i="36"/>
  <c r="S16" i="36"/>
  <c r="S24" i="36"/>
  <c r="U16" i="36"/>
  <c r="S14" i="36"/>
  <c r="AA25" i="35"/>
  <c r="S23" i="35"/>
  <c r="U29" i="35"/>
  <c r="U28" i="35"/>
  <c r="AB27" i="35"/>
  <c r="U32" i="35"/>
  <c r="AA33" i="35"/>
  <c r="AC30" i="35"/>
  <c r="S32" i="35"/>
  <c r="W32" i="35"/>
  <c r="AB16" i="35"/>
  <c r="U22" i="35"/>
  <c r="AC20" i="35"/>
  <c r="AC10" i="35"/>
  <c r="AB10" i="35"/>
  <c r="AC9" i="35"/>
  <c r="W9" i="35"/>
  <c r="AC12" i="35"/>
  <c r="F9" i="35"/>
  <c r="AA9" i="35" s="1"/>
  <c r="H9" i="35"/>
  <c r="W27" i="37"/>
  <c r="AC29" i="37"/>
  <c r="U29" i="37"/>
  <c r="W30" i="37"/>
  <c r="AC35" i="37"/>
  <c r="W39" i="37"/>
  <c r="S30" i="37"/>
  <c r="S37" i="37"/>
  <c r="J17" i="37"/>
  <c r="W17" i="37" s="1"/>
  <c r="G73" i="37"/>
  <c r="F17" i="37"/>
  <c r="S17" i="37" s="1"/>
  <c r="AA17" i="37"/>
  <c r="F75" i="37"/>
  <c r="G75" i="37" s="1"/>
  <c r="F19" i="37"/>
  <c r="F79" i="37"/>
  <c r="F23" i="37"/>
  <c r="S23" i="37" s="1"/>
  <c r="AA9" i="37"/>
  <c r="H10" i="37"/>
  <c r="F63" i="37"/>
  <c r="G63" i="37" s="1"/>
  <c r="F11" i="37"/>
  <c r="S11" i="37" s="1"/>
  <c r="W25" i="34"/>
  <c r="AB8" i="34"/>
  <c r="AA33" i="34"/>
  <c r="U43" i="34"/>
  <c r="AC39" i="34"/>
  <c r="AC42" i="34"/>
  <c r="AB35" i="34"/>
  <c r="U39" i="34"/>
  <c r="S43" i="34"/>
  <c r="AB41" i="34"/>
  <c r="AA25" i="34"/>
  <c r="S17" i="34"/>
  <c r="AA29" i="34"/>
  <c r="S13" i="34"/>
  <c r="W42" i="33"/>
  <c r="S32" i="33"/>
  <c r="AA29" i="33"/>
  <c r="W38" i="33"/>
  <c r="H41" i="33"/>
  <c r="F121" i="33"/>
  <c r="G121" i="33" s="1"/>
  <c r="H121" i="33" s="1"/>
  <c r="I121" i="33" s="1"/>
  <c r="J121" i="33" s="1"/>
  <c r="K121" i="33" s="1"/>
  <c r="L121" i="33" s="1"/>
  <c r="M121" i="33" s="1"/>
  <c r="U42" i="33"/>
  <c r="S42" i="33"/>
  <c r="F36" i="33"/>
  <c r="S36" i="33" s="1"/>
  <c r="G111" i="33"/>
  <c r="H111" i="33" s="1"/>
  <c r="I111" i="33" s="1"/>
  <c r="J111" i="33" s="1"/>
  <c r="K111" i="33" s="1"/>
  <c r="L111" i="33" s="1"/>
  <c r="M111" i="33" s="1"/>
  <c r="J35" i="33"/>
  <c r="AC35" i="33" s="1"/>
  <c r="S37" i="33"/>
  <c r="AA37" i="33"/>
  <c r="S39" i="33"/>
  <c r="J32" i="33"/>
  <c r="AC32" i="33" s="1"/>
  <c r="S43" i="33"/>
  <c r="F91" i="33"/>
  <c r="H27" i="33"/>
  <c r="U27" i="33" s="1"/>
  <c r="F87" i="33"/>
  <c r="G87" i="33" s="1"/>
  <c r="H87" i="33" s="1"/>
  <c r="I87" i="33" s="1"/>
  <c r="J87" i="33" s="1"/>
  <c r="K87" i="33" s="1"/>
  <c r="L87" i="33" s="1"/>
  <c r="M87" i="33" s="1"/>
  <c r="H25" i="33"/>
  <c r="U25" i="33" s="1"/>
  <c r="F25" i="33"/>
  <c r="J23" i="33"/>
  <c r="AC23" i="33" s="1"/>
  <c r="F85" i="33"/>
  <c r="H23" i="33"/>
  <c r="F19" i="33"/>
  <c r="W19" i="33"/>
  <c r="J17" i="33"/>
  <c r="F79" i="33"/>
  <c r="S15" i="33"/>
  <c r="W15" i="33"/>
  <c r="J10" i="33"/>
  <c r="H10" i="33"/>
  <c r="U10" i="33" s="1"/>
  <c r="AA10" i="33"/>
  <c r="AC11" i="33"/>
  <c r="AB14" i="33"/>
  <c r="W36" i="21"/>
  <c r="W41" i="21"/>
  <c r="AB39" i="21"/>
  <c r="AA43" i="21"/>
  <c r="S39" i="21"/>
  <c r="AA38" i="21"/>
  <c r="AA36" i="21"/>
  <c r="J15" i="21"/>
  <c r="W15" i="21" s="1"/>
  <c r="F23" i="21"/>
  <c r="S23" i="21" s="1"/>
  <c r="E85" i="21"/>
  <c r="AC11" i="21"/>
  <c r="S8" i="21"/>
  <c r="M3" i="43"/>
  <c r="M1" i="43"/>
  <c r="N8" i="43"/>
  <c r="D120" i="9"/>
  <c r="F34" i="67"/>
  <c r="F62" i="67" s="1"/>
  <c r="M20" i="67"/>
  <c r="F34" i="15"/>
  <c r="F62" i="15" s="1"/>
  <c r="BA13" i="3"/>
  <c r="BL17" i="3"/>
  <c r="BL13" i="3"/>
  <c r="J56" i="9"/>
  <c r="J57" i="9" s="1"/>
  <c r="J59" i="9" s="1"/>
  <c r="J61" i="9" s="1"/>
  <c r="A24" i="51"/>
  <c r="B18" i="72" s="1"/>
  <c r="U29" i="34"/>
  <c r="E32" i="6"/>
  <c r="L19" i="6"/>
  <c r="G1" i="68"/>
  <c r="K1" i="12"/>
  <c r="E19" i="69"/>
  <c r="E19" i="68"/>
  <c r="E19" i="11"/>
  <c r="E1" i="73"/>
  <c r="G22" i="69"/>
  <c r="G22" i="68"/>
  <c r="G26" i="12"/>
  <c r="G22" i="11"/>
  <c r="C100" i="43"/>
  <c r="E81" i="43"/>
  <c r="B79" i="43" s="1"/>
  <c r="E48" i="43"/>
  <c r="B46" i="43" s="1"/>
  <c r="E70" i="43"/>
  <c r="B68" i="43" s="1"/>
  <c r="F100" i="43"/>
  <c r="H17" i="43"/>
  <c r="H81" i="43"/>
  <c r="H88"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2" i="37"/>
  <c r="D52" i="37" s="1"/>
  <c r="A4" i="51"/>
  <c r="B6" i="72" s="1"/>
  <c r="C4" i="12"/>
  <c r="H66" i="43"/>
  <c r="H65" i="43"/>
  <c r="H64" i="43"/>
  <c r="H63" i="43"/>
  <c r="H55" i="43"/>
  <c r="H72" i="43"/>
  <c r="L20" i="6"/>
  <c r="B6" i="1"/>
  <c r="E6" i="1" s="1"/>
  <c r="S8" i="1"/>
  <c r="AR8" i="1" s="1"/>
  <c r="K11" i="1"/>
  <c r="M11" i="1" s="1"/>
  <c r="AP6" i="1"/>
  <c r="B9" i="1"/>
  <c r="E9" i="1" s="1"/>
  <c r="K7" i="1"/>
  <c r="G1" i="15"/>
  <c r="G1" i="69"/>
  <c r="G1" i="67"/>
  <c r="W23" i="40"/>
  <c r="U32" i="40"/>
  <c r="AB28" i="40"/>
  <c r="W28" i="40"/>
  <c r="W34" i="40"/>
  <c r="W19" i="40"/>
  <c r="S36" i="40"/>
  <c r="W37" i="40"/>
  <c r="S13" i="40"/>
  <c r="AA15" i="40"/>
  <c r="U11" i="40"/>
  <c r="S31" i="40"/>
  <c r="AB13" i="40"/>
  <c r="AB17" i="40"/>
  <c r="U8" i="40"/>
  <c r="AA39" i="39"/>
  <c r="AC41" i="39"/>
  <c r="U42" i="39"/>
  <c r="W25" i="39"/>
  <c r="AC25" i="39"/>
  <c r="AA13" i="39"/>
  <c r="S13" i="39"/>
  <c r="S14" i="39"/>
  <c r="AA14" i="39"/>
  <c r="U43" i="39"/>
  <c r="AB43" i="39"/>
  <c r="AB11" i="39"/>
  <c r="AA27" i="39"/>
  <c r="S27" i="39"/>
  <c r="W17" i="39"/>
  <c r="W31" i="39"/>
  <c r="AC31" i="39"/>
  <c r="W34" i="39"/>
  <c r="U38" i="39"/>
  <c r="S8" i="39"/>
  <c r="S28" i="36"/>
  <c r="U32" i="36"/>
  <c r="W29" i="36"/>
  <c r="AB28" i="36"/>
  <c r="AA13" i="36"/>
  <c r="W22" i="36"/>
  <c r="AB20" i="35"/>
  <c r="AC25" i="35"/>
  <c r="U25" i="35"/>
  <c r="W33" i="35"/>
  <c r="AA30" i="35"/>
  <c r="W35" i="35"/>
  <c r="AA16" i="35"/>
  <c r="W36" i="37"/>
  <c r="S27" i="37"/>
  <c r="W32" i="37"/>
  <c r="AB37" i="37"/>
  <c r="S33" i="37"/>
  <c r="AC34" i="37"/>
  <c r="AA11" i="37"/>
  <c r="AA31" i="37"/>
  <c r="U19" i="37"/>
  <c r="AA29" i="37"/>
  <c r="AA8" i="37"/>
  <c r="U8" i="37"/>
  <c r="AA40" i="34"/>
  <c r="U19" i="34"/>
  <c r="AB33" i="34"/>
  <c r="AA31" i="34"/>
  <c r="AB47" i="34"/>
  <c r="AB36" i="34"/>
  <c r="W33" i="34"/>
  <c r="AC14" i="34"/>
  <c r="W46" i="34"/>
  <c r="S32" i="34"/>
  <c r="AA32" i="34"/>
  <c r="U30" i="34"/>
  <c r="AB30" i="34"/>
  <c r="U38" i="34"/>
  <c r="AC40" i="34"/>
  <c r="AA36" i="34"/>
  <c r="S36" i="34"/>
  <c r="AA8" i="34"/>
  <c r="U14" i="34"/>
  <c r="AB14" i="34"/>
  <c r="AC43" i="34"/>
  <c r="W43" i="34"/>
  <c r="AC37" i="33"/>
  <c r="W46" i="33"/>
  <c r="U39" i="33"/>
  <c r="U38" i="33"/>
  <c r="S33" i="33"/>
  <c r="S30" i="33"/>
  <c r="AA30" i="33"/>
  <c r="AC30" i="33"/>
  <c r="W30" i="33"/>
  <c r="S31" i="33"/>
  <c r="AA31" i="33"/>
  <c r="W13" i="33"/>
  <c r="AC13" i="33"/>
  <c r="U15" i="33"/>
  <c r="S11" i="33"/>
  <c r="AC28" i="33"/>
  <c r="W8" i="33"/>
  <c r="AB42" i="21"/>
  <c r="F33" i="21"/>
  <c r="S33" i="21" s="1"/>
  <c r="J33" i="21"/>
  <c r="AC33" i="21" s="1"/>
  <c r="H33" i="21"/>
  <c r="AB33" i="21" s="1"/>
  <c r="F37" i="21"/>
  <c r="AA37" i="21" s="1"/>
  <c r="AA26" i="21"/>
  <c r="AB46" i="21"/>
  <c r="U13" i="21"/>
  <c r="AB13" i="21"/>
  <c r="W8" i="21"/>
  <c r="J37" i="21"/>
  <c r="H15" i="21"/>
  <c r="U15" i="21" s="1"/>
  <c r="J17" i="21"/>
  <c r="AC17" i="21" s="1"/>
  <c r="W39" i="21"/>
  <c r="H45" i="21"/>
  <c r="U45" i="21" s="1"/>
  <c r="F29" i="21"/>
  <c r="AA29" i="21" s="1"/>
  <c r="F13" i="21"/>
  <c r="AA13" i="21" s="1"/>
  <c r="H32" i="21"/>
  <c r="AB32" i="21" s="1"/>
  <c r="H9" i="21"/>
  <c r="U9" i="21" s="1"/>
  <c r="J9" i="21"/>
  <c r="J32" i="21"/>
  <c r="F32" i="21"/>
  <c r="AA32" i="21" s="1"/>
  <c r="W29" i="21"/>
  <c r="S19" i="21"/>
  <c r="S9" i="21"/>
  <c r="AA9" i="21"/>
  <c r="K141" i="21"/>
  <c r="K144" i="21"/>
  <c r="K143" i="21"/>
  <c r="W13" i="21"/>
  <c r="W42" i="21"/>
  <c r="F10" i="21"/>
  <c r="S10" i="21" s="1"/>
  <c r="K145" i="21"/>
  <c r="W25" i="21"/>
  <c r="S17" i="21"/>
  <c r="AC26" i="21"/>
  <c r="AB29" i="21"/>
  <c r="AC34" i="21"/>
  <c r="W10" i="21"/>
  <c r="C19" i="39"/>
  <c r="C15" i="40"/>
  <c r="C17" i="40"/>
  <c r="C23" i="40"/>
  <c r="C21" i="40"/>
  <c r="U30" i="40"/>
  <c r="B54" i="43"/>
  <c r="B65" i="43"/>
  <c r="B49" i="43"/>
  <c r="B52" i="43"/>
  <c r="B56" i="43"/>
  <c r="B60" i="43"/>
  <c r="B63" i="43"/>
  <c r="D23" i="15"/>
  <c r="D22" i="15"/>
  <c r="E4" i="4"/>
  <c r="B5" i="62" s="1"/>
  <c r="B73" i="72" s="1"/>
  <c r="C4" i="4"/>
  <c r="AQ13" i="1"/>
  <c r="S7" i="1"/>
  <c r="AR7" i="1" s="1"/>
  <c r="E7" i="70"/>
  <c r="S39" i="40"/>
  <c r="S12" i="33"/>
  <c r="AA12" i="33"/>
  <c r="J32" i="39"/>
  <c r="W32" i="39" s="1"/>
  <c r="H32" i="39"/>
  <c r="U21" i="39"/>
  <c r="AA21" i="39"/>
  <c r="S21" i="39"/>
  <c r="U9" i="35"/>
  <c r="AB9" i="35"/>
  <c r="J19" i="37"/>
  <c r="W19" i="37" s="1"/>
  <c r="S19" i="37"/>
  <c r="AA19" i="37"/>
  <c r="J23" i="37"/>
  <c r="AC23" i="37" s="1"/>
  <c r="G79" i="37"/>
  <c r="J10" i="37"/>
  <c r="W10" i="37" s="1"/>
  <c r="H11" i="37"/>
  <c r="AB11" i="37" s="1"/>
  <c r="AB10" i="37"/>
  <c r="U10" i="37"/>
  <c r="AB41" i="33"/>
  <c r="U41" i="33"/>
  <c r="W35" i="33"/>
  <c r="J36" i="33"/>
  <c r="W36" i="33" s="1"/>
  <c r="H36" i="33"/>
  <c r="AB36" i="33" s="1"/>
  <c r="AA36" i="33"/>
  <c r="G91" i="33"/>
  <c r="H91" i="33" s="1"/>
  <c r="I91" i="33" s="1"/>
  <c r="J91" i="33" s="1"/>
  <c r="K91" i="33" s="1"/>
  <c r="L91" i="33" s="1"/>
  <c r="M91" i="33" s="1"/>
  <c r="J27" i="33"/>
  <c r="AB25" i="33"/>
  <c r="S25" i="33"/>
  <c r="AA25" i="33"/>
  <c r="J25" i="33"/>
  <c r="AC25" i="33" s="1"/>
  <c r="AB23" i="33"/>
  <c r="U23" i="33"/>
  <c r="F23" i="33"/>
  <c r="S23" i="33" s="1"/>
  <c r="G85" i="33"/>
  <c r="H19" i="33"/>
  <c r="AB19" i="33" s="1"/>
  <c r="G81" i="33"/>
  <c r="G79" i="33"/>
  <c r="H17" i="33"/>
  <c r="AB17" i="33" s="1"/>
  <c r="F17" i="33"/>
  <c r="AA17" i="33" s="1"/>
  <c r="W17" i="33"/>
  <c r="AC17" i="33"/>
  <c r="AB10" i="33"/>
  <c r="AC10" i="33"/>
  <c r="W10" i="33"/>
  <c r="AA23" i="21"/>
  <c r="AB15" i="21"/>
  <c r="J23" i="21"/>
  <c r="AC23" i="21" s="1"/>
  <c r="F85" i="21"/>
  <c r="G85" i="21" s="1"/>
  <c r="H23" i="21"/>
  <c r="AB23" i="21" s="1"/>
  <c r="S13" i="21"/>
  <c r="AP7" i="1"/>
  <c r="W33" i="21"/>
  <c r="W32" i="21"/>
  <c r="AC32" i="21"/>
  <c r="AB9" i="21"/>
  <c r="U32" i="21"/>
  <c r="AA10" i="21"/>
  <c r="AC32" i="39"/>
  <c r="W23" i="37"/>
  <c r="U11" i="37"/>
  <c r="H63" i="37"/>
  <c r="I63" i="37" s="1"/>
  <c r="J63" i="37" s="1"/>
  <c r="K63" i="37" s="1"/>
  <c r="L63" i="37" s="1"/>
  <c r="M63" i="37" s="1"/>
  <c r="J11" i="37"/>
  <c r="W11" i="37" s="1"/>
  <c r="AC10" i="37"/>
  <c r="W27" i="33"/>
  <c r="AC27" i="33"/>
  <c r="AA23" i="33"/>
  <c r="W23" i="21"/>
  <c r="R7" i="1"/>
  <c r="F34" i="11"/>
  <c r="F11" i="12"/>
  <c r="C23" i="12" s="1"/>
  <c r="F34" i="68"/>
  <c r="R8" i="1"/>
  <c r="AE7" i="1"/>
  <c r="AE8" i="1"/>
  <c r="AG6" i="1"/>
  <c r="H109" i="9"/>
  <c r="M49" i="9" s="1"/>
  <c r="H110" i="9"/>
  <c r="D18" i="53" s="1"/>
  <c r="B35" i="72" s="1"/>
  <c r="D16" i="53"/>
  <c r="B34" i="72" s="1"/>
  <c r="H112" i="9"/>
  <c r="D21" i="53" s="1"/>
  <c r="B39" i="72" s="1"/>
  <c r="H111" i="9"/>
  <c r="D126" i="9" s="1"/>
  <c r="AD3" i="71"/>
  <c r="H77" i="43"/>
  <c r="H76" i="43"/>
  <c r="H67" i="43"/>
  <c r="H59" i="43"/>
  <c r="H60" i="43"/>
  <c r="H61" i="43"/>
  <c r="M4" i="43"/>
  <c r="M5" i="43"/>
  <c r="N12" i="43"/>
  <c r="N11" i="43"/>
  <c r="M10" i="43"/>
  <c r="M2" i="43"/>
  <c r="M7" i="43"/>
  <c r="H70" i="43"/>
  <c r="N9" i="43"/>
  <c r="M8" i="43"/>
  <c r="N10"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F3" i="73"/>
  <c r="AO9" i="1"/>
  <c r="AO11" i="1"/>
  <c r="F5" i="73"/>
  <c r="M21" i="67"/>
  <c r="E11" i="76"/>
  <c r="E2" i="69"/>
  <c r="D2" i="37"/>
  <c r="AO13" i="1"/>
  <c r="F40" i="67"/>
  <c r="F7" i="67"/>
  <c r="M26" i="15"/>
  <c r="F7" i="73"/>
  <c r="B12" i="76"/>
  <c r="E10" i="76"/>
  <c r="AO7" i="1"/>
  <c r="F4" i="73"/>
  <c r="M26" i="67"/>
  <c r="AO10" i="1"/>
  <c r="E7" i="76"/>
  <c r="L47" i="67"/>
  <c r="B13" i="76"/>
  <c r="M23" i="67"/>
  <c r="B9" i="76"/>
  <c r="D2" i="35"/>
  <c r="F42" i="67"/>
  <c r="D2" i="34"/>
  <c r="F20" i="31"/>
  <c r="B7" i="76"/>
  <c r="E2" i="68"/>
  <c r="D2" i="33"/>
  <c r="F16" i="67"/>
  <c r="E12" i="76"/>
  <c r="B11" i="76"/>
  <c r="AO12" i="1"/>
  <c r="AO8" i="1"/>
  <c r="D2" i="21"/>
  <c r="D2" i="36"/>
  <c r="E13" i="76"/>
  <c r="F6" i="73"/>
  <c r="E8" i="76"/>
  <c r="F26" i="67"/>
  <c r="E9" i="76"/>
  <c r="M28" i="67"/>
  <c r="B8" i="76"/>
  <c r="B10" i="76"/>
  <c r="M6" i="67"/>
  <c r="F8" i="15"/>
  <c r="AZ387" i="3" l="1"/>
  <c r="BJ5" i="3"/>
  <c r="BS5" i="3"/>
  <c r="BL575" i="3"/>
  <c r="BA575" i="3"/>
  <c r="BL574" i="3"/>
  <c r="BL572" i="3"/>
  <c r="BA572" i="3"/>
  <c r="BK5" i="3"/>
  <c r="G403" i="3"/>
  <c r="BA413" i="3"/>
  <c r="BL415" i="3"/>
  <c r="BA133" i="3"/>
  <c r="AA25" i="40"/>
  <c r="S25" i="40"/>
  <c r="E56" i="71"/>
  <c r="E57" i="71" s="1"/>
  <c r="U57" i="71" s="1"/>
  <c r="T77" i="71"/>
  <c r="C76" i="71"/>
  <c r="U17" i="33"/>
  <c r="AC19" i="37"/>
  <c r="U36" i="33"/>
  <c r="S32" i="21"/>
  <c r="AC17" i="37"/>
  <c r="S29" i="21"/>
  <c r="S23" i="39"/>
  <c r="AC9" i="37"/>
  <c r="AZ14" i="3"/>
  <c r="AZ176" i="3"/>
  <c r="AC13" i="40"/>
  <c r="AZ501" i="3"/>
  <c r="AZ511" i="3"/>
  <c r="AZ502" i="3"/>
  <c r="AZ556" i="3"/>
  <c r="S38" i="39"/>
  <c r="U35" i="33"/>
  <c r="G586" i="3"/>
  <c r="J23" i="36"/>
  <c r="BA583" i="3"/>
  <c r="BA581" i="3"/>
  <c r="BA580" i="3"/>
  <c r="BL579" i="3"/>
  <c r="BA578" i="3"/>
  <c r="BA424" i="3"/>
  <c r="BL427" i="3"/>
  <c r="BA489" i="3"/>
  <c r="BL284" i="3"/>
  <c r="L27" i="6"/>
  <c r="W25" i="33"/>
  <c r="AC36" i="33"/>
  <c r="AB45" i="21"/>
  <c r="S9" i="35"/>
  <c r="S32" i="37"/>
  <c r="U25" i="39"/>
  <c r="S30" i="40"/>
  <c r="AZ503" i="3"/>
  <c r="AZ559" i="3"/>
  <c r="AZ504" i="3"/>
  <c r="AZ566" i="3"/>
  <c r="AA13" i="35"/>
  <c r="H17" i="34"/>
  <c r="U34" i="21"/>
  <c r="U33" i="33"/>
  <c r="G36" i="6"/>
  <c r="G585" i="3"/>
  <c r="E5" i="6"/>
  <c r="G402" i="3"/>
  <c r="BL404" i="3"/>
  <c r="G406" i="3"/>
  <c r="BA407" i="3"/>
  <c r="BL211" i="3"/>
  <c r="G76" i="3"/>
  <c r="AE12" i="43"/>
  <c r="AE10" i="43"/>
  <c r="AI12" i="43"/>
  <c r="AI10" i="43"/>
  <c r="AB44" i="34"/>
  <c r="AC27" i="40"/>
  <c r="AZ373" i="3"/>
  <c r="AZ362" i="3"/>
  <c r="AZ356" i="3"/>
  <c r="AZ521" i="3"/>
  <c r="AZ553" i="3"/>
  <c r="AZ522" i="3"/>
  <c r="U13" i="33"/>
  <c r="J46" i="21"/>
  <c r="AA9" i="40"/>
  <c r="W39" i="33"/>
  <c r="AA31" i="36"/>
  <c r="G578" i="3"/>
  <c r="G570" i="3"/>
  <c r="G562" i="3"/>
  <c r="G526" i="3"/>
  <c r="BL399" i="3"/>
  <c r="BA401" i="3"/>
  <c r="G409" i="3"/>
  <c r="G425" i="3"/>
  <c r="BA426" i="3"/>
  <c r="BA435" i="3"/>
  <c r="BL436" i="3"/>
  <c r="G438" i="3"/>
  <c r="BL438" i="3"/>
  <c r="BA444" i="3"/>
  <c r="G452" i="3"/>
  <c r="BA358" i="3"/>
  <c r="AZ358" i="3" s="1"/>
  <c r="BA232" i="3"/>
  <c r="BA260" i="3"/>
  <c r="AA28" i="71"/>
  <c r="E31" i="71"/>
  <c r="E32" i="71" s="1"/>
  <c r="G423" i="3"/>
  <c r="G427" i="3"/>
  <c r="G430" i="3"/>
  <c r="G435" i="3"/>
  <c r="BL455" i="3"/>
  <c r="BA456" i="3"/>
  <c r="BL465" i="3"/>
  <c r="G470" i="3"/>
  <c r="G476" i="3"/>
  <c r="BL482" i="3"/>
  <c r="BA483" i="3"/>
  <c r="BL484" i="3"/>
  <c r="G491" i="3"/>
  <c r="BA491" i="3"/>
  <c r="G345" i="3"/>
  <c r="BL354" i="3"/>
  <c r="G374" i="3"/>
  <c r="G382" i="3"/>
  <c r="BL229" i="3"/>
  <c r="G236" i="3"/>
  <c r="G248" i="3"/>
  <c r="G257" i="3"/>
  <c r="G265" i="3"/>
  <c r="BL272" i="3"/>
  <c r="G273" i="3"/>
  <c r="G291" i="3"/>
  <c r="BL114" i="3"/>
  <c r="BA128" i="3"/>
  <c r="AZ128" i="3" s="1"/>
  <c r="BL130" i="3"/>
  <c r="G150" i="3"/>
  <c r="BA154" i="3"/>
  <c r="BA162" i="3"/>
  <c r="BA166" i="3"/>
  <c r="BA170" i="3"/>
  <c r="BL177" i="3"/>
  <c r="G202" i="3"/>
  <c r="BA26" i="3"/>
  <c r="BL29" i="3"/>
  <c r="BA30" i="3"/>
  <c r="G33" i="3"/>
  <c r="BL49" i="3"/>
  <c r="BL58" i="3"/>
  <c r="BA74" i="3"/>
  <c r="BA75" i="3"/>
  <c r="BA95" i="3"/>
  <c r="BA98" i="3"/>
  <c r="D39" i="71"/>
  <c r="AB24" i="71"/>
  <c r="AA24" i="71"/>
  <c r="AA33" i="71"/>
  <c r="P61" i="15"/>
  <c r="G443" i="3"/>
  <c r="BL443" i="3"/>
  <c r="BL447" i="3"/>
  <c r="G448" i="3"/>
  <c r="BA449" i="3"/>
  <c r="BA451" i="3"/>
  <c r="BL453" i="3"/>
  <c r="BA454" i="3"/>
  <c r="G457" i="3"/>
  <c r="G461" i="3"/>
  <c r="BL464" i="3"/>
  <c r="BL480" i="3"/>
  <c r="G484" i="3"/>
  <c r="BA485" i="3"/>
  <c r="BL488" i="3"/>
  <c r="BA490" i="3"/>
  <c r="G307" i="3"/>
  <c r="G315" i="3"/>
  <c r="BA349" i="3"/>
  <c r="AZ349" i="3" s="1"/>
  <c r="BA353" i="3"/>
  <c r="BL396" i="3"/>
  <c r="G397" i="3"/>
  <c r="BA208" i="3"/>
  <c r="G211" i="3"/>
  <c r="G212" i="3"/>
  <c r="BL216" i="3"/>
  <c r="G221" i="3"/>
  <c r="BL221" i="3"/>
  <c r="BA226" i="3"/>
  <c r="G229" i="3"/>
  <c r="BA244" i="3"/>
  <c r="BA245" i="3"/>
  <c r="BA256" i="3"/>
  <c r="BL258" i="3"/>
  <c r="G272" i="3"/>
  <c r="BA277" i="3"/>
  <c r="BL279" i="3"/>
  <c r="G280" i="3"/>
  <c r="BA282" i="3"/>
  <c r="BL283" i="3"/>
  <c r="G286" i="3"/>
  <c r="BA287" i="3"/>
  <c r="BL289" i="3"/>
  <c r="G118" i="3"/>
  <c r="G126" i="3"/>
  <c r="G136" i="3"/>
  <c r="G140" i="3"/>
  <c r="G144" i="3"/>
  <c r="G148" i="3"/>
  <c r="BL155" i="3"/>
  <c r="AZ155" i="3" s="1"/>
  <c r="G156" i="3"/>
  <c r="BA157" i="3"/>
  <c r="G160" i="3"/>
  <c r="G168" i="3"/>
  <c r="BA198" i="3"/>
  <c r="G32" i="3"/>
  <c r="G38" i="3"/>
  <c r="BA45" i="3"/>
  <c r="G46" i="3"/>
  <c r="G51" i="3"/>
  <c r="BL57" i="3"/>
  <c r="G60" i="3"/>
  <c r="G69" i="3"/>
  <c r="BA69" i="3"/>
  <c r="BL72" i="3"/>
  <c r="BA73" i="3"/>
  <c r="G77" i="3"/>
  <c r="BA80" i="3"/>
  <c r="G81" i="3"/>
  <c r="BA88" i="3"/>
  <c r="G100" i="3"/>
  <c r="BA109" i="3"/>
  <c r="G110" i="3"/>
  <c r="D59" i="82"/>
  <c r="E59" i="82" s="1"/>
  <c r="F59" i="82" s="1"/>
  <c r="G59" i="82" s="1"/>
  <c r="H59" i="82" s="1"/>
  <c r="I59" i="82" s="1"/>
  <c r="J59" i="82" s="1"/>
  <c r="K59" i="82" s="1"/>
  <c r="L59" i="82" s="1"/>
  <c r="M59" i="82" s="1"/>
  <c r="N59" i="82" s="1"/>
  <c r="O59" i="82" s="1"/>
  <c r="P59" i="82" s="1"/>
  <c r="Q59" i="82" s="1"/>
  <c r="R59" i="82" s="1"/>
  <c r="S59" i="82" s="1"/>
  <c r="T59" i="82" s="1"/>
  <c r="U59" i="82" s="1"/>
  <c r="V59" i="82" s="1"/>
  <c r="W59" i="82" s="1"/>
  <c r="X59" i="82" s="1"/>
  <c r="Y59" i="82" s="1"/>
  <c r="Z59" i="82" s="1"/>
  <c r="AA59" i="82" s="1"/>
  <c r="J7" i="82"/>
  <c r="B86" i="43"/>
  <c r="BA462" i="3"/>
  <c r="G468" i="3"/>
  <c r="BA475" i="3"/>
  <c r="G478" i="3"/>
  <c r="BA479" i="3"/>
  <c r="G492" i="3"/>
  <c r="BA332" i="3"/>
  <c r="G339" i="3"/>
  <c r="G347" i="3"/>
  <c r="BL395" i="3"/>
  <c r="G396" i="3"/>
  <c r="BA217" i="3"/>
  <c r="BL219" i="3"/>
  <c r="G220" i="3"/>
  <c r="G242" i="3"/>
  <c r="BA243" i="3"/>
  <c r="G250" i="3"/>
  <c r="BA251" i="3"/>
  <c r="BL253" i="3"/>
  <c r="G254" i="3"/>
  <c r="G258" i="3"/>
  <c r="G267" i="3"/>
  <c r="BL267" i="3"/>
  <c r="BL268" i="3"/>
  <c r="G271" i="3"/>
  <c r="G275" i="3"/>
  <c r="BA276" i="3"/>
  <c r="BL292" i="3"/>
  <c r="BA294" i="3"/>
  <c r="BL296" i="3"/>
  <c r="BL142" i="3"/>
  <c r="G143" i="3"/>
  <c r="BA148" i="3"/>
  <c r="AZ148" i="3" s="1"/>
  <c r="G151" i="3"/>
  <c r="BA152" i="3"/>
  <c r="AZ152" i="3" s="1"/>
  <c r="G167" i="3"/>
  <c r="BL174" i="3"/>
  <c r="G175" i="3"/>
  <c r="BA176" i="3"/>
  <c r="G183" i="3"/>
  <c r="G187" i="3"/>
  <c r="BL190" i="3"/>
  <c r="BA193" i="3"/>
  <c r="BA197" i="3"/>
  <c r="G200" i="3"/>
  <c r="BA39" i="3"/>
  <c r="BL42" i="3"/>
  <c r="G50" i="3"/>
  <c r="BL51" i="3"/>
  <c r="BA56" i="3"/>
  <c r="G59" i="3"/>
  <c r="BA64" i="3"/>
  <c r="BL66" i="3"/>
  <c r="G67" i="3"/>
  <c r="G75" i="3"/>
  <c r="BL77" i="3"/>
  <c r="G80" i="3"/>
  <c r="G94" i="3"/>
  <c r="G98" i="3"/>
  <c r="BA108" i="3"/>
  <c r="G100" i="43"/>
  <c r="S21" i="37"/>
  <c r="U25" i="71"/>
  <c r="C48" i="71"/>
  <c r="AB45" i="34"/>
  <c r="F46" i="34"/>
  <c r="S37" i="34"/>
  <c r="AZ572" i="3"/>
  <c r="D9" i="11"/>
  <c r="C9" i="11" s="1"/>
  <c r="D19" i="12"/>
  <c r="C19" i="12" s="1"/>
  <c r="W37" i="21"/>
  <c r="AC37" i="21"/>
  <c r="AC10" i="36"/>
  <c r="W10" i="36"/>
  <c r="AB46" i="33"/>
  <c r="U46" i="33"/>
  <c r="AA40" i="37"/>
  <c r="S40" i="37"/>
  <c r="AA17" i="39"/>
  <c r="S17" i="39"/>
  <c r="U39" i="39"/>
  <c r="AB39" i="39"/>
  <c r="AB10" i="21"/>
  <c r="U10" i="21"/>
  <c r="W35" i="21"/>
  <c r="AC35" i="21"/>
  <c r="AA40" i="21"/>
  <c r="S40" i="21"/>
  <c r="AC23" i="36"/>
  <c r="W23" i="36"/>
  <c r="BA584" i="3"/>
  <c r="BF5" i="3"/>
  <c r="BA576" i="3"/>
  <c r="BB5" i="3"/>
  <c r="BR5" i="3"/>
  <c r="BT5" i="3"/>
  <c r="BG5" i="3"/>
  <c r="S17" i="33"/>
  <c r="W9" i="21"/>
  <c r="AC9" i="21"/>
  <c r="AC19" i="21"/>
  <c r="AB37" i="21"/>
  <c r="T10" i="1"/>
  <c r="S19" i="33"/>
  <c r="AA19" i="33"/>
  <c r="W20" i="36"/>
  <c r="AC20" i="36"/>
  <c r="W34" i="33"/>
  <c r="AC34" i="33"/>
  <c r="BL577" i="3"/>
  <c r="AZ565" i="3"/>
  <c r="W35" i="39"/>
  <c r="AA27" i="34"/>
  <c r="S27" i="34"/>
  <c r="AB36" i="39"/>
  <c r="U8" i="21"/>
  <c r="AB8" i="21"/>
  <c r="U38" i="21"/>
  <c r="AB38" i="21"/>
  <c r="BL587" i="3"/>
  <c r="BH5" i="3"/>
  <c r="BA585" i="3"/>
  <c r="AB15" i="37"/>
  <c r="U15" i="37"/>
  <c r="AA40" i="39"/>
  <c r="S40" i="39"/>
  <c r="AA31" i="35"/>
  <c r="S31" i="35"/>
  <c r="AA30" i="36"/>
  <c r="S30" i="36"/>
  <c r="H35" i="39"/>
  <c r="F35" i="39"/>
  <c r="BA579" i="3"/>
  <c r="U17" i="21"/>
  <c r="S27" i="33"/>
  <c r="S28" i="35"/>
  <c r="AB37" i="40"/>
  <c r="S31" i="39"/>
  <c r="U20" i="36"/>
  <c r="AB20" i="36"/>
  <c r="U43" i="21"/>
  <c r="AZ361" i="3"/>
  <c r="AZ360" i="3"/>
  <c r="AZ341" i="3"/>
  <c r="AB41" i="39"/>
  <c r="U41" i="39"/>
  <c r="S19" i="40"/>
  <c r="AA19" i="40"/>
  <c r="H5" i="3"/>
  <c r="AB12" i="37"/>
  <c r="U12" i="37"/>
  <c r="W16" i="35"/>
  <c r="W36" i="40"/>
  <c r="AC36" i="40"/>
  <c r="AZ493" i="3"/>
  <c r="BL573" i="3"/>
  <c r="AZ514" i="3"/>
  <c r="AZ530" i="3"/>
  <c r="AZ546" i="3"/>
  <c r="U31" i="34"/>
  <c r="H13" i="39"/>
  <c r="AC35" i="40"/>
  <c r="W35" i="40"/>
  <c r="AA35" i="35"/>
  <c r="S35" i="35"/>
  <c r="AC13" i="35"/>
  <c r="W13" i="35"/>
  <c r="AB10" i="36"/>
  <c r="U10" i="36"/>
  <c r="AB25" i="34"/>
  <c r="U25" i="34"/>
  <c r="U40" i="34"/>
  <c r="AB40" i="34"/>
  <c r="AB14" i="35"/>
  <c r="U14" i="35"/>
  <c r="J36" i="39"/>
  <c r="F36" i="39"/>
  <c r="J9" i="33"/>
  <c r="H9" i="33"/>
  <c r="F9" i="33"/>
  <c r="F28" i="33"/>
  <c r="H28" i="33"/>
  <c r="G67" i="34"/>
  <c r="H10" i="34" s="1"/>
  <c r="AB10" i="34" s="1"/>
  <c r="J10" i="34"/>
  <c r="AC10" i="34" s="1"/>
  <c r="AA8" i="35"/>
  <c r="S8" i="35"/>
  <c r="H24" i="36"/>
  <c r="J24" i="36"/>
  <c r="AA8" i="40"/>
  <c r="S8" i="40"/>
  <c r="AC31" i="40"/>
  <c r="W31" i="40"/>
  <c r="F33" i="40"/>
  <c r="H33" i="40"/>
  <c r="U33" i="40" s="1"/>
  <c r="AC41" i="34"/>
  <c r="W41" i="34"/>
  <c r="S15" i="21"/>
  <c r="AA15" i="21"/>
  <c r="B113" i="43"/>
  <c r="D101" i="43"/>
  <c r="D105" i="43" s="1"/>
  <c r="AB11" i="43"/>
  <c r="W38" i="21"/>
  <c r="AC38" i="21"/>
  <c r="F12" i="21"/>
  <c r="J12" i="21"/>
  <c r="H12" i="21"/>
  <c r="J27" i="21"/>
  <c r="H27" i="21"/>
  <c r="W16" i="36"/>
  <c r="AC16" i="36"/>
  <c r="BL581" i="3"/>
  <c r="BN5" i="3"/>
  <c r="BA574" i="3"/>
  <c r="AZ574" i="3" s="1"/>
  <c r="BE5" i="3"/>
  <c r="BA571" i="3"/>
  <c r="BP5" i="3"/>
  <c r="W23" i="33"/>
  <c r="AB27" i="33"/>
  <c r="AB25" i="21"/>
  <c r="AC40" i="21"/>
  <c r="W43" i="21"/>
  <c r="U13" i="35"/>
  <c r="AB13" i="35"/>
  <c r="W45" i="34"/>
  <c r="AC45" i="34"/>
  <c r="AA23" i="40"/>
  <c r="S23" i="40"/>
  <c r="U8" i="33"/>
  <c r="AA22" i="35"/>
  <c r="S22" i="35"/>
  <c r="AA35" i="40"/>
  <c r="S35" i="40"/>
  <c r="S11" i="21"/>
  <c r="AA11" i="21"/>
  <c r="AB17" i="39"/>
  <c r="U17" i="39"/>
  <c r="AC27" i="35"/>
  <c r="H44" i="21"/>
  <c r="F44" i="21"/>
  <c r="E86" i="34"/>
  <c r="F86" i="34" s="1"/>
  <c r="G86" i="34" s="1"/>
  <c r="H23" i="34"/>
  <c r="U23" i="34" s="1"/>
  <c r="F23" i="34"/>
  <c r="AA23" i="34" s="1"/>
  <c r="G583" i="3"/>
  <c r="BL582" i="3"/>
  <c r="BA582" i="3"/>
  <c r="AZ582" i="3" s="1"/>
  <c r="BL578" i="3"/>
  <c r="H48" i="43"/>
  <c r="H54" i="43"/>
  <c r="U19" i="33"/>
  <c r="S37" i="21"/>
  <c r="W32" i="33"/>
  <c r="AA23" i="37"/>
  <c r="S32" i="39"/>
  <c r="S35" i="21"/>
  <c r="AC15" i="21"/>
  <c r="U37" i="33"/>
  <c r="AB44" i="33"/>
  <c r="AC35" i="34"/>
  <c r="W29" i="34"/>
  <c r="U15" i="40"/>
  <c r="S37" i="40"/>
  <c r="AA33" i="21"/>
  <c r="T13" i="1"/>
  <c r="AB36" i="21"/>
  <c r="W14" i="33"/>
  <c r="AB34" i="33"/>
  <c r="W19" i="34"/>
  <c r="U36" i="37"/>
  <c r="AA35" i="37"/>
  <c r="AB31" i="40"/>
  <c r="S46" i="33"/>
  <c r="AA12" i="37"/>
  <c r="S20" i="35"/>
  <c r="AC26" i="36"/>
  <c r="U26" i="36"/>
  <c r="S43" i="39"/>
  <c r="U30" i="33"/>
  <c r="U35" i="37"/>
  <c r="AB35" i="37"/>
  <c r="AC33" i="40"/>
  <c r="AZ310" i="3"/>
  <c r="U40" i="39"/>
  <c r="AB21" i="40"/>
  <c r="U21" i="40"/>
  <c r="W37" i="34"/>
  <c r="AZ529" i="3"/>
  <c r="AZ555" i="3"/>
  <c r="AZ569" i="3"/>
  <c r="AZ508" i="3"/>
  <c r="J13" i="39"/>
  <c r="H11" i="36"/>
  <c r="W32" i="34"/>
  <c r="AC32" i="34"/>
  <c r="J23" i="34"/>
  <c r="U11" i="21"/>
  <c r="AB11" i="21"/>
  <c r="W8" i="40"/>
  <c r="J26" i="33"/>
  <c r="H26" i="33"/>
  <c r="F26" i="33"/>
  <c r="AB22" i="36"/>
  <c r="U22" i="36"/>
  <c r="AB32" i="39"/>
  <c r="U32" i="39"/>
  <c r="D121" i="9"/>
  <c r="D7" i="52" s="1"/>
  <c r="D6" i="52"/>
  <c r="H52" i="43"/>
  <c r="H50" i="43"/>
  <c r="H53" i="43"/>
  <c r="H51" i="43"/>
  <c r="W11" i="39"/>
  <c r="AC11" i="39"/>
  <c r="AB9" i="37"/>
  <c r="U9" i="37"/>
  <c r="AB27" i="34"/>
  <c r="U27" i="34"/>
  <c r="G557" i="3"/>
  <c r="AC5" i="3"/>
  <c r="AZ573" i="3"/>
  <c r="AZ584" i="3"/>
  <c r="S29" i="35"/>
  <c r="AA29" i="35"/>
  <c r="AB40" i="21"/>
  <c r="U40" i="21"/>
  <c r="J24" i="35"/>
  <c r="F24" i="35"/>
  <c r="H24" i="35"/>
  <c r="S36" i="35"/>
  <c r="AA36" i="35"/>
  <c r="C79" i="35"/>
  <c r="F26" i="35" s="1"/>
  <c r="BL580" i="3"/>
  <c r="BA577" i="3"/>
  <c r="AZ577" i="3" s="1"/>
  <c r="BL576" i="3"/>
  <c r="BO5" i="3"/>
  <c r="S20" i="36"/>
  <c r="AA35" i="33"/>
  <c r="AB27" i="36"/>
  <c r="AA34" i="33"/>
  <c r="AZ334" i="3"/>
  <c r="AZ355" i="3"/>
  <c r="AZ351" i="3"/>
  <c r="AZ380" i="3"/>
  <c r="AZ325" i="3"/>
  <c r="BL583" i="3"/>
  <c r="AZ583" i="3" s="1"/>
  <c r="AZ558" i="3"/>
  <c r="AZ540" i="3"/>
  <c r="J12" i="33"/>
  <c r="H12" i="33"/>
  <c r="AZ322" i="3"/>
  <c r="AZ311" i="3"/>
  <c r="AZ306" i="3"/>
  <c r="AZ389" i="3"/>
  <c r="AZ382" i="3"/>
  <c r="AZ364" i="3"/>
  <c r="AZ336" i="3"/>
  <c r="AZ329" i="3"/>
  <c r="AZ343" i="3"/>
  <c r="AZ541" i="3"/>
  <c r="AZ507" i="3"/>
  <c r="AZ527" i="3"/>
  <c r="AZ535" i="3"/>
  <c r="AZ543" i="3"/>
  <c r="AZ563" i="3"/>
  <c r="AZ496" i="3"/>
  <c r="AZ512" i="3"/>
  <c r="AZ520" i="3"/>
  <c r="AZ528" i="3"/>
  <c r="G587" i="3"/>
  <c r="F40" i="40"/>
  <c r="J40" i="40"/>
  <c r="AB29" i="39"/>
  <c r="U29" i="39"/>
  <c r="C60" i="71"/>
  <c r="D59" i="71"/>
  <c r="B64" i="71"/>
  <c r="S65" i="71"/>
  <c r="N65" i="71"/>
  <c r="T69" i="71"/>
  <c r="D69" i="71"/>
  <c r="C68" i="71"/>
  <c r="D68" i="71" s="1"/>
  <c r="J23" i="35"/>
  <c r="G566" i="3"/>
  <c r="G558" i="3"/>
  <c r="G552" i="3"/>
  <c r="G398" i="3"/>
  <c r="G399" i="3"/>
  <c r="BA399" i="3"/>
  <c r="BA402" i="3"/>
  <c r="G404" i="3"/>
  <c r="BA405" i="3"/>
  <c r="BA408" i="3"/>
  <c r="BL409" i="3"/>
  <c r="G410" i="3"/>
  <c r="G411" i="3"/>
  <c r="BA411" i="3"/>
  <c r="BL414" i="3"/>
  <c r="G415" i="3"/>
  <c r="BA420" i="3"/>
  <c r="BL423" i="3"/>
  <c r="BA429" i="3"/>
  <c r="BL430" i="3"/>
  <c r="G431" i="3"/>
  <c r="G432" i="3"/>
  <c r="BA432" i="3"/>
  <c r="BL435" i="3"/>
  <c r="G436" i="3"/>
  <c r="BA438" i="3"/>
  <c r="AZ438" i="3" s="1"/>
  <c r="BL441" i="3"/>
  <c r="G442" i="3"/>
  <c r="BA443" i="3"/>
  <c r="AZ443" i="3" s="1"/>
  <c r="G447" i="3"/>
  <c r="BA448" i="3"/>
  <c r="BL450" i="3"/>
  <c r="BL451" i="3"/>
  <c r="G453" i="3"/>
  <c r="BA453" i="3"/>
  <c r="G458" i="3"/>
  <c r="BL462" i="3"/>
  <c r="G464" i="3"/>
  <c r="BL469" i="3"/>
  <c r="BA473" i="3"/>
  <c r="BL476" i="3"/>
  <c r="BL481" i="3"/>
  <c r="G256" i="3"/>
  <c r="A15" i="62"/>
  <c r="B61" i="72" s="1"/>
  <c r="BA398" i="3"/>
  <c r="BL401" i="3"/>
  <c r="AZ401" i="3" s="1"/>
  <c r="BL402" i="3"/>
  <c r="BL407" i="3"/>
  <c r="BA410" i="3"/>
  <c r="BA415" i="3"/>
  <c r="BA423" i="3"/>
  <c r="BL426" i="3"/>
  <c r="BA431" i="3"/>
  <c r="BA436" i="3"/>
  <c r="BL440" i="3"/>
  <c r="BL445" i="3"/>
  <c r="BA452" i="3"/>
  <c r="BA457" i="3"/>
  <c r="BL460" i="3"/>
  <c r="G462" i="3"/>
  <c r="BA463" i="3"/>
  <c r="BA466" i="3"/>
  <c r="BL467" i="3"/>
  <c r="G469" i="3"/>
  <c r="BA470" i="3"/>
  <c r="G488" i="3"/>
  <c r="BA488" i="3"/>
  <c r="BL492" i="3"/>
  <c r="BL314" i="3"/>
  <c r="AZ314" i="3" s="1"/>
  <c r="BL113" i="3"/>
  <c r="G13" i="3"/>
  <c r="BL16" i="3"/>
  <c r="AZ16" i="3" s="1"/>
  <c r="G401" i="3"/>
  <c r="BL406" i="3"/>
  <c r="G407" i="3"/>
  <c r="BL412" i="3"/>
  <c r="AZ412" i="3" s="1"/>
  <c r="BA419" i="3"/>
  <c r="AZ419" i="3" s="1"/>
  <c r="BL421" i="3"/>
  <c r="BA422" i="3"/>
  <c r="BL425" i="3"/>
  <c r="G426" i="3"/>
  <c r="BL433" i="3"/>
  <c r="AZ433" i="3" s="1"/>
  <c r="BA434" i="3"/>
  <c r="BA437" i="3"/>
  <c r="G440" i="3"/>
  <c r="G445" i="3"/>
  <c r="BL449" i="3"/>
  <c r="G455" i="3"/>
  <c r="G460" i="3"/>
  <c r="BA461" i="3"/>
  <c r="G467" i="3"/>
  <c r="BA468" i="3"/>
  <c r="BA472" i="3"/>
  <c r="BL474" i="3"/>
  <c r="BL478" i="3"/>
  <c r="G479" i="3"/>
  <c r="G480" i="3"/>
  <c r="BL486" i="3"/>
  <c r="BA487" i="3"/>
  <c r="BL490" i="3"/>
  <c r="AZ490" i="3" s="1"/>
  <c r="BA303" i="3"/>
  <c r="AZ303" i="3" s="1"/>
  <c r="BA307" i="3"/>
  <c r="AZ307" i="3" s="1"/>
  <c r="BA316" i="3"/>
  <c r="AZ316" i="3" s="1"/>
  <c r="BA385" i="3"/>
  <c r="G216" i="3"/>
  <c r="G234" i="3"/>
  <c r="BA248" i="3"/>
  <c r="BA265" i="3"/>
  <c r="BA290" i="3"/>
  <c r="BL302" i="3"/>
  <c r="BL146" i="3"/>
  <c r="BA160" i="3"/>
  <c r="AZ160" i="3" s="1"/>
  <c r="BA317" i="3"/>
  <c r="BL333" i="3"/>
  <c r="BA335" i="3"/>
  <c r="AZ335" i="3" s="1"/>
  <c r="BA339" i="3"/>
  <c r="AZ339" i="3" s="1"/>
  <c r="BA348" i="3"/>
  <c r="BL350" i="3"/>
  <c r="BA352" i="3"/>
  <c r="AZ352" i="3" s="1"/>
  <c r="BL365" i="3"/>
  <c r="AZ365" i="3" s="1"/>
  <c r="BA366" i="3"/>
  <c r="AZ366" i="3" s="1"/>
  <c r="G378" i="3"/>
  <c r="BL393" i="3"/>
  <c r="AZ393" i="3" s="1"/>
  <c r="BA397" i="3"/>
  <c r="BL209" i="3"/>
  <c r="G213" i="3"/>
  <c r="BA213" i="3"/>
  <c r="BA215" i="3"/>
  <c r="BL224" i="3"/>
  <c r="BA225" i="3"/>
  <c r="BL227" i="3"/>
  <c r="BL230" i="3"/>
  <c r="BA231" i="3"/>
  <c r="BA233" i="3"/>
  <c r="BL239" i="3"/>
  <c r="BA242" i="3"/>
  <c r="BL245" i="3"/>
  <c r="AZ245" i="3" s="1"/>
  <c r="BA250" i="3"/>
  <c r="BL252" i="3"/>
  <c r="BA255" i="3"/>
  <c r="BA259" i="3"/>
  <c r="BA261" i="3"/>
  <c r="BA274" i="3"/>
  <c r="BA275" i="3"/>
  <c r="BL278" i="3"/>
  <c r="G279" i="3"/>
  <c r="G283" i="3"/>
  <c r="G289" i="3"/>
  <c r="BA293" i="3"/>
  <c r="BA297" i="3"/>
  <c r="BL301" i="3"/>
  <c r="BL115" i="3"/>
  <c r="AZ115" i="3" s="1"/>
  <c r="BL121" i="3"/>
  <c r="BA122" i="3"/>
  <c r="BA126" i="3"/>
  <c r="BL129" i="3"/>
  <c r="BA144" i="3"/>
  <c r="AZ144" i="3" s="1"/>
  <c r="G154" i="3"/>
  <c r="G155" i="3"/>
  <c r="BL158" i="3"/>
  <c r="BA161" i="3"/>
  <c r="G164" i="3"/>
  <c r="BA165" i="3"/>
  <c r="BL167" i="3"/>
  <c r="AZ167" i="3" s="1"/>
  <c r="G176" i="3"/>
  <c r="BA186" i="3"/>
  <c r="BL187" i="3"/>
  <c r="AZ187" i="3" s="1"/>
  <c r="G188" i="3"/>
  <c r="BA189" i="3"/>
  <c r="G192" i="3"/>
  <c r="BA194" i="3"/>
  <c r="G203" i="3"/>
  <c r="BA22" i="3"/>
  <c r="BL24" i="3"/>
  <c r="B75" i="43"/>
  <c r="B55" i="43"/>
  <c r="B66" i="43"/>
  <c r="X29" i="71"/>
  <c r="Y34" i="71"/>
  <c r="Z34" i="71" s="1"/>
  <c r="C35" i="71"/>
  <c r="D81" i="71"/>
  <c r="C80" i="71"/>
  <c r="M56" i="9"/>
  <c r="N56" i="9"/>
  <c r="K56" i="9"/>
  <c r="G485" i="3"/>
  <c r="G486" i="3"/>
  <c r="BA486" i="3"/>
  <c r="G490" i="3"/>
  <c r="BL308" i="3"/>
  <c r="AZ308" i="3" s="1"/>
  <c r="G323" i="3"/>
  <c r="BL340" i="3"/>
  <c r="AZ340" i="3" s="1"/>
  <c r="BL359" i="3"/>
  <c r="AZ359" i="3" s="1"/>
  <c r="BL363" i="3"/>
  <c r="AZ363" i="3" s="1"/>
  <c r="G364" i="3"/>
  <c r="BL367" i="3"/>
  <c r="G369" i="3"/>
  <c r="BL375" i="3"/>
  <c r="AZ375" i="3" s="1"/>
  <c r="BL381" i="3"/>
  <c r="AZ381" i="3" s="1"/>
  <c r="BL383" i="3"/>
  <c r="AZ383" i="3" s="1"/>
  <c r="G384" i="3"/>
  <c r="BA386" i="3"/>
  <c r="AZ386" i="3" s="1"/>
  <c r="BL208" i="3"/>
  <c r="AZ208" i="3" s="1"/>
  <c r="BA212" i="3"/>
  <c r="BL215" i="3"/>
  <c r="BA220" i="3"/>
  <c r="BL223" i="3"/>
  <c r="BL226" i="3"/>
  <c r="BL233" i="3"/>
  <c r="BL238" i="3"/>
  <c r="G239" i="3"/>
  <c r="G241" i="3"/>
  <c r="BA241" i="3"/>
  <c r="BL243" i="3"/>
  <c r="AZ243" i="3" s="1"/>
  <c r="G245" i="3"/>
  <c r="BL246" i="3"/>
  <c r="BA247" i="3"/>
  <c r="BA249" i="3"/>
  <c r="G252" i="3"/>
  <c r="BL255" i="3"/>
  <c r="BA258" i="3"/>
  <c r="BL261" i="3"/>
  <c r="BL263" i="3"/>
  <c r="BA264" i="3"/>
  <c r="BA270" i="3"/>
  <c r="BL276" i="3"/>
  <c r="G278" i="3"/>
  <c r="BL281" i="3"/>
  <c r="G282" i="3"/>
  <c r="BA283" i="3"/>
  <c r="AZ283" i="3" s="1"/>
  <c r="BA289" i="3"/>
  <c r="BL300" i="3"/>
  <c r="G301" i="3"/>
  <c r="G120" i="3"/>
  <c r="BL123" i="3"/>
  <c r="AZ123" i="3" s="1"/>
  <c r="BA125" i="3"/>
  <c r="G128" i="3"/>
  <c r="BA130" i="3"/>
  <c r="AZ130" i="3" s="1"/>
  <c r="BL134" i="3"/>
  <c r="G135" i="3"/>
  <c r="BA136" i="3"/>
  <c r="AZ136" i="3" s="1"/>
  <c r="BL138" i="3"/>
  <c r="G139" i="3"/>
  <c r="BA140" i="3"/>
  <c r="AZ140" i="3" s="1"/>
  <c r="BL147" i="3"/>
  <c r="AZ147" i="3" s="1"/>
  <c r="BA150" i="3"/>
  <c r="BL157" i="3"/>
  <c r="AZ157" i="3" s="1"/>
  <c r="BL162" i="3"/>
  <c r="AZ162" i="3" s="1"/>
  <c r="BA164" i="3"/>
  <c r="AZ164" i="3" s="1"/>
  <c r="BA180" i="3"/>
  <c r="AZ180" i="3" s="1"/>
  <c r="BA184" i="3"/>
  <c r="AZ184" i="3" s="1"/>
  <c r="BL23" i="3"/>
  <c r="Y24" i="71"/>
  <c r="Z24" i="71" s="1"/>
  <c r="C41" i="71"/>
  <c r="T41" i="71" s="1"/>
  <c r="D40" i="71"/>
  <c r="T73" i="71"/>
  <c r="D73" i="71"/>
  <c r="C72" i="71"/>
  <c r="BL317" i="3"/>
  <c r="BA319" i="3"/>
  <c r="AZ319" i="3" s="1"/>
  <c r="BA323" i="3"/>
  <c r="AZ323" i="3" s="1"/>
  <c r="BL330" i="3"/>
  <c r="AZ330" i="3" s="1"/>
  <c r="G331" i="3"/>
  <c r="BA333" i="3"/>
  <c r="AZ333" i="3" s="1"/>
  <c r="BL348" i="3"/>
  <c r="G358" i="3"/>
  <c r="BA368" i="3"/>
  <c r="G392" i="3"/>
  <c r="BA209" i="3"/>
  <c r="AZ209" i="3" s="1"/>
  <c r="G214" i="3"/>
  <c r="G215" i="3"/>
  <c r="G217" i="3"/>
  <c r="BA218" i="3"/>
  <c r="BL220" i="3"/>
  <c r="BL222" i="3"/>
  <c r="G226" i="3"/>
  <c r="BA227" i="3"/>
  <c r="BA229" i="3"/>
  <c r="AZ229" i="3" s="1"/>
  <c r="G232" i="3"/>
  <c r="G233" i="3"/>
  <c r="BA235" i="3"/>
  <c r="BL237" i="3"/>
  <c r="G238" i="3"/>
  <c r="BA240" i="3"/>
  <c r="BL242" i="3"/>
  <c r="BL249" i="3"/>
  <c r="BL254" i="3"/>
  <c r="G255" i="3"/>
  <c r="BA257" i="3"/>
  <c r="BL259" i="3"/>
  <c r="G261" i="3"/>
  <c r="BL262" i="3"/>
  <c r="BA266" i="3"/>
  <c r="BL266" i="3"/>
  <c r="BL269" i="3"/>
  <c r="G276" i="3"/>
  <c r="BL280" i="3"/>
  <c r="G281" i="3"/>
  <c r="BA285" i="3"/>
  <c r="BA288" i="3"/>
  <c r="BL291" i="3"/>
  <c r="G300" i="3"/>
  <c r="BA116" i="3"/>
  <c r="AZ116" i="3" s="1"/>
  <c r="BA120" i="3"/>
  <c r="AZ120" i="3" s="1"/>
  <c r="G123" i="3"/>
  <c r="BA124" i="3"/>
  <c r="AZ124" i="3" s="1"/>
  <c r="BL126" i="3"/>
  <c r="BA129" i="3"/>
  <c r="G132" i="3"/>
  <c r="G134" i="3"/>
  <c r="BL137" i="3"/>
  <c r="G138" i="3"/>
  <c r="BL143" i="3"/>
  <c r="AZ143" i="3" s="1"/>
  <c r="G146" i="3"/>
  <c r="G147" i="3"/>
  <c r="BA149" i="3"/>
  <c r="BL151" i="3"/>
  <c r="AZ151" i="3" s="1"/>
  <c r="BA153" i="3"/>
  <c r="BA158" i="3"/>
  <c r="AZ158" i="3" s="1"/>
  <c r="BL161" i="3"/>
  <c r="G166" i="3"/>
  <c r="BL173" i="3"/>
  <c r="G174" i="3"/>
  <c r="BL178" i="3"/>
  <c r="G23" i="3"/>
  <c r="B37" i="71"/>
  <c r="S37" i="71" s="1"/>
  <c r="C32" i="71"/>
  <c r="D31" i="71"/>
  <c r="BL28" i="3"/>
  <c r="BL40" i="3"/>
  <c r="BL41" i="3"/>
  <c r="BA48" i="3"/>
  <c r="BL48" i="3"/>
  <c r="BL56" i="3"/>
  <c r="BA62" i="3"/>
  <c r="BL65" i="3"/>
  <c r="BA68" i="3"/>
  <c r="BL71" i="3"/>
  <c r="BL75" i="3"/>
  <c r="AZ75" i="3" s="1"/>
  <c r="BA87" i="3"/>
  <c r="BL87" i="3"/>
  <c r="BL90" i="3"/>
  <c r="BA91" i="3"/>
  <c r="BL93" i="3"/>
  <c r="BL98" i="3"/>
  <c r="AZ98" i="3" s="1"/>
  <c r="BL100" i="3"/>
  <c r="G103" i="3"/>
  <c r="BA103" i="3"/>
  <c r="BL107" i="3"/>
  <c r="D64" i="71"/>
  <c r="E76" i="71"/>
  <c r="E75" i="71" s="1"/>
  <c r="E68" i="71"/>
  <c r="E67" i="71" s="1"/>
  <c r="Y27" i="71"/>
  <c r="Z27" i="71" s="1"/>
  <c r="B33" i="71"/>
  <c r="S33" i="71" s="1"/>
  <c r="X31" i="71"/>
  <c r="B60" i="71"/>
  <c r="B61" i="71" s="1"/>
  <c r="S61" i="71" s="1"/>
  <c r="AA10" i="43"/>
  <c r="BA169" i="3"/>
  <c r="BL171" i="3"/>
  <c r="AZ171" i="3" s="1"/>
  <c r="BL179" i="3"/>
  <c r="AZ179" i="3" s="1"/>
  <c r="G182" i="3"/>
  <c r="BA182" i="3"/>
  <c r="BL189" i="3"/>
  <c r="BL194" i="3"/>
  <c r="BA196" i="3"/>
  <c r="AZ196" i="3" s="1"/>
  <c r="BL199" i="3"/>
  <c r="AZ199" i="3" s="1"/>
  <c r="BA202" i="3"/>
  <c r="BL205" i="3"/>
  <c r="BA207" i="3"/>
  <c r="BA25" i="3"/>
  <c r="BL27" i="3"/>
  <c r="BA35" i="3"/>
  <c r="G39" i="3"/>
  <c r="BL47" i="3"/>
  <c r="G53" i="3"/>
  <c r="BA53" i="3"/>
  <c r="BL55" i="3"/>
  <c r="G61" i="3"/>
  <c r="BA61" i="3"/>
  <c r="BL63" i="3"/>
  <c r="AZ63" i="3" s="1"/>
  <c r="BL68" i="3"/>
  <c r="BL70" i="3"/>
  <c r="G79" i="3"/>
  <c r="BA79" i="3"/>
  <c r="BL82" i="3"/>
  <c r="BA84" i="3"/>
  <c r="BL86" i="3"/>
  <c r="G90" i="3"/>
  <c r="BL97" i="3"/>
  <c r="BA102" i="3"/>
  <c r="BL106" i="3"/>
  <c r="BA107" i="3"/>
  <c r="BA110" i="3"/>
  <c r="E59" i="43"/>
  <c r="B57" i="43" s="1"/>
  <c r="C40" i="69"/>
  <c r="S21" i="33"/>
  <c r="C63" i="71"/>
  <c r="AB25" i="71"/>
  <c r="B44" i="71"/>
  <c r="B45" i="71" s="1"/>
  <c r="S45" i="71" s="1"/>
  <c r="B48" i="71"/>
  <c r="B49" i="71" s="1"/>
  <c r="S49" i="71" s="1"/>
  <c r="C52" i="71"/>
  <c r="G170" i="3"/>
  <c r="G171" i="3"/>
  <c r="BL175" i="3"/>
  <c r="AZ175" i="3" s="1"/>
  <c r="G178" i="3"/>
  <c r="G179" i="3"/>
  <c r="BA181" i="3"/>
  <c r="BL183" i="3"/>
  <c r="AZ183" i="3" s="1"/>
  <c r="BA185" i="3"/>
  <c r="BA190" i="3"/>
  <c r="AZ190" i="3" s="1"/>
  <c r="BL193" i="3"/>
  <c r="AZ193" i="3" s="1"/>
  <c r="G198" i="3"/>
  <c r="G199" i="3"/>
  <c r="G205" i="3"/>
  <c r="BA205" i="3"/>
  <c r="BL18" i="3"/>
  <c r="G19" i="3"/>
  <c r="BA20" i="3"/>
  <c r="BL22" i="3"/>
  <c r="G26" i="3"/>
  <c r="G27" i="3"/>
  <c r="BA27" i="3"/>
  <c r="BA31" i="3"/>
  <c r="BA38" i="3"/>
  <c r="BL43" i="3"/>
  <c r="BL46" i="3"/>
  <c r="G47" i="3"/>
  <c r="BA52" i="3"/>
  <c r="BL54" i="3"/>
  <c r="G55" i="3"/>
  <c r="BA60" i="3"/>
  <c r="BL62" i="3"/>
  <c r="BL67" i="3"/>
  <c r="G68" i="3"/>
  <c r="G70" i="3"/>
  <c r="BA78" i="3"/>
  <c r="BL81" i="3"/>
  <c r="G82" i="3"/>
  <c r="G86" i="3"/>
  <c r="BL96" i="3"/>
  <c r="G97" i="3"/>
  <c r="BA101" i="3"/>
  <c r="G105" i="3"/>
  <c r="G106" i="3"/>
  <c r="BA106" i="3"/>
  <c r="BL110" i="3"/>
  <c r="BL111" i="3"/>
  <c r="X32" i="71"/>
  <c r="X35" i="71"/>
  <c r="C44" i="71"/>
  <c r="D44" i="71" s="1"/>
  <c r="E52" i="71"/>
  <c r="E53" i="71" s="1"/>
  <c r="U53" i="71" s="1"/>
  <c r="B56" i="71"/>
  <c r="B57" i="71" s="1"/>
  <c r="S57" i="71" s="1"/>
  <c r="C77" i="9"/>
  <c r="C74" i="9" s="1"/>
  <c r="C20" i="43"/>
  <c r="C13" i="12"/>
  <c r="J1" i="73"/>
  <c r="D19" i="53"/>
  <c r="D17" i="53"/>
  <c r="B36" i="72" s="1"/>
  <c r="D124" i="9"/>
  <c r="AC11" i="37"/>
  <c r="AZ369" i="3"/>
  <c r="AZ337" i="3"/>
  <c r="S11" i="39"/>
  <c r="AA11" i="39"/>
  <c r="AZ510" i="3"/>
  <c r="F78" i="34"/>
  <c r="G78" i="34" s="1"/>
  <c r="H15" i="34"/>
  <c r="S41" i="34"/>
  <c r="AA41" i="34"/>
  <c r="AZ499" i="3"/>
  <c r="W14" i="37"/>
  <c r="AC14" i="37"/>
  <c r="U13" i="34"/>
  <c r="AB13" i="34"/>
  <c r="W36" i="34"/>
  <c r="AC36" i="34"/>
  <c r="AA41" i="33"/>
  <c r="S41" i="33"/>
  <c r="AZ17" i="3"/>
  <c r="AZ552" i="3"/>
  <c r="W45" i="33"/>
  <c r="AC45" i="33"/>
  <c r="AC44" i="21"/>
  <c r="W44" i="21"/>
  <c r="U23" i="21"/>
  <c r="AC12" i="37"/>
  <c r="W12" i="37"/>
  <c r="AC31" i="34"/>
  <c r="W31" i="34"/>
  <c r="AC46" i="21"/>
  <c r="W46" i="21"/>
  <c r="BQ5" i="3"/>
  <c r="AZ495" i="3"/>
  <c r="AZ523" i="3"/>
  <c r="AZ531" i="3"/>
  <c r="AZ539" i="3"/>
  <c r="AZ547" i="3"/>
  <c r="AZ538" i="3"/>
  <c r="F27" i="21"/>
  <c r="F46" i="21"/>
  <c r="J15" i="34"/>
  <c r="F19" i="34"/>
  <c r="S34" i="39"/>
  <c r="W40" i="39"/>
  <c r="AC41" i="33"/>
  <c r="J12" i="34"/>
  <c r="H12" i="36"/>
  <c r="W31" i="35"/>
  <c r="AC31" i="35"/>
  <c r="G551" i="3"/>
  <c r="BL550" i="3"/>
  <c r="AZ347" i="3"/>
  <c r="AZ313" i="3"/>
  <c r="S22" i="31"/>
  <c r="R22" i="31" s="1"/>
  <c r="AZ494" i="3"/>
  <c r="AZ500" i="3"/>
  <c r="AZ518" i="3"/>
  <c r="S8" i="33"/>
  <c r="F15" i="34"/>
  <c r="S34" i="21"/>
  <c r="S27" i="35"/>
  <c r="J45" i="39"/>
  <c r="AA12" i="34"/>
  <c r="S12" i="34"/>
  <c r="H26" i="37"/>
  <c r="AZ451" i="3"/>
  <c r="BL586" i="3"/>
  <c r="J9" i="36"/>
  <c r="H9" i="36"/>
  <c r="H25" i="37"/>
  <c r="F25" i="37"/>
  <c r="BA551" i="3"/>
  <c r="AZ551" i="3" s="1"/>
  <c r="BA550" i="3"/>
  <c r="BL548" i="3"/>
  <c r="G29" i="6"/>
  <c r="AZ377" i="3"/>
  <c r="AZ326" i="3"/>
  <c r="AZ390" i="3"/>
  <c r="AZ344" i="3"/>
  <c r="AZ378" i="3"/>
  <c r="AZ327" i="3"/>
  <c r="U43" i="33"/>
  <c r="AZ564" i="3"/>
  <c r="AZ580" i="3"/>
  <c r="W13" i="36"/>
  <c r="F45" i="39"/>
  <c r="J25" i="37"/>
  <c r="J39" i="40"/>
  <c r="H39" i="40"/>
  <c r="G556" i="3"/>
  <c r="G542" i="3"/>
  <c r="G400" i="3"/>
  <c r="BL400" i="3"/>
  <c r="AZ400" i="3" s="1"/>
  <c r="BA403" i="3"/>
  <c r="BA404" i="3"/>
  <c r="AZ404" i="3" s="1"/>
  <c r="BA409" i="3"/>
  <c r="AZ409" i="3" s="1"/>
  <c r="G412" i="3"/>
  <c r="G413" i="3"/>
  <c r="BL413" i="3"/>
  <c r="AZ413" i="3" s="1"/>
  <c r="G422" i="3"/>
  <c r="G424" i="3"/>
  <c r="BL424" i="3"/>
  <c r="AZ424" i="3" s="1"/>
  <c r="BA430" i="3"/>
  <c r="AZ430" i="3" s="1"/>
  <c r="G433" i="3"/>
  <c r="G434" i="3"/>
  <c r="G439" i="3"/>
  <c r="BL439" i="3"/>
  <c r="AZ439" i="3" s="1"/>
  <c r="BL442" i="3"/>
  <c r="BA445" i="3"/>
  <c r="AZ445" i="3" s="1"/>
  <c r="BA446" i="3"/>
  <c r="BA447" i="3"/>
  <c r="AZ447" i="3" s="1"/>
  <c r="G450" i="3"/>
  <c r="BL459" i="3"/>
  <c r="G465" i="3"/>
  <c r="G466" i="3"/>
  <c r="BL466" i="3"/>
  <c r="AZ466" i="3" s="1"/>
  <c r="G472" i="3"/>
  <c r="BL472" i="3"/>
  <c r="AZ472" i="3" s="1"/>
  <c r="BA476" i="3"/>
  <c r="AZ476" i="3" s="1"/>
  <c r="BA477" i="3"/>
  <c r="BA478" i="3"/>
  <c r="G481" i="3"/>
  <c r="G483" i="3"/>
  <c r="BL483" i="3"/>
  <c r="AZ483" i="3" s="1"/>
  <c r="BL491" i="3"/>
  <c r="AZ491" i="3" s="1"/>
  <c r="G313" i="3"/>
  <c r="BA315" i="3"/>
  <c r="AZ315" i="3" s="1"/>
  <c r="G329" i="3"/>
  <c r="BA331" i="3"/>
  <c r="AZ331" i="3" s="1"/>
  <c r="BL353" i="3"/>
  <c r="AZ353" i="3" s="1"/>
  <c r="G362" i="3"/>
  <c r="G380" i="3"/>
  <c r="BA392" i="3"/>
  <c r="AZ392" i="3" s="1"/>
  <c r="BC5" i="3"/>
  <c r="AZ399" i="3"/>
  <c r="AZ406" i="3"/>
  <c r="AZ411" i="3"/>
  <c r="AZ421" i="3"/>
  <c r="AZ423" i="3"/>
  <c r="AZ432" i="3"/>
  <c r="AZ435" i="3"/>
  <c r="AZ449" i="3"/>
  <c r="BA450" i="3"/>
  <c r="AZ450" i="3" s="1"/>
  <c r="BL452" i="3"/>
  <c r="BL454" i="3"/>
  <c r="AZ454" i="3" s="1"/>
  <c r="AZ458" i="3"/>
  <c r="BL461" i="3"/>
  <c r="BA464" i="3"/>
  <c r="AZ464" i="3" s="1"/>
  <c r="BA465" i="3"/>
  <c r="AZ465" i="3" s="1"/>
  <c r="BL468" i="3"/>
  <c r="BA471" i="3"/>
  <c r="AZ471" i="3" s="1"/>
  <c r="BL473" i="3"/>
  <c r="AZ473" i="3" s="1"/>
  <c r="BA480" i="3"/>
  <c r="AZ480" i="3" s="1"/>
  <c r="BA481" i="3"/>
  <c r="AZ481" i="3" s="1"/>
  <c r="BA482" i="3"/>
  <c r="AZ482" i="3" s="1"/>
  <c r="BL485" i="3"/>
  <c r="BL487" i="3"/>
  <c r="AZ487" i="3" s="1"/>
  <c r="G311" i="3"/>
  <c r="G327" i="3"/>
  <c r="G343" i="3"/>
  <c r="G351" i="3"/>
  <c r="BA354" i="3"/>
  <c r="AZ354" i="3" s="1"/>
  <c r="BL368" i="3"/>
  <c r="G574" i="3"/>
  <c r="BL15" i="3"/>
  <c r="AZ15" i="3" s="1"/>
  <c r="BL403" i="3"/>
  <c r="BL408" i="3"/>
  <c r="AZ408" i="3" s="1"/>
  <c r="BA414" i="3"/>
  <c r="AZ414" i="3" s="1"/>
  <c r="G417" i="3"/>
  <c r="G418" i="3"/>
  <c r="BA425" i="3"/>
  <c r="AZ425" i="3" s="1"/>
  <c r="G428" i="3"/>
  <c r="G429" i="3"/>
  <c r="BL429" i="3"/>
  <c r="AZ429" i="3" s="1"/>
  <c r="BL437" i="3"/>
  <c r="AZ437" i="3" s="1"/>
  <c r="BA440" i="3"/>
  <c r="AZ440" i="3" s="1"/>
  <c r="BA441" i="3"/>
  <c r="AZ441" i="3" s="1"/>
  <c r="BA442" i="3"/>
  <c r="G444" i="3"/>
  <c r="BL444" i="3"/>
  <c r="AZ444" i="3" s="1"/>
  <c r="BL446" i="3"/>
  <c r="G454" i="3"/>
  <c r="G456" i="3"/>
  <c r="BL456" i="3"/>
  <c r="AZ456" i="3" s="1"/>
  <c r="BA459" i="3"/>
  <c r="AZ459" i="3" s="1"/>
  <c r="BA460" i="3"/>
  <c r="AZ460" i="3" s="1"/>
  <c r="BA467" i="3"/>
  <c r="G475" i="3"/>
  <c r="BL475" i="3"/>
  <c r="AZ475" i="3" s="1"/>
  <c r="BL477" i="3"/>
  <c r="BA484" i="3"/>
  <c r="AZ484" i="3" s="1"/>
  <c r="G487" i="3"/>
  <c r="G489" i="3"/>
  <c r="BL489" i="3"/>
  <c r="AZ489" i="3" s="1"/>
  <c r="BA492" i="3"/>
  <c r="AZ492" i="3" s="1"/>
  <c r="BL316" i="3"/>
  <c r="G318" i="3"/>
  <c r="BL332" i="3"/>
  <c r="AZ332" i="3" s="1"/>
  <c r="G334" i="3"/>
  <c r="BL346" i="3"/>
  <c r="AZ346" i="3" s="1"/>
  <c r="G349" i="3"/>
  <c r="BA350" i="3"/>
  <c r="AZ350" i="3" s="1"/>
  <c r="G366" i="3"/>
  <c r="BA367" i="3"/>
  <c r="AZ367" i="3" s="1"/>
  <c r="BA370" i="3"/>
  <c r="AZ370" i="3" s="1"/>
  <c r="BA374" i="3"/>
  <c r="AZ374" i="3" s="1"/>
  <c r="BL398" i="3"/>
  <c r="BL405" i="3"/>
  <c r="BL410" i="3"/>
  <c r="BA416" i="3"/>
  <c r="AZ416" i="3" s="1"/>
  <c r="BA417" i="3"/>
  <c r="AZ417" i="3" s="1"/>
  <c r="BA418" i="3"/>
  <c r="AZ418" i="3" s="1"/>
  <c r="BL420" i="3"/>
  <c r="BL422" i="3"/>
  <c r="AZ422" i="3" s="1"/>
  <c r="BA427" i="3"/>
  <c r="AZ427" i="3" s="1"/>
  <c r="BA428" i="3"/>
  <c r="AZ428" i="3" s="1"/>
  <c r="BL431" i="3"/>
  <c r="BL434" i="3"/>
  <c r="AZ434" i="3" s="1"/>
  <c r="BL448" i="3"/>
  <c r="AZ453" i="3"/>
  <c r="BA455" i="3"/>
  <c r="AZ455" i="3" s="1"/>
  <c r="BL457" i="3"/>
  <c r="AZ457" i="3" s="1"/>
  <c r="AZ462" i="3"/>
  <c r="BL463" i="3"/>
  <c r="AZ469" i="3"/>
  <c r="AZ474" i="3"/>
  <c r="BL479" i="3"/>
  <c r="AZ486" i="3"/>
  <c r="AZ488" i="3"/>
  <c r="BL385" i="3"/>
  <c r="G387" i="3"/>
  <c r="G209" i="3"/>
  <c r="G210" i="3"/>
  <c r="BL210" i="3"/>
  <c r="BL214" i="3"/>
  <c r="AZ214" i="3" s="1"/>
  <c r="BA221" i="3"/>
  <c r="AZ221" i="3" s="1"/>
  <c r="BA222" i="3"/>
  <c r="BA223" i="3"/>
  <c r="AZ223" i="3" s="1"/>
  <c r="BA224" i="3"/>
  <c r="AZ224" i="3" s="1"/>
  <c r="G227" i="3"/>
  <c r="G228" i="3"/>
  <c r="BL228" i="3"/>
  <c r="AZ228" i="3" s="1"/>
  <c r="BA230" i="3"/>
  <c r="AZ230" i="3" s="1"/>
  <c r="BL232" i="3"/>
  <c r="AZ232" i="3" s="1"/>
  <c r="G243" i="3"/>
  <c r="G244" i="3"/>
  <c r="BL244" i="3"/>
  <c r="AZ244" i="3" s="1"/>
  <c r="BA246" i="3"/>
  <c r="AZ246" i="3" s="1"/>
  <c r="BL248" i="3"/>
  <c r="G259" i="3"/>
  <c r="G260" i="3"/>
  <c r="BL260" i="3"/>
  <c r="AZ260" i="3" s="1"/>
  <c r="BA262" i="3"/>
  <c r="AZ262" i="3" s="1"/>
  <c r="BA263" i="3"/>
  <c r="AZ263" i="3" s="1"/>
  <c r="BL265" i="3"/>
  <c r="AZ265" i="3" s="1"/>
  <c r="BA267" i="3"/>
  <c r="AZ267" i="3" s="1"/>
  <c r="BA268" i="3"/>
  <c r="AZ268" i="3" s="1"/>
  <c r="BA269" i="3"/>
  <c r="AZ269" i="3" s="1"/>
  <c r="BL271" i="3"/>
  <c r="AZ271" i="3" s="1"/>
  <c r="G277" i="3"/>
  <c r="BL277" i="3"/>
  <c r="BA286" i="3"/>
  <c r="G290" i="3"/>
  <c r="BL290" i="3"/>
  <c r="G294" i="3"/>
  <c r="BA295" i="3"/>
  <c r="BL297" i="3"/>
  <c r="AZ297" i="3" s="1"/>
  <c r="G299" i="3"/>
  <c r="BL299" i="3"/>
  <c r="AZ299" i="3" s="1"/>
  <c r="AZ226" i="3"/>
  <c r="AZ242" i="3"/>
  <c r="AZ258" i="3"/>
  <c r="AZ276" i="3"/>
  <c r="AZ289" i="3"/>
  <c r="AZ290" i="3"/>
  <c r="BA117" i="3"/>
  <c r="BA384" i="3"/>
  <c r="AZ384" i="3" s="1"/>
  <c r="BL397" i="3"/>
  <c r="BL212" i="3"/>
  <c r="BL217" i="3"/>
  <c r="AZ217" i="3" s="1"/>
  <c r="BA219" i="3"/>
  <c r="AZ219" i="3" s="1"/>
  <c r="BL234" i="3"/>
  <c r="AZ234" i="3" s="1"/>
  <c r="BA236" i="3"/>
  <c r="AZ236" i="3" s="1"/>
  <c r="BA237" i="3"/>
  <c r="AZ237" i="3" s="1"/>
  <c r="BA238" i="3"/>
  <c r="AZ238" i="3" s="1"/>
  <c r="BL240" i="3"/>
  <c r="AZ240" i="3" s="1"/>
  <c r="BL250" i="3"/>
  <c r="AZ250" i="3" s="1"/>
  <c r="BA252" i="3"/>
  <c r="BA253" i="3"/>
  <c r="AZ253" i="3" s="1"/>
  <c r="BA254" i="3"/>
  <c r="AZ254" i="3" s="1"/>
  <c r="BL256" i="3"/>
  <c r="AZ256" i="3" s="1"/>
  <c r="BL274" i="3"/>
  <c r="BA278" i="3"/>
  <c r="AZ278" i="3" s="1"/>
  <c r="BA279" i="3"/>
  <c r="AZ279" i="3" s="1"/>
  <c r="BA280" i="3"/>
  <c r="AZ280" i="3" s="1"/>
  <c r="BA281" i="3"/>
  <c r="AZ281" i="3" s="1"/>
  <c r="G285" i="3"/>
  <c r="BL285" i="3"/>
  <c r="AZ285" i="3" s="1"/>
  <c r="BL286" i="3"/>
  <c r="BA291" i="3"/>
  <c r="AZ291" i="3" s="1"/>
  <c r="BA292" i="3"/>
  <c r="AZ292" i="3" s="1"/>
  <c r="BL295" i="3"/>
  <c r="BA301" i="3"/>
  <c r="BL118" i="3"/>
  <c r="BA395" i="3"/>
  <c r="AZ395" i="3" s="1"/>
  <c r="BA396" i="3"/>
  <c r="AZ396" i="3" s="1"/>
  <c r="BA211" i="3"/>
  <c r="AZ211" i="3" s="1"/>
  <c r="BL213" i="3"/>
  <c r="BA216" i="3"/>
  <c r="AZ216" i="3" s="1"/>
  <c r="BL218" i="3"/>
  <c r="AZ218" i="3" s="1"/>
  <c r="G222" i="3"/>
  <c r="G223" i="3"/>
  <c r="G224" i="3"/>
  <c r="G225" i="3"/>
  <c r="BL225" i="3"/>
  <c r="AZ225" i="3" s="1"/>
  <c r="G231" i="3"/>
  <c r="BL231" i="3"/>
  <c r="BL235" i="3"/>
  <c r="AZ235" i="3" s="1"/>
  <c r="BL241" i="3"/>
  <c r="AZ241" i="3" s="1"/>
  <c r="G247" i="3"/>
  <c r="BL247" i="3"/>
  <c r="BL251" i="3"/>
  <c r="AZ251" i="3" s="1"/>
  <c r="BL257" i="3"/>
  <c r="AZ257" i="3" s="1"/>
  <c r="G263" i="3"/>
  <c r="G264" i="3"/>
  <c r="BL264" i="3"/>
  <c r="G268" i="3"/>
  <c r="G269" i="3"/>
  <c r="G270" i="3"/>
  <c r="BL270" i="3"/>
  <c r="AZ270" i="3" s="1"/>
  <c r="BA272" i="3"/>
  <c r="AZ272" i="3" s="1"/>
  <c r="BA273" i="3"/>
  <c r="AZ273" i="3" s="1"/>
  <c r="BL275" i="3"/>
  <c r="AZ275" i="3" s="1"/>
  <c r="BA284" i="3"/>
  <c r="AZ284" i="3" s="1"/>
  <c r="G288" i="3"/>
  <c r="BL288" i="3"/>
  <c r="AZ288" i="3" s="1"/>
  <c r="BL294" i="3"/>
  <c r="AZ294" i="3" s="1"/>
  <c r="BA296" i="3"/>
  <c r="AZ296" i="3" s="1"/>
  <c r="BA118" i="3"/>
  <c r="BA121" i="3"/>
  <c r="AZ121" i="3" s="1"/>
  <c r="G124" i="3"/>
  <c r="G127" i="3"/>
  <c r="G130" i="3"/>
  <c r="G131" i="3"/>
  <c r="BL133" i="3"/>
  <c r="AZ133" i="3" s="1"/>
  <c r="BL135" i="3"/>
  <c r="AZ135" i="3" s="1"/>
  <c r="BL139" i="3"/>
  <c r="AZ139" i="3" s="1"/>
  <c r="AZ161" i="3"/>
  <c r="BL166" i="3"/>
  <c r="AZ166" i="3" s="1"/>
  <c r="BL169" i="3"/>
  <c r="AZ169" i="3" s="1"/>
  <c r="BA19" i="3"/>
  <c r="D48" i="71"/>
  <c r="C49" i="71"/>
  <c r="AZ126" i="3"/>
  <c r="AZ129" i="3"/>
  <c r="BL149" i="3"/>
  <c r="AZ149" i="3" s="1"/>
  <c r="BA156" i="3"/>
  <c r="AZ156" i="3" s="1"/>
  <c r="BL170" i="3"/>
  <c r="AZ170" i="3" s="1"/>
  <c r="BL181" i="3"/>
  <c r="BA188" i="3"/>
  <c r="AZ188" i="3" s="1"/>
  <c r="AZ205" i="3"/>
  <c r="BA206" i="3"/>
  <c r="AZ206" i="3" s="1"/>
  <c r="BA18" i="3"/>
  <c r="AZ18" i="3" s="1"/>
  <c r="BL20" i="3"/>
  <c r="AZ20" i="3" s="1"/>
  <c r="G21" i="3"/>
  <c r="G24" i="3"/>
  <c r="G25" i="3"/>
  <c r="BL25" i="3"/>
  <c r="AZ25" i="3" s="1"/>
  <c r="BL26" i="3"/>
  <c r="AZ26" i="3" s="1"/>
  <c r="BA33" i="3"/>
  <c r="AZ33" i="3" s="1"/>
  <c r="BA34" i="3"/>
  <c r="AZ34" i="3" s="1"/>
  <c r="BA36" i="3"/>
  <c r="BA40" i="3"/>
  <c r="AZ40" i="3" s="1"/>
  <c r="BA41" i="3"/>
  <c r="AZ41" i="3" s="1"/>
  <c r="BA44" i="3"/>
  <c r="C28" i="71"/>
  <c r="D27" i="71"/>
  <c r="BL282" i="3"/>
  <c r="AZ282" i="3" s="1"/>
  <c r="BL287" i="3"/>
  <c r="AZ287" i="3" s="1"/>
  <c r="G293" i="3"/>
  <c r="BL293" i="3"/>
  <c r="AZ293" i="3" s="1"/>
  <c r="BA300" i="3"/>
  <c r="AZ300" i="3" s="1"/>
  <c r="G114" i="3"/>
  <c r="G115" i="3"/>
  <c r="BL117" i="3"/>
  <c r="BL119" i="3"/>
  <c r="AZ119" i="3" s="1"/>
  <c r="BA134" i="3"/>
  <c r="BA137" i="3"/>
  <c r="AZ137" i="3" s="1"/>
  <c r="BA138" i="3"/>
  <c r="AZ138" i="3" s="1"/>
  <c r="BA141" i="3"/>
  <c r="AZ141" i="3" s="1"/>
  <c r="BA142" i="3"/>
  <c r="AZ142" i="3" s="1"/>
  <c r="BA145" i="3"/>
  <c r="AZ145" i="3" s="1"/>
  <c r="BA146" i="3"/>
  <c r="AZ146" i="3" s="1"/>
  <c r="BL150" i="3"/>
  <c r="AZ150" i="3" s="1"/>
  <c r="BL153" i="3"/>
  <c r="AZ153" i="3" s="1"/>
  <c r="BL159" i="3"/>
  <c r="AZ159" i="3" s="1"/>
  <c r="BL163" i="3"/>
  <c r="AZ163" i="3" s="1"/>
  <c r="BA168" i="3"/>
  <c r="AZ168" i="3" s="1"/>
  <c r="G172" i="3"/>
  <c r="BA173" i="3"/>
  <c r="AZ173" i="3" s="1"/>
  <c r="BA174" i="3"/>
  <c r="AZ174" i="3" s="1"/>
  <c r="BA177" i="3"/>
  <c r="AZ177" i="3" s="1"/>
  <c r="BA178" i="3"/>
  <c r="AZ178" i="3" s="1"/>
  <c r="BL182" i="3"/>
  <c r="AZ182" i="3" s="1"/>
  <c r="BL185" i="3"/>
  <c r="AZ185" i="3" s="1"/>
  <c r="BL191" i="3"/>
  <c r="AZ191" i="3" s="1"/>
  <c r="G196" i="3"/>
  <c r="BL197" i="3"/>
  <c r="AZ197" i="3" s="1"/>
  <c r="BL19" i="3"/>
  <c r="G20" i="3"/>
  <c r="BA21" i="3"/>
  <c r="AZ21" i="3" s="1"/>
  <c r="BA23" i="3"/>
  <c r="AZ23" i="3" s="1"/>
  <c r="BA24" i="3"/>
  <c r="AZ24" i="3" s="1"/>
  <c r="G31" i="3"/>
  <c r="BL31" i="3"/>
  <c r="BL37" i="3"/>
  <c r="AZ37" i="3" s="1"/>
  <c r="BL38" i="3"/>
  <c r="AZ38" i="3" s="1"/>
  <c r="G295" i="3"/>
  <c r="G296" i="3"/>
  <c r="G297" i="3"/>
  <c r="G298" i="3"/>
  <c r="BL298" i="3"/>
  <c r="BA302" i="3"/>
  <c r="AZ302" i="3" s="1"/>
  <c r="BA113" i="3"/>
  <c r="AZ113" i="3" s="1"/>
  <c r="BA114" i="3"/>
  <c r="AZ114" i="3" s="1"/>
  <c r="G119" i="3"/>
  <c r="G122" i="3"/>
  <c r="BL122" i="3"/>
  <c r="BL125" i="3"/>
  <c r="BL127" i="3"/>
  <c r="AZ127" i="3" s="1"/>
  <c r="BL131" i="3"/>
  <c r="AZ131" i="3" s="1"/>
  <c r="G152" i="3"/>
  <c r="BL154" i="3"/>
  <c r="AZ154" i="3" s="1"/>
  <c r="G158" i="3"/>
  <c r="G159" i="3"/>
  <c r="G162" i="3"/>
  <c r="G163" i="3"/>
  <c r="BL165" i="3"/>
  <c r="AZ165" i="3" s="1"/>
  <c r="BA172" i="3"/>
  <c r="AZ172" i="3" s="1"/>
  <c r="G184" i="3"/>
  <c r="BL186" i="3"/>
  <c r="AZ186" i="3" s="1"/>
  <c r="G190" i="3"/>
  <c r="G191" i="3"/>
  <c r="G194" i="3"/>
  <c r="G195" i="3"/>
  <c r="BL198" i="3"/>
  <c r="AZ198" i="3" s="1"/>
  <c r="BL201" i="3"/>
  <c r="AZ201" i="3" s="1"/>
  <c r="BL202" i="3"/>
  <c r="AZ202" i="3" s="1"/>
  <c r="AZ27" i="3"/>
  <c r="BA28" i="3"/>
  <c r="AZ28" i="3" s="1"/>
  <c r="BA29" i="3"/>
  <c r="AZ29" i="3" s="1"/>
  <c r="BL32" i="3"/>
  <c r="AZ32" i="3" s="1"/>
  <c r="BL36" i="3"/>
  <c r="G37" i="3"/>
  <c r="BL39" i="3"/>
  <c r="AZ39" i="3" s="1"/>
  <c r="G45" i="3"/>
  <c r="G54" i="3"/>
  <c r="BA46" i="3"/>
  <c r="AZ46" i="3" s="1"/>
  <c r="BA47" i="3"/>
  <c r="AZ47" i="3" s="1"/>
  <c r="BL52" i="3"/>
  <c r="AZ52" i="3" s="1"/>
  <c r="BA54" i="3"/>
  <c r="AZ54" i="3" s="1"/>
  <c r="BA55" i="3"/>
  <c r="AZ55" i="3" s="1"/>
  <c r="BL60" i="3"/>
  <c r="AZ60" i="3" s="1"/>
  <c r="BA65" i="3"/>
  <c r="AZ65" i="3" s="1"/>
  <c r="BA66" i="3"/>
  <c r="AZ66" i="3" s="1"/>
  <c r="BA67" i="3"/>
  <c r="AZ67" i="3" s="1"/>
  <c r="BL69" i="3"/>
  <c r="AZ69" i="3" s="1"/>
  <c r="BL78" i="3"/>
  <c r="AZ78" i="3" s="1"/>
  <c r="BA81" i="3"/>
  <c r="AZ81" i="3" s="1"/>
  <c r="BA82" i="3"/>
  <c r="AZ82" i="3" s="1"/>
  <c r="BA83" i="3"/>
  <c r="BL85" i="3"/>
  <c r="BL88" i="3"/>
  <c r="AZ88" i="3" s="1"/>
  <c r="BL89" i="3"/>
  <c r="BL92" i="3"/>
  <c r="BA94" i="3"/>
  <c r="BA96" i="3"/>
  <c r="AZ96" i="3" s="1"/>
  <c r="BA97" i="3"/>
  <c r="AZ97" i="3" s="1"/>
  <c r="BL102" i="3"/>
  <c r="AZ102" i="3" s="1"/>
  <c r="D80" i="71"/>
  <c r="C79" i="71"/>
  <c r="D79" i="71" s="1"/>
  <c r="C75" i="71"/>
  <c r="D75" i="71" s="1"/>
  <c r="D76" i="71"/>
  <c r="C71" i="71"/>
  <c r="D71" i="71" s="1"/>
  <c r="D72" i="71"/>
  <c r="D35" i="71"/>
  <c r="C36" i="71"/>
  <c r="X23" i="71"/>
  <c r="X25" i="71"/>
  <c r="D56" i="71"/>
  <c r="C57" i="71"/>
  <c r="B63" i="71"/>
  <c r="N64" i="71"/>
  <c r="AB12" i="43"/>
  <c r="AB13" i="43" s="1"/>
  <c r="AB10" i="43"/>
  <c r="AJ12" i="43"/>
  <c r="AJ10" i="43"/>
  <c r="X22" i="71"/>
  <c r="BL195" i="3"/>
  <c r="AZ195" i="3" s="1"/>
  <c r="BA200" i="3"/>
  <c r="AZ200" i="3" s="1"/>
  <c r="G204" i="3"/>
  <c r="G206" i="3"/>
  <c r="G207" i="3"/>
  <c r="BL207" i="3"/>
  <c r="AZ207" i="3" s="1"/>
  <c r="G28" i="3"/>
  <c r="G29" i="3"/>
  <c r="G30" i="3"/>
  <c r="BL30" i="3"/>
  <c r="AZ30" i="3" s="1"/>
  <c r="BL35" i="3"/>
  <c r="AZ35" i="3" s="1"/>
  <c r="G41" i="3"/>
  <c r="G42" i="3"/>
  <c r="G43" i="3"/>
  <c r="G44" i="3"/>
  <c r="BL44" i="3"/>
  <c r="BA49" i="3"/>
  <c r="AZ49" i="3" s="1"/>
  <c r="BA50" i="3"/>
  <c r="AZ50" i="3" s="1"/>
  <c r="BA51" i="3"/>
  <c r="AZ51" i="3" s="1"/>
  <c r="BL53" i="3"/>
  <c r="AZ53" i="3" s="1"/>
  <c r="BA57" i="3"/>
  <c r="AZ57" i="3" s="1"/>
  <c r="BA58" i="3"/>
  <c r="AZ58" i="3" s="1"/>
  <c r="BA59" i="3"/>
  <c r="AZ59" i="3" s="1"/>
  <c r="BL61" i="3"/>
  <c r="G71" i="3"/>
  <c r="G72" i="3"/>
  <c r="G73" i="3"/>
  <c r="BL73" i="3"/>
  <c r="BA76" i="3"/>
  <c r="AZ76" i="3" s="1"/>
  <c r="BA77" i="3"/>
  <c r="AZ77" i="3" s="1"/>
  <c r="BL79" i="3"/>
  <c r="AZ79" i="3" s="1"/>
  <c r="BL84" i="3"/>
  <c r="AZ84" i="3" s="1"/>
  <c r="G85" i="3"/>
  <c r="BA86" i="3"/>
  <c r="AZ86" i="3" s="1"/>
  <c r="G92" i="3"/>
  <c r="BA93" i="3"/>
  <c r="AZ93" i="3" s="1"/>
  <c r="BA100" i="3"/>
  <c r="G104" i="3"/>
  <c r="BL104" i="3"/>
  <c r="AZ104" i="3" s="1"/>
  <c r="BL105" i="3"/>
  <c r="AZ105" i="3" s="1"/>
  <c r="BA111" i="3"/>
  <c r="AZ111" i="3" s="1"/>
  <c r="BA112" i="3"/>
  <c r="AZ112" i="3" s="1"/>
  <c r="K13" i="1"/>
  <c r="M13" i="1" s="1"/>
  <c r="O13" i="1" s="1"/>
  <c r="P13" i="1" s="1"/>
  <c r="U21" i="21"/>
  <c r="P27" i="6"/>
  <c r="D41" i="71"/>
  <c r="Y22" i="71"/>
  <c r="Z22" i="71" s="1"/>
  <c r="AA26" i="71"/>
  <c r="AA27" i="71"/>
  <c r="AB34" i="71"/>
  <c r="AB33" i="71"/>
  <c r="AB35" i="71"/>
  <c r="BA42" i="3"/>
  <c r="AZ42" i="3" s="1"/>
  <c r="BA43" i="3"/>
  <c r="AZ43" i="3" s="1"/>
  <c r="BL45" i="3"/>
  <c r="AZ45" i="3" s="1"/>
  <c r="G63" i="3"/>
  <c r="G64" i="3"/>
  <c r="BL64" i="3"/>
  <c r="AZ64" i="3" s="1"/>
  <c r="BA70" i="3"/>
  <c r="AZ70" i="3" s="1"/>
  <c r="BA71" i="3"/>
  <c r="AZ71" i="3" s="1"/>
  <c r="BA72" i="3"/>
  <c r="AZ72" i="3" s="1"/>
  <c r="BL74" i="3"/>
  <c r="AZ74" i="3" s="1"/>
  <c r="BL80" i="3"/>
  <c r="AZ80" i="3" s="1"/>
  <c r="BL83" i="3"/>
  <c r="G84" i="3"/>
  <c r="BA85" i="3"/>
  <c r="AZ85" i="3" s="1"/>
  <c r="BA89" i="3"/>
  <c r="AZ89" i="3" s="1"/>
  <c r="BA90" i="3"/>
  <c r="AZ90" i="3" s="1"/>
  <c r="BA92" i="3"/>
  <c r="AZ92" i="3" s="1"/>
  <c r="BL94" i="3"/>
  <c r="G95" i="3"/>
  <c r="BL95" i="3"/>
  <c r="AZ103" i="3"/>
  <c r="G109" i="3"/>
  <c r="BL109" i="3"/>
  <c r="AZ109" i="3" s="1"/>
  <c r="AB21" i="34"/>
  <c r="U21" i="34"/>
  <c r="AC18" i="35"/>
  <c r="W18" i="35"/>
  <c r="S18" i="36"/>
  <c r="X24" i="71"/>
  <c r="X33" i="71"/>
  <c r="X34" i="71"/>
  <c r="D52" i="71"/>
  <c r="C53" i="71"/>
  <c r="AZ62" i="3"/>
  <c r="AZ106" i="3"/>
  <c r="AC21" i="37"/>
  <c r="W21" i="37"/>
  <c r="W29" i="39"/>
  <c r="C67" i="71"/>
  <c r="D67" i="71" s="1"/>
  <c r="S25" i="71"/>
  <c r="B24" i="71"/>
  <c r="B23" i="71" s="1"/>
  <c r="X26" i="71"/>
  <c r="X28" i="71"/>
  <c r="X27" i="71"/>
  <c r="F31" i="71"/>
  <c r="F32" i="71" s="1"/>
  <c r="F33" i="71" s="1"/>
  <c r="V33" i="71" s="1"/>
  <c r="AB27" i="71"/>
  <c r="AB22" i="71"/>
  <c r="AB23" i="71"/>
  <c r="AB30" i="71"/>
  <c r="AA29" i="71"/>
  <c r="AA30" i="71"/>
  <c r="AA31" i="71"/>
  <c r="AA32" i="71"/>
  <c r="Y23" i="71"/>
  <c r="Z23" i="71" s="1"/>
  <c r="P61" i="67"/>
  <c r="P74" i="67"/>
  <c r="AA22" i="71"/>
  <c r="K100" i="43"/>
  <c r="U18" i="35"/>
  <c r="O62" i="71"/>
  <c r="C84" i="71"/>
  <c r="AB28" i="71"/>
  <c r="F36" i="71"/>
  <c r="F37" i="71" s="1"/>
  <c r="V37" i="71" s="1"/>
  <c r="B72" i="71"/>
  <c r="B71" i="71" s="1"/>
  <c r="B76" i="71"/>
  <c r="B75" i="71" s="1"/>
  <c r="C24" i="71"/>
  <c r="E37" i="71"/>
  <c r="U37" i="71" s="1"/>
  <c r="Y21" i="71"/>
  <c r="Z21" i="71" s="1"/>
  <c r="AB32" i="71"/>
  <c r="B52" i="71"/>
  <c r="B53" i="71" s="1"/>
  <c r="S53" i="71" s="1"/>
  <c r="G91" i="3"/>
  <c r="BL91" i="3"/>
  <c r="AZ91" i="3" s="1"/>
  <c r="BA99" i="3"/>
  <c r="AZ99" i="3" s="1"/>
  <c r="BL101" i="3"/>
  <c r="AZ101" i="3" s="1"/>
  <c r="G107" i="3"/>
  <c r="G108" i="3"/>
  <c r="BL108" i="3"/>
  <c r="AZ108" i="3" s="1"/>
  <c r="F3" i="35"/>
  <c r="J51" i="15"/>
  <c r="E23" i="71"/>
  <c r="T25" i="71"/>
  <c r="AA3" i="71"/>
  <c r="Y25" i="71"/>
  <c r="Z25" i="71" s="1"/>
  <c r="E33" i="71"/>
  <c r="U33" i="71" s="1"/>
  <c r="Y31" i="71"/>
  <c r="Z31" i="71" s="1"/>
  <c r="X30" i="71"/>
  <c r="C18" i="9"/>
  <c r="D18" i="9" s="1"/>
  <c r="AA45" i="34"/>
  <c r="AB37" i="34"/>
  <c r="S23" i="34"/>
  <c r="AB23" i="34"/>
  <c r="W21" i="34"/>
  <c r="S21" i="34"/>
  <c r="F10" i="34"/>
  <c r="H67" i="34"/>
  <c r="I67" i="34" s="1"/>
  <c r="W10" i="34"/>
  <c r="U10" i="34"/>
  <c r="W8" i="34"/>
  <c r="J22" i="43"/>
  <c r="AG11" i="43"/>
  <c r="AJ11" i="43"/>
  <c r="AQ8" i="1"/>
  <c r="G22" i="43"/>
  <c r="E8" i="6"/>
  <c r="F27" i="6" s="1"/>
  <c r="F36" i="6" s="1"/>
  <c r="T8" i="1"/>
  <c r="AC11" i="43"/>
  <c r="Z7" i="43"/>
  <c r="AF11" i="43"/>
  <c r="AR12" i="1"/>
  <c r="I101" i="43"/>
  <c r="I104" i="43" s="1"/>
  <c r="H22" i="43"/>
  <c r="B41" i="1"/>
  <c r="F52" i="9" s="1"/>
  <c r="M18" i="15"/>
  <c r="F54" i="9"/>
  <c r="F32" i="67"/>
  <c r="F60" i="67" s="1"/>
  <c r="C36" i="11"/>
  <c r="D68" i="9"/>
  <c r="F31" i="12"/>
  <c r="F30" i="68"/>
  <c r="F48" i="68" s="1"/>
  <c r="F53" i="9"/>
  <c r="C21" i="69"/>
  <c r="C5" i="11"/>
  <c r="D22" i="67"/>
  <c r="F22" i="43"/>
  <c r="E22" i="43"/>
  <c r="AZ13" i="3"/>
  <c r="AA11" i="43"/>
  <c r="AA13" i="43" s="1"/>
  <c r="AE11" i="43"/>
  <c r="AE13" i="43" s="1"/>
  <c r="AI11" i="43"/>
  <c r="AI13" i="43" s="1"/>
  <c r="Z11" i="43"/>
  <c r="AD11" i="43"/>
  <c r="AH11" i="43"/>
  <c r="T12" i="1"/>
  <c r="E101" i="43"/>
  <c r="M101" i="43"/>
  <c r="H101" i="43"/>
  <c r="L101" i="43"/>
  <c r="N104" i="46"/>
  <c r="F101" i="43"/>
  <c r="F102" i="43" s="1"/>
  <c r="BD5" i="3"/>
  <c r="E12" i="6" s="1"/>
  <c r="M7" i="1"/>
  <c r="D9" i="68"/>
  <c r="C9" i="68" s="1"/>
  <c r="D9" i="69"/>
  <c r="C9" i="69" s="1"/>
  <c r="D103" i="43"/>
  <c r="D107" i="43"/>
  <c r="T9" i="1"/>
  <c r="AQ9" i="1"/>
  <c r="T7" i="1"/>
  <c r="AQ7" i="1"/>
  <c r="D104" i="43"/>
  <c r="AR11" i="1"/>
  <c r="T11" i="1"/>
  <c r="C36" i="69"/>
  <c r="F29" i="6"/>
  <c r="E29" i="6" s="1"/>
  <c r="K15" i="1" s="1"/>
  <c r="F28" i="6"/>
  <c r="D116" i="43"/>
  <c r="E116" i="43" s="1"/>
  <c r="F116" i="43" s="1"/>
  <c r="G116" i="43" s="1"/>
  <c r="H116" i="43" s="1"/>
  <c r="D118" i="43"/>
  <c r="E118" i="43" s="1"/>
  <c r="F118" i="43" s="1"/>
  <c r="B115" i="43"/>
  <c r="C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D102" i="43"/>
  <c r="D106" i="43"/>
  <c r="J101" i="43"/>
  <c r="C101" i="43"/>
  <c r="G101" i="43"/>
  <c r="N101" i="43"/>
  <c r="N104" i="43" s="1"/>
  <c r="K101" i="43"/>
  <c r="K105" i="43" s="1"/>
  <c r="L68" i="9"/>
  <c r="M68" i="9" s="1"/>
  <c r="L65" i="9"/>
  <c r="M65" i="9" s="1"/>
  <c r="L66" i="9"/>
  <c r="M66" i="9" s="1"/>
  <c r="L64" i="9"/>
  <c r="M64" i="9" s="1"/>
  <c r="L63" i="9"/>
  <c r="M63" i="9" s="1"/>
  <c r="M69" i="9" s="1"/>
  <c r="N69" i="9" s="1"/>
  <c r="L67" i="9"/>
  <c r="M67" i="9" s="1"/>
  <c r="I14" i="74"/>
  <c r="B8" i="74" s="1"/>
  <c r="D127" i="9"/>
  <c r="D13" i="52" s="1"/>
  <c r="D12" i="52"/>
  <c r="O12" i="1"/>
  <c r="P12" i="1" s="1"/>
  <c r="G5" i="3"/>
  <c r="B3" i="3" s="1"/>
  <c r="E509" i="3" s="1"/>
  <c r="E15" i="6"/>
  <c r="AA28" i="33"/>
  <c r="S28" i="33"/>
  <c r="U29" i="33"/>
  <c r="AB29" i="33"/>
  <c r="U45" i="33"/>
  <c r="AB45" i="33"/>
  <c r="S14" i="34"/>
  <c r="AA14" i="34"/>
  <c r="U12" i="35"/>
  <c r="AB12" i="35"/>
  <c r="U11" i="35"/>
  <c r="AB11" i="35"/>
  <c r="O7" i="1"/>
  <c r="P7" i="1" s="1"/>
  <c r="O11" i="1"/>
  <c r="P11" i="1" s="1"/>
  <c r="C69" i="39"/>
  <c r="D67" i="39"/>
  <c r="D69" i="39" s="1"/>
  <c r="AC9" i="36"/>
  <c r="W9" i="36"/>
  <c r="AB23" i="36"/>
  <c r="U23" i="36"/>
  <c r="AC26" i="37"/>
  <c r="W26" i="37"/>
  <c r="C31" i="12"/>
  <c r="AZ557" i="3"/>
  <c r="AZ513" i="3"/>
  <c r="AZ517" i="3"/>
  <c r="AZ567" i="3"/>
  <c r="AZ571" i="3"/>
  <c r="AZ575" i="3"/>
  <c r="AZ579" i="3"/>
  <c r="S14" i="37"/>
  <c r="AA14" i="37"/>
  <c r="AA11" i="36"/>
  <c r="S11" i="36"/>
  <c r="AC11" i="35"/>
  <c r="W11" i="35"/>
  <c r="W30" i="34"/>
  <c r="AC30" i="34"/>
  <c r="AC29" i="33"/>
  <c r="W29" i="33"/>
  <c r="AA26" i="33"/>
  <c r="S26" i="33"/>
  <c r="BA586" i="3"/>
  <c r="H28" i="21"/>
  <c r="F28" i="21"/>
  <c r="J28" i="21"/>
  <c r="H31" i="21"/>
  <c r="J31" i="21"/>
  <c r="F31" i="21"/>
  <c r="B77" i="43"/>
  <c r="C25" i="39"/>
  <c r="AA9" i="34"/>
  <c r="S9" i="34"/>
  <c r="W12" i="34"/>
  <c r="AC12" i="34"/>
  <c r="W8" i="35"/>
  <c r="AC8" i="35"/>
  <c r="J34" i="35"/>
  <c r="H34" i="35"/>
  <c r="F34" i="35"/>
  <c r="AB9" i="36"/>
  <c r="U9" i="36"/>
  <c r="H34" i="36"/>
  <c r="J34" i="36"/>
  <c r="H33" i="36"/>
  <c r="F33" i="36"/>
  <c r="AA10" i="37"/>
  <c r="S10" i="37"/>
  <c r="H13" i="37"/>
  <c r="F13" i="37"/>
  <c r="J13" i="37"/>
  <c r="H44" i="39"/>
  <c r="F44" i="39"/>
  <c r="J44" i="39"/>
  <c r="H14" i="40"/>
  <c r="J14" i="40"/>
  <c r="F14" i="40"/>
  <c r="AC32" i="40"/>
  <c r="W32" i="40"/>
  <c r="S38" i="34"/>
  <c r="AA38" i="34"/>
  <c r="C48" i="68"/>
  <c r="U33" i="21"/>
  <c r="W17" i="21"/>
  <c r="H84" i="43"/>
  <c r="H85" i="43"/>
  <c r="F109" i="43"/>
  <c r="AR10" i="1"/>
  <c r="W43" i="33"/>
  <c r="U28" i="34"/>
  <c r="U23" i="37"/>
  <c r="AB17" i="37"/>
  <c r="AC15" i="37"/>
  <c r="U32" i="37"/>
  <c r="S36" i="37"/>
  <c r="AB31" i="37"/>
  <c r="AB40" i="37"/>
  <c r="AA10" i="35"/>
  <c r="AA22" i="36"/>
  <c r="U12" i="39"/>
  <c r="U35" i="40"/>
  <c r="AC13" i="34"/>
  <c r="H82" i="43"/>
  <c r="AA12" i="40"/>
  <c r="W37" i="37"/>
  <c r="S14" i="35"/>
  <c r="K5" i="4"/>
  <c r="B47" i="48" s="1"/>
  <c r="AB33" i="40"/>
  <c r="AA25" i="21"/>
  <c r="W44" i="33"/>
  <c r="AC8" i="37"/>
  <c r="U39" i="37"/>
  <c r="AZ581" i="3"/>
  <c r="AZ568" i="3"/>
  <c r="AZ576" i="3"/>
  <c r="S44" i="34"/>
  <c r="U31" i="33"/>
  <c r="W11" i="36"/>
  <c r="H12" i="40"/>
  <c r="S44" i="33"/>
  <c r="AA44" i="33"/>
  <c r="S14" i="33"/>
  <c r="AA14" i="33"/>
  <c r="AC12" i="40"/>
  <c r="H13" i="36"/>
  <c r="U11" i="36"/>
  <c r="AB11" i="36"/>
  <c r="F11" i="35"/>
  <c r="H46" i="34"/>
  <c r="H32" i="34"/>
  <c r="F30" i="34"/>
  <c r="F45" i="33"/>
  <c r="J31" i="33"/>
  <c r="F13" i="33"/>
  <c r="U26" i="33"/>
  <c r="AB26" i="33"/>
  <c r="AA42" i="34"/>
  <c r="S8" i="36"/>
  <c r="F34" i="36"/>
  <c r="AB30" i="35"/>
  <c r="U30" i="35"/>
  <c r="C15" i="39"/>
  <c r="J33" i="36"/>
  <c r="W8" i="36"/>
  <c r="BA587" i="3"/>
  <c r="AZ587" i="3" s="1"/>
  <c r="BL585" i="3"/>
  <c r="BL5" i="3" s="1"/>
  <c r="S12" i="21"/>
  <c r="AA12" i="21"/>
  <c r="J14" i="21"/>
  <c r="F14" i="21"/>
  <c r="H14" i="21"/>
  <c r="H30" i="21"/>
  <c r="F30" i="21"/>
  <c r="J30" i="21"/>
  <c r="J45" i="21"/>
  <c r="F45" i="21"/>
  <c r="B71" i="43"/>
  <c r="C21" i="39"/>
  <c r="AA40" i="33"/>
  <c r="AC40" i="33"/>
  <c r="W40" i="33"/>
  <c r="H12" i="34"/>
  <c r="J9" i="34"/>
  <c r="H9" i="34"/>
  <c r="F28" i="34"/>
  <c r="J28" i="34"/>
  <c r="AB8" i="35"/>
  <c r="U8" i="35"/>
  <c r="AC28" i="35"/>
  <c r="W28" i="35"/>
  <c r="H36" i="35"/>
  <c r="J36" i="35"/>
  <c r="U8" i="36"/>
  <c r="AB8" i="36"/>
  <c r="F9" i="36"/>
  <c r="J25" i="36"/>
  <c r="F25" i="36"/>
  <c r="H25" i="36"/>
  <c r="AC25" i="37"/>
  <c r="W25" i="37"/>
  <c r="F26" i="37"/>
  <c r="AC31" i="37"/>
  <c r="W31" i="37"/>
  <c r="AB14" i="37"/>
  <c r="U14" i="37"/>
  <c r="F28" i="37"/>
  <c r="J28" i="37"/>
  <c r="H28" i="37"/>
  <c r="H38" i="37"/>
  <c r="J38" i="37"/>
  <c r="F38" i="37"/>
  <c r="U8" i="39"/>
  <c r="AB8" i="39"/>
  <c r="F38" i="40"/>
  <c r="J38" i="40"/>
  <c r="H38" i="40"/>
  <c r="AZ548" i="3"/>
  <c r="O8" i="1"/>
  <c r="P8" i="1" s="1"/>
  <c r="AZ398" i="3"/>
  <c r="AZ405" i="3"/>
  <c r="AZ407" i="3"/>
  <c r="AZ410" i="3"/>
  <c r="AZ415" i="3"/>
  <c r="AZ420" i="3"/>
  <c r="AZ426" i="3"/>
  <c r="AZ431" i="3"/>
  <c r="AZ436" i="3"/>
  <c r="AZ448" i="3"/>
  <c r="AZ452" i="3"/>
  <c r="AZ461" i="3"/>
  <c r="AZ463" i="3"/>
  <c r="AZ468" i="3"/>
  <c r="AZ470" i="3"/>
  <c r="AZ479" i="3"/>
  <c r="AZ485" i="3"/>
  <c r="AZ231" i="3"/>
  <c r="AZ239" i="3"/>
  <c r="AZ264" i="3"/>
  <c r="AZ385" i="3"/>
  <c r="AZ397" i="3"/>
  <c r="AZ210" i="3"/>
  <c r="AZ212" i="3"/>
  <c r="AZ220" i="3"/>
  <c r="AZ247" i="3"/>
  <c r="AZ274" i="3"/>
  <c r="AZ277" i="3"/>
  <c r="AZ298" i="3"/>
  <c r="AZ301" i="3"/>
  <c r="AZ122" i="3"/>
  <c r="AZ125" i="3"/>
  <c r="AZ22" i="3"/>
  <c r="AZ44" i="3"/>
  <c r="AZ56" i="3"/>
  <c r="AZ68" i="3"/>
  <c r="AZ73" i="3"/>
  <c r="AZ87" i="3"/>
  <c r="AZ95" i="3"/>
  <c r="AZ100" i="3"/>
  <c r="M108" i="43"/>
  <c r="M100" i="43"/>
  <c r="I108" i="43"/>
  <c r="I100" i="43"/>
  <c r="E108" i="43"/>
  <c r="E109" i="43" s="1"/>
  <c r="E100" i="43"/>
  <c r="F40" i="68"/>
  <c r="C21" i="68"/>
  <c r="C40" i="68"/>
  <c r="P63" i="71"/>
  <c r="P62" i="71"/>
  <c r="C23" i="71"/>
  <c r="D23" i="71" s="1"/>
  <c r="D24" i="71"/>
  <c r="D32" i="71"/>
  <c r="C33" i="71"/>
  <c r="D108" i="43"/>
  <c r="D109" i="43" s="1"/>
  <c r="D100" i="43"/>
  <c r="X5" i="71"/>
  <c r="AB5" i="71"/>
  <c r="AA5" i="71"/>
  <c r="Y5" i="71"/>
  <c r="Z5" i="71" s="1"/>
  <c r="AA6" i="71"/>
  <c r="AA7" i="71"/>
  <c r="AA36" i="71"/>
  <c r="V65" i="71"/>
  <c r="F64" i="71"/>
  <c r="Z12" i="43"/>
  <c r="Z13" i="43" s="1"/>
  <c r="Z10" i="43"/>
  <c r="AD12" i="43"/>
  <c r="AD10" i="43"/>
  <c r="AF12" i="43"/>
  <c r="AF10" i="43"/>
  <c r="AH12" i="43"/>
  <c r="AH13" i="43" s="1"/>
  <c r="AH10" i="43"/>
  <c r="S21" i="21"/>
  <c r="U18" i="36"/>
  <c r="V25" i="71"/>
  <c r="AA25" i="71"/>
  <c r="AA23" i="71"/>
  <c r="AB26" i="71"/>
  <c r="Y26" i="71"/>
  <c r="Z26" i="71" s="1"/>
  <c r="AA34" i="71"/>
  <c r="B29" i="71"/>
  <c r="S29" i="71" s="1"/>
  <c r="Y28" i="71"/>
  <c r="Z28" i="71" s="1"/>
  <c r="Y29" i="71"/>
  <c r="Z29" i="71" s="1"/>
  <c r="AB29" i="71"/>
  <c r="Y32" i="71"/>
  <c r="Z32" i="71" s="1"/>
  <c r="Y33" i="71"/>
  <c r="Z33" i="71" s="1"/>
  <c r="Y7" i="71"/>
  <c r="Z7" i="71" s="1"/>
  <c r="Y6" i="71"/>
  <c r="Z6" i="71" s="1"/>
  <c r="Y36" i="71"/>
  <c r="Z36" i="71" s="1"/>
  <c r="E20" i="71"/>
  <c r="E19" i="71" s="1"/>
  <c r="E18" i="71" s="1"/>
  <c r="E17" i="71" s="1"/>
  <c r="V21" i="71"/>
  <c r="X21" i="71"/>
  <c r="X6" i="71"/>
  <c r="X7" i="71"/>
  <c r="AB6" i="71"/>
  <c r="AC12" i="43"/>
  <c r="AC10" i="43"/>
  <c r="AG12" i="43"/>
  <c r="AG13" i="43" s="1"/>
  <c r="AG10" i="43"/>
  <c r="Y19" i="71"/>
  <c r="Z19" i="71" s="1"/>
  <c r="Y20" i="71"/>
  <c r="Z20" i="71" s="1"/>
  <c r="C21" i="71"/>
  <c r="Y18" i="71"/>
  <c r="Z18" i="71" s="1"/>
  <c r="AB20" i="71"/>
  <c r="AB21" i="71"/>
  <c r="AB18" i="71"/>
  <c r="X18" i="71"/>
  <c r="Y15" i="71"/>
  <c r="Z15" i="71" s="1"/>
  <c r="X14" i="71"/>
  <c r="Y14" i="71"/>
  <c r="Z14" i="71" s="1"/>
  <c r="AA14" i="71"/>
  <c r="AB15" i="71"/>
  <c r="Y11" i="71"/>
  <c r="Z11" i="71" s="1"/>
  <c r="AB8" i="71"/>
  <c r="AA20" i="71"/>
  <c r="AA21" i="71"/>
  <c r="AA19" i="71"/>
  <c r="X19" i="71"/>
  <c r="B21" i="71"/>
  <c r="AA18" i="71"/>
  <c r="X15" i="71"/>
  <c r="AA15" i="71"/>
  <c r="X12" i="71"/>
  <c r="AA12" i="71"/>
  <c r="AB7" i="71"/>
  <c r="Y8" i="71"/>
  <c r="Z8" i="71" s="1"/>
  <c r="Y9" i="71"/>
  <c r="Z9" i="71" s="1"/>
  <c r="Y10" i="71"/>
  <c r="Z10" i="71" s="1"/>
  <c r="AA8" i="71"/>
  <c r="AA10" i="71"/>
  <c r="AA11" i="71"/>
  <c r="X8" i="71"/>
  <c r="AB12" i="71"/>
  <c r="AB14" i="71"/>
  <c r="AB9" i="71"/>
  <c r="AB10" i="71"/>
  <c r="AB11" i="71"/>
  <c r="AA9" i="71"/>
  <c r="X10" i="71"/>
  <c r="X9" i="71"/>
  <c r="X11" i="7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J20" i="67"/>
  <c r="B12" i="70"/>
  <c r="F51" i="15"/>
  <c r="B7" i="70"/>
  <c r="B11" i="70"/>
  <c r="B8" i="70"/>
  <c r="F70" i="67"/>
  <c r="C27" i="67"/>
  <c r="B9" i="70"/>
  <c r="N59" i="67"/>
  <c r="L59" i="67"/>
  <c r="M59" i="67"/>
  <c r="B13" i="70"/>
  <c r="M7" i="67"/>
  <c r="F50" i="67"/>
  <c r="F68" i="67"/>
  <c r="F36" i="67"/>
  <c r="M9" i="67"/>
  <c r="F37" i="67"/>
  <c r="M29" i="15"/>
  <c r="D4" i="73"/>
  <c r="L48" i="15"/>
  <c r="F9" i="67"/>
  <c r="J15" i="15"/>
  <c r="M22" i="15"/>
  <c r="M9" i="15"/>
  <c r="C76" i="67"/>
  <c r="C76" i="15"/>
  <c r="F38" i="15"/>
  <c r="M29" i="67"/>
  <c r="L47" i="15"/>
  <c r="F38" i="67"/>
  <c r="F8" i="67"/>
  <c r="M23" i="15"/>
  <c r="F6" i="15"/>
  <c r="F35" i="67"/>
  <c r="D5" i="73"/>
  <c r="F43" i="15"/>
  <c r="F16" i="15"/>
  <c r="F37" i="15"/>
  <c r="F41" i="67"/>
  <c r="M24" i="15"/>
  <c r="M8" i="67"/>
  <c r="F13" i="15"/>
  <c r="F42" i="15"/>
  <c r="L48" i="67"/>
  <c r="M28" i="15"/>
  <c r="F13" i="67"/>
  <c r="D3" i="73"/>
  <c r="M27" i="15"/>
  <c r="F43" i="67"/>
  <c r="M27" i="67"/>
  <c r="M6" i="15"/>
  <c r="F6" i="67"/>
  <c r="M8" i="15"/>
  <c r="M24" i="67"/>
  <c r="D6" i="73"/>
  <c r="J15" i="67"/>
  <c r="F9" i="15"/>
  <c r="F40" i="15"/>
  <c r="D7" i="73"/>
  <c r="F36" i="15"/>
  <c r="M22" i="67"/>
  <c r="F26" i="15"/>
  <c r="F7" i="15"/>
  <c r="F66" i="15" l="1"/>
  <c r="F105" i="43"/>
  <c r="AJ13" i="43"/>
  <c r="AZ295" i="3"/>
  <c r="AZ286" i="3"/>
  <c r="AZ261" i="3"/>
  <c r="AZ61" i="3"/>
  <c r="AZ31" i="3"/>
  <c r="AZ134" i="3"/>
  <c r="AZ181" i="3"/>
  <c r="AZ213" i="3"/>
  <c r="AZ252" i="3"/>
  <c r="AZ248" i="3"/>
  <c r="AZ222" i="3"/>
  <c r="AZ467" i="3"/>
  <c r="AZ368" i="3"/>
  <c r="AZ478" i="3"/>
  <c r="AZ550" i="3"/>
  <c r="AZ110" i="3"/>
  <c r="AZ266" i="3"/>
  <c r="AZ227" i="3"/>
  <c r="AZ259" i="3"/>
  <c r="J26" i="35"/>
  <c r="AC26" i="35" s="1"/>
  <c r="G28" i="6"/>
  <c r="G30" i="6" s="1"/>
  <c r="G31" i="6" s="1"/>
  <c r="F7" i="82"/>
  <c r="AZ578" i="3"/>
  <c r="H7" i="82"/>
  <c r="U17" i="34"/>
  <c r="AB17" i="34"/>
  <c r="W7" i="82"/>
  <c r="AC7" i="82"/>
  <c r="Q16" i="1"/>
  <c r="F27" i="68" s="1"/>
  <c r="F45" i="68" s="1"/>
  <c r="S46" i="34"/>
  <c r="AA46" i="34"/>
  <c r="F71" i="67"/>
  <c r="F64" i="15"/>
  <c r="F65" i="15"/>
  <c r="F71" i="15"/>
  <c r="L56" i="67"/>
  <c r="I54" i="67"/>
  <c r="L58" i="67"/>
  <c r="Q60" i="67" s="1"/>
  <c r="J53" i="67"/>
  <c r="Q52" i="67" s="1"/>
  <c r="J57" i="67"/>
  <c r="J55" i="67" s="1"/>
  <c r="J58" i="67" s="1"/>
  <c r="Q50" i="67" s="1"/>
  <c r="I40" i="15"/>
  <c r="F65" i="67"/>
  <c r="F69" i="67"/>
  <c r="AA26" i="35"/>
  <c r="S26" i="35"/>
  <c r="AZ107" i="3"/>
  <c r="AZ48" i="3"/>
  <c r="AZ189" i="3"/>
  <c r="AZ348" i="3"/>
  <c r="AZ317" i="3"/>
  <c r="W12" i="33"/>
  <c r="AC12" i="33"/>
  <c r="W26" i="35"/>
  <c r="AB24" i="35"/>
  <c r="U24" i="35"/>
  <c r="AA44" i="21"/>
  <c r="S44" i="21"/>
  <c r="AB27" i="21"/>
  <c r="U27" i="21"/>
  <c r="AA33" i="40"/>
  <c r="S33" i="40"/>
  <c r="S36" i="39"/>
  <c r="AA36" i="39"/>
  <c r="AB13" i="39"/>
  <c r="U13" i="39"/>
  <c r="AZ255" i="3"/>
  <c r="AZ215" i="3"/>
  <c r="W40" i="40"/>
  <c r="AC40" i="40"/>
  <c r="AA24" i="35"/>
  <c r="S24" i="35"/>
  <c r="AC26" i="33"/>
  <c r="W26" i="33"/>
  <c r="W23" i="34"/>
  <c r="AC23" i="34"/>
  <c r="W13" i="39"/>
  <c r="AC13" i="39"/>
  <c r="U44" i="21"/>
  <c r="AB44" i="21"/>
  <c r="W27" i="21"/>
  <c r="AC27" i="21"/>
  <c r="AC24" i="36"/>
  <c r="W24" i="36"/>
  <c r="AA9" i="33"/>
  <c r="S9" i="33"/>
  <c r="AC36" i="39"/>
  <c r="W36" i="39"/>
  <c r="H16" i="1"/>
  <c r="F28" i="15"/>
  <c r="C28" i="15" s="1"/>
  <c r="F32" i="15"/>
  <c r="F60" i="15" s="1"/>
  <c r="AZ36" i="3"/>
  <c r="AZ477" i="3"/>
  <c r="AZ249" i="3"/>
  <c r="AZ194" i="3"/>
  <c r="AC23" i="35"/>
  <c r="W23" i="35"/>
  <c r="C61" i="71"/>
  <c r="D60" i="71"/>
  <c r="AA40" i="40"/>
  <c r="S40" i="40"/>
  <c r="AC24" i="35"/>
  <c r="W24" i="35"/>
  <c r="AB12" i="21"/>
  <c r="U12" i="21"/>
  <c r="AB24" i="36"/>
  <c r="U24" i="36"/>
  <c r="AB9" i="33"/>
  <c r="U9" i="33"/>
  <c r="S35" i="39"/>
  <c r="AA35" i="39"/>
  <c r="D63" i="71"/>
  <c r="O63" i="71"/>
  <c r="AZ233" i="3"/>
  <c r="AZ402" i="3"/>
  <c r="U12" i="33"/>
  <c r="AB12" i="33"/>
  <c r="H26" i="35"/>
  <c r="AC12" i="21"/>
  <c r="W12" i="21"/>
  <c r="U28" i="33"/>
  <c r="AB28" i="33"/>
  <c r="AC9" i="33"/>
  <c r="W9" i="33"/>
  <c r="AB35" i="39"/>
  <c r="U35" i="39"/>
  <c r="J7" i="37"/>
  <c r="F7" i="34"/>
  <c r="AA7" i="34" s="1"/>
  <c r="J7" i="36"/>
  <c r="F7" i="36"/>
  <c r="AA7" i="36" s="1"/>
  <c r="R36" i="36" s="1"/>
  <c r="H7" i="36"/>
  <c r="AB7" i="36" s="1"/>
  <c r="T36" i="36" s="1"/>
  <c r="G36" i="36" s="1"/>
  <c r="T57" i="71"/>
  <c r="D57" i="71"/>
  <c r="D36" i="71"/>
  <c r="C37" i="71"/>
  <c r="AZ83" i="3"/>
  <c r="AZ19" i="3"/>
  <c r="AZ117" i="3"/>
  <c r="W39" i="40"/>
  <c r="AC39" i="40"/>
  <c r="AA25" i="37"/>
  <c r="S25" i="37"/>
  <c r="AB26" i="37"/>
  <c r="U26" i="37"/>
  <c r="U12" i="36"/>
  <c r="AB12" i="36"/>
  <c r="AA27" i="21"/>
  <c r="S27" i="21"/>
  <c r="H7" i="34"/>
  <c r="U7" i="34" s="1"/>
  <c r="E67" i="39"/>
  <c r="E69" i="39" s="1"/>
  <c r="F30" i="6"/>
  <c r="F31" i="6" s="1"/>
  <c r="M18" i="67"/>
  <c r="F28" i="67"/>
  <c r="C28" i="67" s="1"/>
  <c r="C83" i="71"/>
  <c r="D83" i="71" s="1"/>
  <c r="D84" i="71"/>
  <c r="AZ442" i="3"/>
  <c r="AZ446" i="3"/>
  <c r="AZ403" i="3"/>
  <c r="U25" i="37"/>
  <c r="AB25" i="37"/>
  <c r="S19" i="34"/>
  <c r="AA19" i="34"/>
  <c r="AB15" i="34"/>
  <c r="U15" i="34"/>
  <c r="H14" i="74"/>
  <c r="B7" i="74" s="1"/>
  <c r="D10" i="52"/>
  <c r="D125" i="9"/>
  <c r="D11" i="52" s="1"/>
  <c r="J7" i="34"/>
  <c r="AC7" i="34" s="1"/>
  <c r="C29" i="71"/>
  <c r="D28" i="71"/>
  <c r="T49" i="71"/>
  <c r="D49" i="71"/>
  <c r="AZ118" i="3"/>
  <c r="S45" i="39"/>
  <c r="AA45" i="39"/>
  <c r="S15" i="34"/>
  <c r="AA15" i="34"/>
  <c r="W15" i="34"/>
  <c r="AC15" i="34"/>
  <c r="C7" i="43"/>
  <c r="T53" i="71"/>
  <c r="D53" i="71"/>
  <c r="N62" i="71"/>
  <c r="N63" i="71"/>
  <c r="AZ94" i="3"/>
  <c r="AB39" i="40"/>
  <c r="U39" i="40"/>
  <c r="W45" i="39"/>
  <c r="AC45" i="39"/>
  <c r="AA46" i="21"/>
  <c r="S46" i="21"/>
  <c r="B38" i="72"/>
  <c r="D20" i="53"/>
  <c r="B40" i="72" s="1"/>
  <c r="AA10" i="34"/>
  <c r="S10" i="34"/>
  <c r="E56" i="39"/>
  <c r="E51" i="40"/>
  <c r="AF13" i="43"/>
  <c r="AD13" i="43"/>
  <c r="I109" i="43"/>
  <c r="M109" i="43"/>
  <c r="I107" i="43"/>
  <c r="I103" i="43"/>
  <c r="N105" i="43"/>
  <c r="F27" i="11"/>
  <c r="C47" i="11" s="1"/>
  <c r="D45" i="11" s="1"/>
  <c r="E10" i="6"/>
  <c r="F27" i="69"/>
  <c r="F45" i="69" s="1"/>
  <c r="D22" i="43"/>
  <c r="E57" i="40"/>
  <c r="E61" i="39"/>
  <c r="AC13" i="43"/>
  <c r="E13" i="6"/>
  <c r="E58" i="40" s="1"/>
  <c r="E14" i="6"/>
  <c r="E63" i="39" s="1"/>
  <c r="N109" i="43"/>
  <c r="E11" i="6"/>
  <c r="E56" i="40" s="1"/>
  <c r="I105" i="43"/>
  <c r="I102" i="43"/>
  <c r="I106" i="43"/>
  <c r="F48" i="9"/>
  <c r="O52" i="9" s="1"/>
  <c r="F30" i="11"/>
  <c r="F30" i="69"/>
  <c r="C30" i="68"/>
  <c r="F28" i="12"/>
  <c r="C29" i="12" s="1"/>
  <c r="D28" i="12" s="1"/>
  <c r="K102" i="43"/>
  <c r="D113" i="43"/>
  <c r="F104" i="43"/>
  <c r="F107" i="43"/>
  <c r="F103" i="43"/>
  <c r="F106" i="43"/>
  <c r="L106" i="43"/>
  <c r="L107" i="43"/>
  <c r="L103" i="43"/>
  <c r="L102" i="43"/>
  <c r="L105" i="43"/>
  <c r="L104" i="43"/>
  <c r="L109" i="43"/>
  <c r="M104" i="43"/>
  <c r="M107" i="43"/>
  <c r="M105" i="43"/>
  <c r="M102" i="43"/>
  <c r="M106" i="43"/>
  <c r="M103" i="43"/>
  <c r="H107" i="43"/>
  <c r="H106" i="43"/>
  <c r="H105" i="43"/>
  <c r="H109" i="43"/>
  <c r="H102" i="43"/>
  <c r="H103" i="43"/>
  <c r="H104" i="43"/>
  <c r="E104" i="43"/>
  <c r="E107" i="43"/>
  <c r="E105" i="43"/>
  <c r="E102" i="43"/>
  <c r="E106" i="43"/>
  <c r="E103" i="43"/>
  <c r="K103" i="43"/>
  <c r="K107" i="43"/>
  <c r="K104" i="43"/>
  <c r="K106" i="43"/>
  <c r="K109" i="43"/>
  <c r="G107" i="43"/>
  <c r="G104" i="43"/>
  <c r="G106" i="43"/>
  <c r="G109" i="43"/>
  <c r="G105" i="43"/>
  <c r="G103" i="43"/>
  <c r="G102" i="43"/>
  <c r="J107" i="43"/>
  <c r="J102" i="43"/>
  <c r="J104" i="43"/>
  <c r="J105" i="43"/>
  <c r="J103" i="43"/>
  <c r="J106" i="43"/>
  <c r="J109" i="43"/>
  <c r="N102" i="43"/>
  <c r="N103" i="43"/>
  <c r="N107" i="43"/>
  <c r="N106" i="43"/>
  <c r="C105" i="43"/>
  <c r="C102" i="43"/>
  <c r="C109" i="43"/>
  <c r="C104" i="43"/>
  <c r="C107" i="43"/>
  <c r="C103" i="43"/>
  <c r="C106" i="43"/>
  <c r="J10" i="40"/>
  <c r="W10" i="40" s="1"/>
  <c r="H10" i="39"/>
  <c r="U10" i="39" s="1"/>
  <c r="F10" i="40"/>
  <c r="AA10" i="40" s="1"/>
  <c r="J10" i="39"/>
  <c r="W10" i="39" s="1"/>
  <c r="H10" i="40"/>
  <c r="AB10" i="40" s="1"/>
  <c r="F31" i="15"/>
  <c r="M7" i="15"/>
  <c r="J6" i="15" s="1"/>
  <c r="J18" i="15" s="1"/>
  <c r="F50" i="15"/>
  <c r="C49" i="15" s="1"/>
  <c r="C6" i="15"/>
  <c r="C32" i="15" s="1"/>
  <c r="C27" i="15"/>
  <c r="Q71" i="67"/>
  <c r="J57" i="15"/>
  <c r="J55" i="15" s="1"/>
  <c r="J58" i="15" s="1"/>
  <c r="Q50" i="15" s="1"/>
  <c r="J53" i="15"/>
  <c r="L56" i="15" s="1"/>
  <c r="I54" i="15"/>
  <c r="C6" i="67"/>
  <c r="C32" i="67" s="1"/>
  <c r="F31" i="67"/>
  <c r="N59" i="15"/>
  <c r="M59" i="15"/>
  <c r="L59" i="15"/>
  <c r="Q74" i="15" s="1"/>
  <c r="L58" i="15"/>
  <c r="Q60" i="15" s="1"/>
  <c r="Q71" i="15"/>
  <c r="F68" i="15"/>
  <c r="F64" i="67"/>
  <c r="F51" i="67"/>
  <c r="C49" i="67" s="1"/>
  <c r="F66" i="67"/>
  <c r="C34" i="67"/>
  <c r="F63" i="67"/>
  <c r="C62" i="67" s="1"/>
  <c r="B20" i="71"/>
  <c r="B19" i="71" s="1"/>
  <c r="B18" i="71" s="1"/>
  <c r="B17" i="71" s="1"/>
  <c r="S21" i="71"/>
  <c r="W38" i="40"/>
  <c r="AC38" i="40"/>
  <c r="S38" i="37"/>
  <c r="AA38" i="37"/>
  <c r="U38" i="37"/>
  <c r="AB38" i="37"/>
  <c r="W28" i="37"/>
  <c r="AC28" i="37"/>
  <c r="AA26" i="37"/>
  <c r="S26" i="37"/>
  <c r="S25" i="36"/>
  <c r="AA25" i="36"/>
  <c r="AA9" i="36"/>
  <c r="S9" i="36"/>
  <c r="AB36" i="35"/>
  <c r="U36" i="35"/>
  <c r="AA28" i="34"/>
  <c r="S28" i="34"/>
  <c r="W9" i="34"/>
  <c r="AC9" i="34"/>
  <c r="W45" i="21"/>
  <c r="AC45" i="21"/>
  <c r="AA30" i="21"/>
  <c r="S30" i="21"/>
  <c r="U14" i="21"/>
  <c r="AB14" i="21"/>
  <c r="W14" i="21"/>
  <c r="AC14" i="21"/>
  <c r="W33" i="36"/>
  <c r="AC33" i="36"/>
  <c r="S34" i="36"/>
  <c r="AA34" i="36"/>
  <c r="W31" i="33"/>
  <c r="AC31" i="33"/>
  <c r="S30" i="34"/>
  <c r="AA30" i="34"/>
  <c r="U46" i="34"/>
  <c r="AB46" i="34"/>
  <c r="AB13" i="36"/>
  <c r="U13" i="36"/>
  <c r="AB12" i="40"/>
  <c r="U12" i="40"/>
  <c r="AC14" i="40"/>
  <c r="W14" i="40"/>
  <c r="AC44" i="39"/>
  <c r="W44" i="39"/>
  <c r="AB44" i="39"/>
  <c r="U44" i="39"/>
  <c r="S13" i="37"/>
  <c r="AA13" i="37"/>
  <c r="AA33" i="36"/>
  <c r="S33" i="36"/>
  <c r="AC34" i="36"/>
  <c r="W34" i="36"/>
  <c r="S34" i="35"/>
  <c r="AA34" i="35"/>
  <c r="W34" i="35"/>
  <c r="AC34" i="35"/>
  <c r="AC31" i="21"/>
  <c r="W31" i="21"/>
  <c r="AC28" i="21"/>
  <c r="W28" i="21"/>
  <c r="U28" i="21"/>
  <c r="AB28" i="21"/>
  <c r="AZ585" i="3"/>
  <c r="E60" i="40"/>
  <c r="E64" i="39"/>
  <c r="J6" i="67"/>
  <c r="J18" i="67" s="1"/>
  <c r="C20" i="71"/>
  <c r="D21" i="71"/>
  <c r="U21" i="71" s="1"/>
  <c r="T21" i="71"/>
  <c r="E16" i="71"/>
  <c r="E15" i="71" s="1"/>
  <c r="E14" i="71" s="1"/>
  <c r="E13" i="71" s="1"/>
  <c r="V17" i="71"/>
  <c r="F63" i="71"/>
  <c r="Q64" i="71"/>
  <c r="T33" i="71"/>
  <c r="D33" i="71"/>
  <c r="AB38" i="40"/>
  <c r="U38" i="40"/>
  <c r="AA38" i="40"/>
  <c r="S38" i="40"/>
  <c r="AC38" i="37"/>
  <c r="W38" i="37"/>
  <c r="U28" i="37"/>
  <c r="AB28" i="37"/>
  <c r="AA28" i="37"/>
  <c r="S28" i="37"/>
  <c r="AB25" i="36"/>
  <c r="U25" i="36"/>
  <c r="W25" i="36"/>
  <c r="AC25" i="36"/>
  <c r="W36" i="35"/>
  <c r="AC36" i="35"/>
  <c r="AC28" i="34"/>
  <c r="W28" i="34"/>
  <c r="AB9" i="34"/>
  <c r="U9" i="34"/>
  <c r="AB12" i="34"/>
  <c r="U12" i="34"/>
  <c r="AA45" i="21"/>
  <c r="S45" i="21"/>
  <c r="AC30" i="21"/>
  <c r="W30" i="21"/>
  <c r="U30" i="21"/>
  <c r="AB30" i="21"/>
  <c r="AA14" i="21"/>
  <c r="S14" i="21"/>
  <c r="S13" i="33"/>
  <c r="AA13" i="33"/>
  <c r="AA45" i="33"/>
  <c r="S45" i="33"/>
  <c r="U32" i="34"/>
  <c r="AB32" i="34"/>
  <c r="S11" i="35"/>
  <c r="AA11" i="35"/>
  <c r="E59" i="40"/>
  <c r="AA14" i="40"/>
  <c r="S14" i="40"/>
  <c r="AB14" i="40"/>
  <c r="U14" i="40"/>
  <c r="AA44" i="39"/>
  <c r="S44" i="39"/>
  <c r="AC13" i="37"/>
  <c r="W13" i="37"/>
  <c r="U13" i="37"/>
  <c r="AB13" i="37"/>
  <c r="AB33" i="36"/>
  <c r="U33" i="36"/>
  <c r="AB34" i="36"/>
  <c r="U34" i="36"/>
  <c r="AB34" i="35"/>
  <c r="U34" i="35"/>
  <c r="AA31" i="21"/>
  <c r="S31" i="21"/>
  <c r="U31" i="21"/>
  <c r="AB31" i="21"/>
  <c r="AA28" i="21"/>
  <c r="S28" i="21"/>
  <c r="AZ586" i="3"/>
  <c r="BA5" i="3"/>
  <c r="E27" i="6"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O6" i="3"/>
  <c r="E516" i="3"/>
  <c r="E555" i="3"/>
  <c r="E579" i="3"/>
  <c r="E574" i="3"/>
  <c r="E569" i="3"/>
  <c r="E410" i="3"/>
  <c r="E431" i="3"/>
  <c r="E359" i="3"/>
  <c r="E396" i="3"/>
  <c r="E337" i="3"/>
  <c r="E247" i="3"/>
  <c r="E285" i="3"/>
  <c r="E229" i="3"/>
  <c r="E143" i="3"/>
  <c r="E201" i="3"/>
  <c r="E97" i="3"/>
  <c r="E151" i="3"/>
  <c r="E397" i="3"/>
  <c r="E353" i="3"/>
  <c r="E385" i="3"/>
  <c r="E568" i="3"/>
  <c r="E495" i="3"/>
  <c r="E511" i="3"/>
  <c r="I6" i="3"/>
  <c r="AN6" i="3"/>
  <c r="AI6" i="3"/>
  <c r="E536" i="3"/>
  <c r="AK6" i="3"/>
  <c r="E578" i="3"/>
  <c r="E402" i="3"/>
  <c r="E434" i="3"/>
  <c r="E453" i="3"/>
  <c r="E306" i="3"/>
  <c r="E368" i="3"/>
  <c r="E296" i="3"/>
  <c r="E244" i="3"/>
  <c r="E262" i="3"/>
  <c r="E245" i="3"/>
  <c r="E159" i="3"/>
  <c r="E191" i="3"/>
  <c r="E99" i="3"/>
  <c r="E188" i="3"/>
  <c r="E228" i="3"/>
  <c r="E181" i="3"/>
  <c r="E157" i="3"/>
  <c r="E367" i="3"/>
  <c r="E547" i="3"/>
  <c r="E581" i="3"/>
  <c r="AS6" i="3"/>
  <c r="E531" i="3"/>
  <c r="E403" i="3"/>
  <c r="E444" i="3"/>
  <c r="E476" i="3"/>
  <c r="E489" i="3"/>
  <c r="E520" i="3"/>
  <c r="E314" i="3"/>
  <c r="E518" i="3"/>
  <c r="E16" i="3"/>
  <c r="E586" i="3"/>
  <c r="E549" i="3"/>
  <c r="E423" i="3"/>
  <c r="E350" i="3"/>
  <c r="E382" i="3"/>
  <c r="E303" i="3"/>
  <c r="E263" i="3"/>
  <c r="E301"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I3" i="6"/>
  <c r="E558" i="3"/>
  <c r="E566" i="3"/>
  <c r="E505" i="3"/>
  <c r="AP6" i="3"/>
  <c r="E557" i="3"/>
  <c r="E500" i="3"/>
  <c r="E554" i="3"/>
  <c r="E582" i="3"/>
  <c r="E517" i="3"/>
  <c r="E413" i="3"/>
  <c r="E435" i="3"/>
  <c r="E460" i="3"/>
  <c r="E491" i="3"/>
  <c r="E546"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F67"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S10" i="39"/>
  <c r="AA10" i="39"/>
  <c r="H7" i="33"/>
  <c r="J7" i="33"/>
  <c r="D65" i="40"/>
  <c r="E63" i="40"/>
  <c r="F48" i="35"/>
  <c r="S7" i="36"/>
  <c r="AC7" i="37"/>
  <c r="V42" i="37" s="1"/>
  <c r="I42" i="37" s="1"/>
  <c r="W7" i="37"/>
  <c r="U7" i="36"/>
  <c r="S7" i="34"/>
  <c r="F7" i="33"/>
  <c r="E58" i="21"/>
  <c r="AC7" i="36"/>
  <c r="V36" i="36" s="1"/>
  <c r="I36" i="36" s="1"/>
  <c r="W7" i="36"/>
  <c r="F7" i="37"/>
  <c r="M17" i="67"/>
  <c r="F59" i="15"/>
  <c r="P24" i="43"/>
  <c r="B66" i="40" s="1"/>
  <c r="P21" i="43"/>
  <c r="P25" i="43"/>
  <c r="P23" i="43"/>
  <c r="B70" i="39" s="1"/>
  <c r="M28" i="43"/>
  <c r="N28" i="43"/>
  <c r="O28" i="43"/>
  <c r="P28" i="43"/>
  <c r="M11" i="67"/>
  <c r="J10" i="67" s="1"/>
  <c r="F11" i="15"/>
  <c r="M11" i="15"/>
  <c r="F11" i="67"/>
  <c r="Q61" i="67"/>
  <c r="Q74" i="67"/>
  <c r="C16" i="15"/>
  <c r="G1" i="73"/>
  <c r="C17" i="67"/>
  <c r="C14" i="67"/>
  <c r="C16" i="67"/>
  <c r="C47" i="68" l="1"/>
  <c r="D45" i="68" s="1"/>
  <c r="U7" i="82"/>
  <c r="AB7" i="82"/>
  <c r="C34" i="82"/>
  <c r="D3" i="82"/>
  <c r="D3" i="34"/>
  <c r="C34" i="34"/>
  <c r="E28" i="6"/>
  <c r="S7" i="82"/>
  <c r="AA7" i="82"/>
  <c r="C29" i="69"/>
  <c r="D27" i="69" s="1"/>
  <c r="C47" i="69"/>
  <c r="D45" i="69" s="1"/>
  <c r="C29" i="68"/>
  <c r="D27" i="68" s="1"/>
  <c r="C29" i="11"/>
  <c r="D27" i="11" s="1"/>
  <c r="Q73" i="67"/>
  <c r="F1" i="67"/>
  <c r="B40" i="1"/>
  <c r="F22" i="11" s="1"/>
  <c r="C15" i="67"/>
  <c r="C18" i="67"/>
  <c r="U26" i="35"/>
  <c r="AB26" i="35"/>
  <c r="D61" i="71"/>
  <c r="T61" i="71"/>
  <c r="E60" i="39"/>
  <c r="AC10" i="40"/>
  <c r="AB10" i="39"/>
  <c r="AB7" i="34"/>
  <c r="W7" i="34"/>
  <c r="AC10" i="39"/>
  <c r="T37" i="71"/>
  <c r="D37" i="71"/>
  <c r="T29" i="71"/>
  <c r="D29" i="71"/>
  <c r="AZ5" i="3"/>
  <c r="E3" i="6" s="1"/>
  <c r="F44" i="6" s="1"/>
  <c r="S10" i="40"/>
  <c r="U10" i="40"/>
  <c r="AC6" i="3"/>
  <c r="E16" i="6"/>
  <c r="E62" i="39"/>
  <c r="F1" i="15"/>
  <c r="J10" i="15"/>
  <c r="J5" i="15" s="1"/>
  <c r="J24" i="15" s="1"/>
  <c r="C48" i="11"/>
  <c r="C30" i="11"/>
  <c r="F48" i="69"/>
  <c r="C30" i="69"/>
  <c r="C48" i="69"/>
  <c r="Q61" i="15"/>
  <c r="Q73" i="15"/>
  <c r="K25" i="6"/>
  <c r="M25" i="6" s="1"/>
  <c r="I25" i="6" s="1"/>
  <c r="S25" i="6" s="1"/>
  <c r="K26" i="6"/>
  <c r="M26" i="6" s="1"/>
  <c r="I26" i="6" s="1"/>
  <c r="S26" i="6" s="1"/>
  <c r="K24" i="6"/>
  <c r="M24" i="6" s="1"/>
  <c r="I24" i="6" s="1"/>
  <c r="S24" i="6" s="1"/>
  <c r="H6" i="3"/>
  <c r="K23" i="6"/>
  <c r="M23" i="6" s="1"/>
  <c r="I23" i="6" s="1"/>
  <c r="S23" i="6" s="1"/>
  <c r="K21" i="6"/>
  <c r="M21" i="6" s="1"/>
  <c r="I21" i="6" s="1"/>
  <c r="S21" i="6" s="1"/>
  <c r="K19" i="6"/>
  <c r="S6" i="1" s="1"/>
  <c r="E65" i="39"/>
  <c r="S6" i="43"/>
  <c r="T6" i="43" s="1"/>
  <c r="V6" i="43" s="1"/>
  <c r="S4" i="43"/>
  <c r="T4" i="43" s="1"/>
  <c r="V4" i="43" s="1"/>
  <c r="S7" i="43"/>
  <c r="T7" i="43" s="1"/>
  <c r="V7" i="43" s="1"/>
  <c r="S2" i="43"/>
  <c r="T2" i="43" s="1"/>
  <c r="V2" i="43" s="1"/>
  <c r="S5" i="43"/>
  <c r="T5" i="43" s="1"/>
  <c r="V5" i="43" s="1"/>
  <c r="C23" i="43"/>
  <c r="C21" i="43" s="1"/>
  <c r="C29" i="43" s="1"/>
  <c r="C30" i="43" s="1"/>
  <c r="E30" i="43" s="1"/>
  <c r="S3" i="43"/>
  <c r="T3" i="43" s="1"/>
  <c r="V3" i="43" s="1"/>
  <c r="Q52" i="15"/>
  <c r="M17" i="15"/>
  <c r="J5" i="67"/>
  <c r="J26" i="67" s="1"/>
  <c r="J29" i="67" s="1"/>
  <c r="AY6" i="3"/>
  <c r="Q63" i="71"/>
  <c r="Q62" i="71"/>
  <c r="E12" i="71"/>
  <c r="E11" i="71" s="1"/>
  <c r="E10" i="71" s="1"/>
  <c r="E9" i="71" s="1"/>
  <c r="V13" i="71"/>
  <c r="B16" i="71"/>
  <c r="B15" i="71" s="1"/>
  <c r="B14" i="71" s="1"/>
  <c r="B13" i="71" s="1"/>
  <c r="S17" i="71"/>
  <c r="U7" i="37"/>
  <c r="D20" i="71"/>
  <c r="C19"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C17" i="15"/>
  <c r="AE6" i="1"/>
  <c r="K14" i="1" l="1"/>
  <c r="K22" i="6"/>
  <c r="M22" i="6" s="1"/>
  <c r="I22" i="6" s="1"/>
  <c r="S22" i="6" s="1"/>
  <c r="E30" i="6"/>
  <c r="E31" i="6" s="1"/>
  <c r="H34" i="82"/>
  <c r="F34" i="82"/>
  <c r="J34" i="82"/>
  <c r="K20" i="6"/>
  <c r="M20" i="6" s="1"/>
  <c r="I20" i="6" s="1"/>
  <c r="S20" i="6" s="1"/>
  <c r="F24" i="67"/>
  <c r="C24" i="67" s="1"/>
  <c r="F24" i="15"/>
  <c r="C24" i="15" s="1"/>
  <c r="C19" i="67"/>
  <c r="C20" i="67" s="1"/>
  <c r="C26" i="67" s="1"/>
  <c r="F22" i="69"/>
  <c r="F41" i="69" s="1"/>
  <c r="F22" i="68"/>
  <c r="F41" i="68" s="1"/>
  <c r="F25" i="12"/>
  <c r="C26" i="12" s="1"/>
  <c r="D25" i="12" s="1"/>
  <c r="E6" i="3"/>
  <c r="K27" i="6"/>
  <c r="J26" i="15"/>
  <c r="E6" i="70"/>
  <c r="E2" i="70" s="1"/>
  <c r="E29" i="43"/>
  <c r="M19" i="6"/>
  <c r="M27" i="6" s="1"/>
  <c r="AQ6" i="1"/>
  <c r="AR6" i="1"/>
  <c r="T6" i="1"/>
  <c r="S16" i="1"/>
  <c r="J24" i="67"/>
  <c r="O14" i="1"/>
  <c r="O16" i="1" s="1"/>
  <c r="P14" i="1"/>
  <c r="P16" i="1" s="1"/>
  <c r="C11" i="12" s="1"/>
  <c r="I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71"/>
  <c r="C18" i="71"/>
  <c r="B12" i="71"/>
  <c r="B11" i="71" s="1"/>
  <c r="B10" i="71" s="1"/>
  <c r="B9" i="71" s="1"/>
  <c r="S13" i="71"/>
  <c r="E8" i="71"/>
  <c r="E7" i="71" s="1"/>
  <c r="E6" i="71" s="1"/>
  <c r="E5" i="71" s="1"/>
  <c r="V9" i="71"/>
  <c r="D3" i="21"/>
  <c r="E6" i="6"/>
  <c r="D37" i="11"/>
  <c r="C37" i="11" s="1"/>
  <c r="D14" i="12"/>
  <c r="M18" i="9"/>
  <c r="B118" i="9" s="1"/>
  <c r="B14" i="74" s="1"/>
  <c r="B1" i="74" s="1"/>
  <c r="D3" i="33"/>
  <c r="D19" i="11"/>
  <c r="C19" i="11" s="1"/>
  <c r="C24" i="11" s="1"/>
  <c r="D3" i="37"/>
  <c r="C17" i="4"/>
  <c r="B4" i="52" s="1"/>
  <c r="B43" i="72" s="1"/>
  <c r="L18" i="9"/>
  <c r="M27" i="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C60" i="15"/>
  <c r="C66" i="15"/>
  <c r="C44" i="11"/>
  <c r="D41" i="11" s="1"/>
  <c r="C23" i="11"/>
  <c r="C26" i="11"/>
  <c r="D22" i="11" s="1"/>
  <c r="C38" i="67"/>
  <c r="C38" i="15"/>
  <c r="C66" i="67"/>
  <c r="C60" i="67"/>
  <c r="C14" i="15"/>
  <c r="F41" i="15"/>
  <c r="B6" i="76"/>
  <c r="E6" i="76"/>
  <c r="W34" i="82" l="1"/>
  <c r="AC34" i="82"/>
  <c r="S34" i="82"/>
  <c r="AA34" i="82"/>
  <c r="C34" i="69"/>
  <c r="M14" i="1"/>
  <c r="K16" i="1"/>
  <c r="AB34" i="82"/>
  <c r="U34" i="82"/>
  <c r="G40" i="6"/>
  <c r="E33" i="6"/>
  <c r="C23" i="67"/>
  <c r="C29" i="67" s="1"/>
  <c r="C33" i="67" s="1"/>
  <c r="C31" i="67" s="1"/>
  <c r="C26" i="69"/>
  <c r="D22" i="69" s="1"/>
  <c r="C26" i="68"/>
  <c r="D22" i="68" s="1"/>
  <c r="C44" i="68"/>
  <c r="D41" i="68" s="1"/>
  <c r="C44" i="69"/>
  <c r="D41" i="69" s="1"/>
  <c r="J34" i="34"/>
  <c r="H34" i="34"/>
  <c r="F34" i="34"/>
  <c r="F69" i="15"/>
  <c r="J29" i="15"/>
  <c r="C18" i="15"/>
  <c r="C15" i="15"/>
  <c r="C20" i="11"/>
  <c r="C25" i="11" s="1"/>
  <c r="C22" i="11" s="1"/>
  <c r="C7" i="74"/>
  <c r="C8" i="74"/>
  <c r="B8" i="71"/>
  <c r="B7" i="71" s="1"/>
  <c r="B6" i="71" s="1"/>
  <c r="B5" i="71" s="1"/>
  <c r="S9" i="71"/>
  <c r="C17" i="71"/>
  <c r="D18" i="7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D17" i="12"/>
  <c r="C17" i="12" s="1"/>
  <c r="C14" i="12"/>
  <c r="D10" i="11"/>
  <c r="C10" i="11" s="1"/>
  <c r="D20" i="12"/>
  <c r="C20" i="12" s="1"/>
  <c r="D10" i="68"/>
  <c r="D10" i="69"/>
  <c r="S19" i="6"/>
  <c r="S27" i="6" s="1"/>
  <c r="I27" i="6"/>
  <c r="C15" i="12"/>
  <c r="C12" i="12"/>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T16" i="1" l="1"/>
  <c r="M16" i="1"/>
  <c r="C35" i="69"/>
  <c r="C38" i="69"/>
  <c r="C36" i="67"/>
  <c r="J19" i="67"/>
  <c r="J17" i="67" s="1"/>
  <c r="J59" i="67"/>
  <c r="J60" i="67" s="1"/>
  <c r="Q48" i="67" s="1"/>
  <c r="C13" i="67"/>
  <c r="Q70" i="67" s="1"/>
  <c r="Q49" i="67"/>
  <c r="J14" i="67"/>
  <c r="J13" i="67" s="1"/>
  <c r="J23" i="67" s="1"/>
  <c r="C57" i="67"/>
  <c r="C61" i="67" s="1"/>
  <c r="C59" i="67" s="1"/>
  <c r="AA34" i="34"/>
  <c r="S34" i="34"/>
  <c r="AB34" i="34"/>
  <c r="U34" i="34"/>
  <c r="AC34" i="34"/>
  <c r="W34" i="34"/>
  <c r="C19" i="15"/>
  <c r="C20" i="15" s="1"/>
  <c r="C26" i="15" s="1"/>
  <c r="R23" i="6"/>
  <c r="H27" i="6"/>
  <c r="D16" i="6"/>
  <c r="C16" i="12"/>
  <c r="C10" i="69"/>
  <c r="C8" i="69" s="1"/>
  <c r="C5" i="69" s="1"/>
  <c r="D19" i="69"/>
  <c r="C10" i="68"/>
  <c r="B29" i="1" s="1"/>
  <c r="C8" i="68" s="1"/>
  <c r="C5" i="68" s="1"/>
  <c r="C23" i="68" s="1"/>
  <c r="D19" i="68"/>
  <c r="C4" i="52"/>
  <c r="B45" i="72" s="1"/>
  <c r="A7" i="51"/>
  <c r="B7" i="72" s="1"/>
  <c r="A10" i="51"/>
  <c r="B9" i="72" s="1"/>
  <c r="R26" i="6"/>
  <c r="R20" i="6"/>
  <c r="R21" i="6"/>
  <c r="D27" i="6"/>
  <c r="D31" i="6" s="1"/>
  <c r="R19" i="6"/>
  <c r="D7" i="74"/>
  <c r="D8" i="74"/>
  <c r="R24" i="6"/>
  <c r="R22" i="6"/>
  <c r="R25" i="6"/>
  <c r="C16" i="71"/>
  <c r="T17" i="71"/>
  <c r="D17" i="71"/>
  <c r="U17" i="71" s="1"/>
  <c r="C28" i="11"/>
  <c r="C27" i="11" s="1"/>
  <c r="C31" i="11" s="1"/>
  <c r="I69" i="39"/>
  <c r="J67" i="39"/>
  <c r="B3" i="76"/>
  <c r="I63" i="40"/>
  <c r="H65" i="40"/>
  <c r="I58" i="21"/>
  <c r="J58" i="21" s="1"/>
  <c r="K58" i="21" s="1"/>
  <c r="L58" i="21" s="1"/>
  <c r="M58" i="21" s="1"/>
  <c r="N58" i="21" s="1"/>
  <c r="O58" i="21" s="1"/>
  <c r="H7" i="21" s="1"/>
  <c r="J7" i="21"/>
  <c r="F7" i="21"/>
  <c r="J48" i="35"/>
  <c r="C56" i="67" l="1"/>
  <c r="C65" i="67" s="1"/>
  <c r="C34" i="68"/>
  <c r="C34" i="11"/>
  <c r="N16" i="1"/>
  <c r="L16" i="1"/>
  <c r="C75" i="67"/>
  <c r="C37" i="67"/>
  <c r="C30" i="67" s="1"/>
  <c r="C39" i="67" s="1"/>
  <c r="C40" i="67" s="1"/>
  <c r="L46" i="67"/>
  <c r="C64" i="67"/>
  <c r="C58" i="67" s="1"/>
  <c r="C67" i="67" s="1"/>
  <c r="C68" i="67" s="1"/>
  <c r="J22" i="67"/>
  <c r="J16" i="67" s="1"/>
  <c r="J25" i="67" s="1"/>
  <c r="C23" i="15"/>
  <c r="C29" i="15" s="1"/>
  <c r="C18" i="12"/>
  <c r="C21" i="12" s="1"/>
  <c r="R27" i="6"/>
  <c r="R6" i="1"/>
  <c r="I6" i="6"/>
  <c r="I5" i="6"/>
  <c r="C19" i="69"/>
  <c r="C24" i="69" s="1"/>
  <c r="D37" i="69"/>
  <c r="C37" i="69" s="1"/>
  <c r="C33" i="69" s="1"/>
  <c r="C15" i="71"/>
  <c r="D16" i="7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M21" i="15"/>
  <c r="F35" i="15"/>
  <c r="F50" i="69" l="1"/>
  <c r="F50" i="11"/>
  <c r="F50" i="68"/>
  <c r="C11" i="34"/>
  <c r="F11" i="34" s="1"/>
  <c r="C11" i="82"/>
  <c r="C38" i="11"/>
  <c r="C35" i="11"/>
  <c r="C33" i="11" s="1"/>
  <c r="C38" i="68"/>
  <c r="C35" i="68"/>
  <c r="Q69" i="67"/>
  <c r="Q68" i="67" s="1"/>
  <c r="C80" i="67"/>
  <c r="C79" i="67" s="1"/>
  <c r="J14" i="15"/>
  <c r="J22" i="15" s="1"/>
  <c r="J59" i="15"/>
  <c r="J60" i="15" s="1"/>
  <c r="Q48" i="15" s="1"/>
  <c r="H11" i="34"/>
  <c r="J11" i="34"/>
  <c r="J19" i="15"/>
  <c r="Q49" i="15"/>
  <c r="C36" i="15"/>
  <c r="C57" i="15"/>
  <c r="C64" i="15" s="1"/>
  <c r="C13" i="15"/>
  <c r="C75" i="15" s="1"/>
  <c r="C22" i="12"/>
  <c r="C30" i="12" s="1"/>
  <c r="C28" i="12" s="1"/>
  <c r="J20" i="15"/>
  <c r="F63" i="15"/>
  <c r="C62" i="15" s="1"/>
  <c r="C34" i="15"/>
  <c r="C31" i="15" s="1"/>
  <c r="R16" i="1"/>
  <c r="C20" i="69"/>
  <c r="C28" i="69" s="1"/>
  <c r="C27" i="69" s="1"/>
  <c r="C14" i="71"/>
  <c r="D15"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C45" i="67"/>
  <c r="C46" i="67" s="1"/>
  <c r="C71" i="67"/>
  <c r="C43" i="67"/>
  <c r="D2" i="67"/>
  <c r="Q47" i="67"/>
  <c r="Q53" i="67" s="1"/>
  <c r="Q56" i="67"/>
  <c r="Q65" i="67"/>
  <c r="C83" i="67"/>
  <c r="C82" i="67" s="1"/>
  <c r="L51" i="67"/>
  <c r="C33" i="68" l="1"/>
  <c r="Q67" i="67"/>
  <c r="L57" i="67"/>
  <c r="L60" i="67" s="1"/>
  <c r="C39" i="68"/>
  <c r="C46" i="68" s="1"/>
  <c r="C45" i="68" s="1"/>
  <c r="C42" i="68"/>
  <c r="C39" i="11"/>
  <c r="C42" i="11"/>
  <c r="F11" i="82"/>
  <c r="H11" i="82"/>
  <c r="J11" i="82"/>
  <c r="J13" i="15"/>
  <c r="J23" i="15" s="1"/>
  <c r="W11" i="34"/>
  <c r="AC11" i="34"/>
  <c r="V49" i="34" s="1"/>
  <c r="I49" i="34" s="1"/>
  <c r="U11" i="34"/>
  <c r="AB11" i="34"/>
  <c r="T49" i="34" s="1"/>
  <c r="G49" i="34" s="1"/>
  <c r="C61" i="15"/>
  <c r="C59" i="15" s="1"/>
  <c r="S11" i="34"/>
  <c r="AA11" i="34"/>
  <c r="R49" i="34" s="1"/>
  <c r="Q70" i="15"/>
  <c r="C56" i="15"/>
  <c r="C65" i="15" s="1"/>
  <c r="J17" i="15"/>
  <c r="C37" i="15"/>
  <c r="C30" i="15" s="1"/>
  <c r="C39" i="15" s="1"/>
  <c r="I39" i="15" s="1"/>
  <c r="C41" i="69"/>
  <c r="C22" i="68"/>
  <c r="C27" i="12"/>
  <c r="C25" i="12" s="1"/>
  <c r="C32" i="12" s="1"/>
  <c r="B2" i="12" s="1"/>
  <c r="B3" i="12" s="1"/>
  <c r="L57" i="15"/>
  <c r="L60" i="15" s="1"/>
  <c r="L46" i="15" s="1"/>
  <c r="C46" i="69"/>
  <c r="C45" i="69" s="1"/>
  <c r="C49" i="69" s="1"/>
  <c r="C51" i="69" s="1"/>
  <c r="C25" i="69"/>
  <c r="C22" i="69" s="1"/>
  <c r="C31" i="69" s="1"/>
  <c r="C28" i="68"/>
  <c r="C27" i="68" s="1"/>
  <c r="C13" i="71"/>
  <c r="D14" i="71"/>
  <c r="C46" i="11"/>
  <c r="C45" i="11" s="1"/>
  <c r="C43" i="11"/>
  <c r="C41"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3" i="68" l="1"/>
  <c r="C41" i="68" s="1"/>
  <c r="C49" i="68" s="1"/>
  <c r="C51" i="68" s="1"/>
  <c r="AB11" i="82"/>
  <c r="T49" i="82" s="1"/>
  <c r="G49" i="82" s="1"/>
  <c r="U11" i="82"/>
  <c r="AA11" i="82"/>
  <c r="R49" i="82" s="1"/>
  <c r="S11" i="82"/>
  <c r="AC11" i="82"/>
  <c r="V49" i="82" s="1"/>
  <c r="I49" i="82" s="1"/>
  <c r="W11" i="82"/>
  <c r="J16" i="15"/>
  <c r="J25" i="15" s="1"/>
  <c r="I36" i="15"/>
  <c r="I37" i="15" s="1"/>
  <c r="G53" i="34"/>
  <c r="H53" i="34" s="1"/>
  <c r="G54" i="34"/>
  <c r="H54" i="34" s="1"/>
  <c r="R50" i="34"/>
  <c r="E49" i="34"/>
  <c r="I54" i="34" s="1"/>
  <c r="J54" i="34" s="1"/>
  <c r="I53" i="34"/>
  <c r="J53" i="34" s="1"/>
  <c r="C58" i="15"/>
  <c r="C67" i="15" s="1"/>
  <c r="C68" i="15" s="1"/>
  <c r="C71" i="15" s="1"/>
  <c r="C80" i="15"/>
  <c r="C79" i="15" s="1"/>
  <c r="C40" i="15"/>
  <c r="Q56" i="15" s="1"/>
  <c r="Q69" i="15"/>
  <c r="Q68" i="15" s="1"/>
  <c r="C31" i="68"/>
  <c r="Q57" i="15"/>
  <c r="Q66" i="15"/>
  <c r="C49" i="11"/>
  <c r="C51" i="11" s="1"/>
  <c r="C52" i="11" s="1"/>
  <c r="B2" i="11" s="1"/>
  <c r="B3" i="11" s="1"/>
  <c r="C12" i="71"/>
  <c r="T13" i="71"/>
  <c r="D13" i="71"/>
  <c r="U13" i="71" s="1"/>
  <c r="C52" i="69"/>
  <c r="B2" i="69" s="1"/>
  <c r="B3" i="69" s="1"/>
  <c r="M69" i="39"/>
  <c r="N67" i="39"/>
  <c r="R39" i="35"/>
  <c r="E38" i="35"/>
  <c r="M63" i="40"/>
  <c r="L65" i="40"/>
  <c r="L51" i="15"/>
  <c r="R50" i="82" l="1"/>
  <c r="E49" i="82"/>
  <c r="I54" i="82"/>
  <c r="J54" i="82" s="1"/>
  <c r="I53" i="82"/>
  <c r="J53" i="82" s="1"/>
  <c r="G54" i="82"/>
  <c r="H54" i="82" s="1"/>
  <c r="G53" i="82"/>
  <c r="H53" i="82" s="1"/>
  <c r="E54" i="34"/>
  <c r="F54" i="34" s="1"/>
  <c r="E53" i="34"/>
  <c r="F53" i="34" s="1"/>
  <c r="C49" i="34"/>
  <c r="C50" i="34"/>
  <c r="B2" i="34" s="1"/>
  <c r="B3" i="34" s="1"/>
  <c r="C52" i="68"/>
  <c r="B2" i="68" s="1"/>
  <c r="B2" i="15"/>
  <c r="B3" i="15" s="1"/>
  <c r="Q62" i="15"/>
  <c r="Q47" i="15"/>
  <c r="Q53" i="15" s="1"/>
  <c r="C43" i="15"/>
  <c r="Q67" i="15"/>
  <c r="C46" i="15"/>
  <c r="Q65" i="15"/>
  <c r="Q75" i="15" s="1"/>
  <c r="C83" i="15"/>
  <c r="C82" i="15" s="1"/>
  <c r="C57" i="69"/>
  <c r="C56" i="69" s="1"/>
  <c r="C56" i="11"/>
  <c r="C57" i="11" s="1"/>
  <c r="D12" i="71"/>
  <c r="C11" i="71"/>
  <c r="O67" i="39"/>
  <c r="O69" i="39" s="1"/>
  <c r="N69" i="39"/>
  <c r="F7" i="39" s="1"/>
  <c r="C39" i="35"/>
  <c r="B2" i="35" s="1"/>
  <c r="B3" i="35" s="1"/>
  <c r="C38" i="35"/>
  <c r="N63" i="40"/>
  <c r="M65" i="40"/>
  <c r="E43" i="35"/>
  <c r="F43" i="35" s="1"/>
  <c r="E42" i="35"/>
  <c r="F42" i="35" s="1"/>
  <c r="I43" i="35"/>
  <c r="J43" i="35" s="1"/>
  <c r="AO6" i="1"/>
  <c r="D20" i="9"/>
  <c r="D19" i="9"/>
  <c r="E54" i="82" l="1"/>
  <c r="F54" i="82" s="1"/>
  <c r="E53" i="82"/>
  <c r="F53" i="82" s="1"/>
  <c r="C50" i="82"/>
  <c r="B2" i="82" s="1"/>
  <c r="C49" i="82"/>
  <c r="C57" i="68"/>
  <c r="C56" i="68" s="1"/>
  <c r="B3" i="68"/>
  <c r="D102" i="9"/>
  <c r="D21" i="9"/>
  <c r="B6" i="70"/>
  <c r="B2" i="70" s="1"/>
  <c r="B3" i="70" s="1"/>
  <c r="D103" i="9"/>
  <c r="D11" i="71"/>
  <c r="C10" i="71"/>
  <c r="H7" i="39"/>
  <c r="J7" i="39"/>
  <c r="S7" i="39"/>
  <c r="AA7" i="39"/>
  <c r="R47" i="39" s="1"/>
  <c r="O63" i="40"/>
  <c r="O65" i="40" s="1"/>
  <c r="N65" i="40"/>
  <c r="D35" i="9"/>
  <c r="D34" i="9"/>
  <c r="C19" i="9"/>
  <c r="C102" i="9" l="1"/>
  <c r="C21" i="9"/>
  <c r="D22" i="9"/>
  <c r="G19" i="9"/>
  <c r="G21" i="9" s="1"/>
  <c r="B3" i="82"/>
  <c r="C9" i="71"/>
  <c r="D10" i="71"/>
  <c r="W7" i="39"/>
  <c r="AC7" i="39"/>
  <c r="V47" i="39" s="1"/>
  <c r="I47" i="39" s="1"/>
  <c r="E47" i="39"/>
  <c r="R48" i="39"/>
  <c r="U7" i="39"/>
  <c r="AB7" i="39"/>
  <c r="T47" i="39" s="1"/>
  <c r="G47" i="39" s="1"/>
  <c r="J7" i="40"/>
  <c r="F7" i="40"/>
  <c r="H7" i="40"/>
  <c r="C20" i="9"/>
  <c r="L28" i="1" l="1"/>
  <c r="G20" i="9"/>
  <c r="C32" i="9" s="1"/>
  <c r="C35" i="9" s="1"/>
  <c r="C34" i="9" s="1"/>
  <c r="C103" i="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4" i="52" s="1"/>
  <c r="B47" i="72" s="1"/>
  <c r="H118" i="9"/>
  <c r="C104" i="9" s="1"/>
  <c r="H101" i="9" l="1"/>
  <c r="D5" i="53" s="1"/>
  <c r="D6" i="53" s="1"/>
  <c r="B22" i="72" s="1"/>
  <c r="I118" i="9"/>
  <c r="C105" i="9" s="1"/>
  <c r="H119" i="9"/>
  <c r="H5" i="52" s="1"/>
  <c r="H4" i="52"/>
  <c r="B20" i="72"/>
  <c r="F119" i="9"/>
  <c r="F5" i="52" s="1"/>
  <c r="B53" i="72" s="1"/>
  <c r="D119" i="9"/>
  <c r="D5" i="52" s="1"/>
  <c r="B49" i="72" s="1"/>
  <c r="G118" i="9"/>
  <c r="G4" i="52" s="1"/>
  <c r="B52" i="72" s="1"/>
  <c r="D14" i="74"/>
  <c r="D45" i="9" l="1"/>
  <c r="D53" i="9" s="1"/>
  <c r="M48" i="9"/>
  <c r="H107" i="9"/>
  <c r="D122" i="9" s="1"/>
  <c r="H102" i="9"/>
  <c r="D7" i="53" s="1"/>
  <c r="B21" i="72" s="1"/>
  <c r="I4" i="52"/>
  <c r="E14" i="74"/>
  <c r="F14" i="74"/>
  <c r="B5" i="74"/>
  <c r="E118" i="9"/>
  <c r="E4" i="52" s="1"/>
  <c r="B48" i="72" s="1"/>
  <c r="C64" i="9" l="1"/>
  <c r="C63" i="9" s="1"/>
  <c r="C67" i="9" s="1"/>
  <c r="D59" i="9" s="1"/>
  <c r="M55" i="9" s="1"/>
  <c r="C72" i="9"/>
  <c r="D52" i="9"/>
  <c r="D55" i="9"/>
  <c r="M53" i="9" s="1"/>
  <c r="C85" i="9"/>
  <c r="C93" i="9"/>
  <c r="C86" i="9" s="1"/>
  <c r="C78" i="9"/>
  <c r="C73" i="9" s="1"/>
  <c r="H108" i="9"/>
  <c r="D15" i="53" s="1"/>
  <c r="B31" i="72" s="1"/>
  <c r="D13" i="53"/>
  <c r="D14" i="53" s="1"/>
  <c r="B32" i="72" s="1"/>
  <c r="D8" i="52"/>
  <c r="D123" i="9"/>
  <c r="D9" i="52" s="1"/>
  <c r="G14" i="74"/>
  <c r="B6" i="74" s="1"/>
  <c r="C5" i="74"/>
  <c r="D5" i="74"/>
  <c r="C68" i="9" l="1"/>
  <c r="D54" i="9" s="1"/>
  <c r="C95" i="9"/>
  <c r="C96" i="9" s="1"/>
  <c r="E96" i="9" s="1"/>
  <c r="E97" i="9" s="1"/>
  <c r="C79" i="9"/>
  <c r="C80" i="9" s="1"/>
  <c r="E80" i="9" s="1"/>
  <c r="E81" i="9" s="1"/>
  <c r="B30" i="72"/>
  <c r="C6" i="74"/>
  <c r="D6" i="74"/>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<sst xmlns="http://schemas.openxmlformats.org/spreadsheetml/2006/main" count="8061" uniqueCount="3427">
  <si>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</si>
  <si>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</si>
  <si>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</si>
  <si>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</si>
  <si>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</si>
  <si>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</si>
  <si>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</si>
  <si>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</si>
  <si>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</si>
  <si>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</si>
  <si>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</si>
  <si>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</si>
  <si>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</si>
  <si>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</si>
  <si>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</si>
  <si>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</si>
  <si>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</si>
  <si>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</si>
  <si>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</si>
  <si>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</si>
  <si>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</si>
  <si>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</si>
  <si>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</si>
  <si>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</si>
  <si>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</si>
  <si>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</si>
  <si>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</si>
  <si>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</si>
  <si>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</si>
  <si>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</si>
  <si>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</si>
  <si>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</si>
  <si>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</si>
  <si>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</si>
  <si>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</si>
  <si>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</si>
  <si>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</si>
  <si>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</si>
  <si>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</si>
  <si>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</si>
  <si>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</si>
  <si>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</si>
  <si>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</si>
  <si>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</si>
  <si>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</si>
  <si>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</si>
  <si>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</si>
  <si>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</si>
  <si>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</si>
  <si>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</si>
  <si>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</si>
  <si>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</si>
  <si>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</si>
  <si>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</si>
  <si>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</si>
  <si>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</si>
  <si>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</si>
  <si>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</si>
  <si>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</si>
  <si>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</si>
  <si>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</si>
  <si>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</si>
  <si>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</si>
  <si>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</si>
  <si>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</si>
  <si>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</si>
  <si>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</si>
  <si>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</si>
  <si>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</si>
  <si>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</si>
  <si>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</si>
  <si>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</si>
  <si>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</si>
  <si>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</si>
  <si>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</si>
  <si>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</si>
  <si>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</si>
  <si>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</si>
  <si>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</si>
  <si>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</si>
  <si>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</si>
  <si>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</si>
  <si>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</si>
  <si>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</si>
  <si>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</si>
  <si>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</si>
  <si>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</si>
  <si>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</si>
  <si>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</si>
  <si>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</si>
  <si>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</si>
  <si>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</si>
  <si>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</si>
  <si>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</si>
  <si>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</si>
  <si>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</si>
  <si>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</si>
  <si>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</si>
  <si>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</si>
  <si>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</si>
  <si>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</si>
  <si>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</si>
  <si>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</si>
  <si>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</si>
  <si>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</si>
  <si>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</si>
  <si>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</si>
  <si>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</si>
  <si>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</si>
  <si>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</si>
  <si>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</si>
  <si>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</si>
  <si>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</si>
  <si>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</si>
  <si>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</si>
  <si>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</si>
  <si>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</si>
  <si>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</si>
  <si>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</si>
  <si>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</si>
  <si>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</si>
  <si>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</si>
  <si>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</si>
  <si>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</si>
  <si>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</si>
  <si>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</si>
  <si>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</si>
  <si>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</si>
  <si>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</si>
  <si>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</si>
  <si>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</si>
  <si>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</si>
  <si>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</si>
  <si>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</si>
  <si>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</si>
  <si>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</si>
  <si>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</si>
  <si>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</si>
  <si>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</si>
  <si>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</si>
  <si>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</si>
  <si>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</si>
  <si>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</si>
  <si>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</si>
  <si>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</si>
  <si>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</si>
  <si>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</si>
  <si>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</si>
  <si>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</si>
  <si>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</si>
  <si>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</si>
  <si>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</si>
  <si>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</si>
  <si>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</si>
  <si>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</si>
  <si>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</si>
  <si>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</si>
  <si>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</si>
  <si>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</si>
  <si>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</si>
  <si>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</si>
  <si>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</si>
  <si>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</si>
  <si>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</si>
  <si>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</si>
  <si>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</si>
  <si>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</si>
  <si>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</si>
  <si>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</si>
  <si>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</si>
  <si>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</si>
  <si>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</si>
  <si>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</si>
  <si>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</si>
  <si>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</si>
  <si>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</si>
  <si>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</si>
  <si>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</si>
  <si>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</si>
  <si>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</si>
  <si>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</si>
  <si>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</si>
  <si>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</si>
  <si>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</si>
  <si>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</si>
  <si>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</si>
  <si>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</si>
  <si>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</si>
  <si>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</si>
  <si>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</si>
  <si>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</si>
  <si>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</si>
  <si>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</si>
  <si>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</si>
  <si>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</si>
  <si>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</si>
  <si>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</si>
  <si>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</si>
  <si>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</si>
  <si>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</si>
  <si>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</si>
  <si>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</si>
  <si>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</si>
  <si>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</si>
  <si>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</si>
  <si>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</si>
  <si>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</si>
  <si>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</si>
  <si>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</si>
  <si>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</si>
  <si>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</si>
  <si>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</si>
  <si>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</si>
  <si>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</si>
  <si>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</si>
  <si>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</si>
  <si>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</si>
  <si>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</si>
  <si>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</si>
  <si>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</si>
  <si>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</si>
  <si>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</si>
  <si>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</si>
  <si>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</si>
  <si>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</si>
  <si>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</si>
  <si>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</si>
  <si>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</si>
  <si>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</si>
  <si>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</si>
  <si>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</si>
  <si>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</si>
  <si>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</si>
  <si>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</si>
  <si>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</si>
  <si>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</si>
  <si>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</si>
  <si>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</si>
  <si>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</si>
  <si>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</si>
  <si>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</si>
  <si>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</si>
  <si>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</si>
  <si>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</si>
  <si>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</si>
  <si>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</si>
  <si>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</si>
  <si>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</si>
  <si>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</si>
  <si>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</si>
  <si>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</si>
  <si>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</si>
  <si>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</si>
  <si>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</si>
  <si>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</si>
  <si>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</si>
  <si>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</si>
  <si>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</si>
  <si>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</si>
  <si>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</si>
  <si>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</si>
  <si>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</si>
  <si>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</si>
  <si>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</si>
  <si>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</si>
  <si>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</si>
  <si>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</si>
  <si>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</si>
  <si>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</si>
  <si>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</si>
  <si>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</si>
  <si>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</si>
  <si>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</si>
  <si>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</si>
  <si>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</si>
  <si>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</si>
  <si>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</si>
  <si>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</si>
  <si>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</si>
  <si>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</si>
  <si>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</si>
  <si>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</si>
  <si>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</si>
  <si>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</si>
  <si>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</si>
  <si>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</si>
  <si>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</si>
  <si>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</si>
  <si>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</si>
  <si>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</si>
  <si>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</si>
  <si>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</si>
  <si>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</si>
  <si>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</si>
  <si>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</si>
  <si>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</si>
  <si>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</si>
  <si>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</si>
  <si>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</si>
  <si>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</si>
  <si>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</si>
  <si>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</si>
  <si>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</si>
  <si>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</si>
  <si>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</si>
  <si>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</si>
  <si>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</si>
  <si>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</si>
  <si>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</si>
  <si>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</si>
  <si>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</si>
  <si>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</si>
  <si>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</si>
  <si>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</si>
  <si>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</si>
  <si>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</si>
  <si>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</si>
  <si>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</si>
  <si>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</si>
  <si>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</si>
  <si>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</si>
  <si>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</si>
  <si>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</si>
  <si>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</si>
  <si>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</si>
  <si>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</si>
  <si>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</si>
  <si>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</si>
  <si>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</si>
  <si>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</si>
  <si>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</si>
  <si>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</si>
  <si>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</si>
  <si>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</si>
  <si>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</si>
  <si>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</si>
  <si>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</si>
  <si>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</si>
  <si>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</si>
  <si>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</si>
  <si>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</si>
  <si>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</si>
  <si>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</si>
  <si>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</si>
  <si>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</si>
  <si>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</si>
  <si>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</si>
  <si>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</si>
  <si>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</si>
  <si>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</si>
  <si>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</si>
  <si>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</si>
  <si>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</si>
  <si>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</si>
  <si>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</si>
  <si>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</si>
  <si>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</si>
  <si>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</si>
  <si>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</si>
  <si>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</si>
  <si>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</si>
  <si>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</si>
  <si>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</si>
  <si>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</si>
  <si>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</si>
  <si>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</si>
  <si>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</si>
  <si>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</si>
  <si>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</si>
  <si>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</si>
  <si>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</si>
  <si>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</si>
  <si>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</si>
  <si>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</si>
  <si>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</si>
  <si>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</si>
  <si>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</si>
  <si>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</si>
  <si>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</si>
  <si>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</si>
  <si>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</si>
  <si>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</si>
  <si>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</si>
  <si>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</si>
  <si>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</si>
  <si>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</si>
  <si>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</si>
  <si>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</si>
  <si>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</si>
  <si>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</si>
  <si>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</si>
  <si>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</si>
  <si>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</si>
  <si>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</si>
  <si>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</si>
  <si>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</si>
  <si>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</si>
  <si>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</si>
  <si>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</si>
  <si>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</si>
  <si>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</si>
  <si>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</si>
  <si>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</si>
  <si>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</si>
  <si>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</si>
  <si>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</si>
  <si>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</si>
  <si>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</si>
  <si>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</si>
  <si>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</si>
  <si>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</si>
  <si>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</si>
  <si>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</si>
  <si>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</si>
  <si>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</si>
  <si>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</si>
  <si>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</si>
  <si>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</si>
  <si>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</si>
  <si>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</si>
  <si>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</si>
  <si>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</si>
  <si>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</si>
  <si>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</si>
  <si>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</si>
  <si>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</si>
  <si>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</si>
  <si>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</si>
  <si>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</si>
  <si>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</si>
  <si>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</si>
  <si>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</si>
  <si>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</si>
  <si>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</si>
  <si>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</si>
  <si>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</si>
  <si>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</si>
  <si>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</si>
  <si>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</si>
  <si>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</si>
  <si>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</si>
  <si>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</si>
  <si>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</si>
  <si>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</si>
  <si>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</si>
  <si>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</si>
  <si>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</si>
  <si>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</si>
  <si>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</si>
  <si>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</si>
  <si>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</si>
  <si>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</si>
  <si>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</si>
  <si>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</si>
  <si>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</si>
  <si>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</si>
  <si>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</si>
  <si>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</si>
  <si>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</si>
  <si>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</si>
  <si>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</si>
  <si>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</si>
  <si>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</si>
  <si>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</si>
  <si>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</si>
  <si>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</si>
  <si>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</si>
  <si>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</si>
  <si>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</si>
  <si>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</si>
  <si>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</si>
  <si>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</si>
  <si>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</si>
  <si>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</si>
  <si>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</si>
  <si>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</si>
  <si>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</si>
  <si>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</si>
  <si>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</si>
  <si>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</si>
  <si>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</si>
  <si>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</si>
  <si>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</si>
  <si>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</si>
  <si>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</si>
  <si>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</si>
  <si>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</si>
  <si>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</si>
  <si>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</si>
  <si>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</si>
  <si>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</si>
  <si>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</si>
  <si>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</si>
  <si>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</si>
  <si>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</si>
  <si>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</si>
  <si>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</si>
  <si>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</si>
  <si>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</si>
  <si>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</si>
  <si>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</si>
  <si>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</si>
  <si>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</si>
  <si>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</si>
  <si>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</si>
  <si>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</si>
  <si>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</si>
  <si>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</si>
  <si>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</si>
  <si>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</si>
  <si>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</si>
  <si>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</si>
  <si>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</si>
  <si>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</si>
  <si>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</si>
  <si>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</si>
  <si>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</si>
  <si>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</si>
  <si>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</si>
  <si>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</si>
  <si>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</si>
  <si>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</si>
  <si>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</si>
  <si>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</si>
  <si>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</si>
  <si>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</si>
  <si>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</si>
  <si>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</si>
  <si>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</si>
  <si>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</si>
  <si>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</si>
  <si>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</si>
  <si>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</si>
  <si>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</si>
  <si>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</si>
  <si>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</si>
  <si>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</si>
  <si>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</si>
  <si>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</si>
  <si>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</si>
  <si>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</si>
  <si>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</si>
  <si>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</si>
  <si>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</si>
  <si>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</si>
  <si>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</si>
  <si>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</si>
  <si>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</si>
  <si>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</si>
  <si>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</si>
  <si>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</si>
  <si>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</si>
  <si>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</si>
  <si>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</si>
  <si>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</si>
  <si>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</si>
  <si>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</si>
  <si>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</si>
  <si>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</si>
  <si>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</si>
  <si>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</si>
  <si>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</si>
  <si>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</si>
  <si>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</si>
  <si>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</si>
  <si>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</si>
  <si>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</si>
  <si>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</si>
  <si>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</si>
  <si>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</si>
  <si>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</si>
  <si>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</si>
  <si>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</si>
  <si>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</si>
  <si>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</si>
  <si>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</si>
  <si>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</si>
  <si>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</si>
  <si>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</si>
  <si>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</si>
  <si>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</si>
  <si>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</si>
  <si>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</si>
  <si>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</si>
  <si>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</si>
  <si>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</si>
  <si>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</si>
  <si>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</si>
  <si>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</si>
  <si>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</si>
  <si>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</si>
  <si>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</si>
  <si>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</si>
  <si>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</si>
  <si>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</si>
  <si>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</si>
  <si>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</si>
  <si>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</si>
  <si>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</si>
  <si>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</si>
  <si>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</si>
  <si>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</si>
  <si>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</si>
  <si>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</si>
  <si>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</si>
  <si>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</si>
  <si>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</si>
  <si>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</si>
  <si>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</si>
  <si>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</si>
  <si>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</si>
  <si>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</si>
  <si>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</si>
  <si>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</si>
  <si>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</si>
  <si>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</si>
  <si>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</si>
  <si>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</si>
  <si>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</si>
  <si>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</si>
  <si>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</si>
  <si>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</si>
  <si>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</si>
  <si>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</si>
  <si>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</si>
  <si>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</si>
  <si>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</si>
  <si>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</si>
  <si>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</si>
  <si>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</si>
  <si>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</si>
  <si>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</si>
  <si>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</si>
  <si>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</si>
  <si>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</si>
  <si>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</si>
  <si>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</si>
  <si>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</si>
  <si>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</si>
  <si>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</si>
  <si>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</si>
  <si>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</si>
  <si>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</si>
  <si>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</si>
  <si>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</si>
  <si>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</si>
  <si>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</si>
  <si>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</si>
  <si>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</si>
  <si>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</si>
  <si>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</si>
  <si>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</si>
  <si>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</si>
  <si>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</si>
  <si>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</si>
  <si>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</si>
  <si>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</si>
  <si>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</si>
  <si>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</si>
  <si>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</si>
  <si>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</si>
  <si>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</si>
  <si>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</si>
  <si>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</si>
  <si>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</si>
  <si>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</si>
  <si>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</si>
  <si>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</si>
  <si>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</si>
  <si>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</si>
  <si>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</si>
  <si>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</si>
  <si>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</si>
  <si>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</si>
  <si>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</si>
  <si>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</si>
  <si>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</si>
  <si>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</si>
  <si>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</si>
  <si>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</si>
  <si>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</si>
  <si>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</si>
  <si>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</si>
  <si>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</si>
  <si>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</si>
  <si>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</si>
  <si>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</si>
  <si>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</si>
  <si>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</si>
  <si>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</si>
  <si>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</si>
  <si>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</si>
  <si>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</si>
  <si>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</si>
  <si>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</si>
  <si>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</si>
  <si>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</si>
  <si>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</si>
  <si>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</si>
  <si>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</si>
  <si>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</si>
  <si>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</si>
  <si>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</si>
  <si>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</si>
  <si>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</si>
  <si>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</si>
  <si>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</si>
  <si>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</si>
  <si>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</si>
  <si>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</si>
  <si>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</si>
  <si>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</si>
  <si>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</si>
  <si>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</si>
  <si>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</si>
  <si>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</si>
  <si>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</si>
  <si>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</si>
  <si>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</si>
  <si>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</si>
  <si>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</si>
  <si>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</si>
  <si>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</si>
  <si>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</si>
  <si>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</si>
  <si>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</si>
  <si>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</si>
  <si>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</si>
  <si>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</si>
  <si>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</si>
  <si>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</si>
  <si>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</si>
  <si>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</si>
  <si>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</si>
  <si>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</si>
  <si>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</si>
  <si>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</si>
  <si>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</si>
  <si>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</si>
  <si>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</si>
  <si>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</si>
  <si>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</si>
  <si>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</si>
  <si>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</si>
  <si>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</si>
  <si>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</si>
  <si>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</si>
  <si>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</si>
  <si>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</si>
  <si>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</si>
  <si>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</si>
  <si>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</si>
  <si>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</si>
  <si>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</si>
  <si>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</si>
  <si>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</si>
  <si>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</si>
  <si>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</si>
  <si>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</si>
  <si>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</si>
  <si>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</si>
  <si>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</si>
  <si>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</si>
  <si>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</si>
  <si>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</si>
  <si>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</si>
  <si>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</si>
  <si>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</si>
  <si>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</si>
  <si>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</si>
  <si>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</si>
  <si>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</si>
  <si>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</si>
  <si>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</si>
  <si>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</si>
  <si>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</si>
  <si>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</si>
  <si>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</si>
  <si>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</si>
  <si>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</si>
  <si>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</si>
  <si>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</si>
  <si>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</si>
  <si>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</si>
  <si>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</si>
  <si>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</si>
  <si>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</si>
  <si>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</si>
  <si>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</si>
  <si>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</si>
  <si>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</si>
  <si>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</si>
  <si>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</si>
  <si>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</si>
  <si>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</si>
  <si>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</si>
  <si>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</si>
  <si>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</si>
  <si>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</si>
  <si>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</si>
  <si>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</si>
  <si>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</si>
  <si>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</si>
  <si>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</si>
  <si>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</si>
  <si>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</si>
  <si>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</si>
  <si>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</si>
  <si>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</si>
  <si>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</si>
  <si>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</si>
  <si>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</si>
  <si>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</si>
  <si>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</si>
  <si>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</si>
  <si>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</si>
  <si>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</si>
  <si>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</si>
  <si>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</si>
  <si>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</si>
  <si>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</si>
  <si>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</si>
  <si>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</si>
  <si>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</si>
  <si>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</si>
  <si>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</si>
  <si>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</si>
  <si>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</si>
  <si>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</si>
  <si>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</si>
  <si>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</si>
  <si>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</si>
  <si>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</si>
  <si>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</si>
  <si>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</si>
  <si>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</si>
  <si>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</si>
  <si>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</si>
  <si>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</si>
  <si>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</si>
  <si>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</si>
  <si>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</si>
  <si>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</si>
  <si>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</si>
  <si>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</si>
  <si>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</si>
  <si>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</si>
  <si>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</si>
  <si>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</si>
  <si>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</si>
  <si>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</si>
  <si>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</si>
  <si>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</si>
  <si>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</si>
  <si>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</si>
  <si>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</si>
  <si>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</si>
  <si>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</si>
  <si>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</si>
  <si>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</si>
  <si>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</si>
  <si>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</si>
  <si>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</si>
  <si>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</si>
  <si>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</si>
  <si>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</si>
  <si>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</si>
  <si>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</si>
  <si>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</si>
  <si>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</si>
  <si>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</si>
  <si>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</si>
  <si>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</si>
  <si>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</si>
  <si>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</si>
  <si>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</si>
  <si>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</si>
  <si>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</si>
  <si>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</si>
  <si>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</si>
  <si>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</si>
  <si>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</si>
  <si>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</si>
  <si>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</si>
  <si>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</si>
  <si>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</si>
  <si>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</si>
  <si>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</si>
  <si>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</si>
  <si>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</si>
  <si>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</si>
  <si>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</si>
  <si>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</si>
  <si>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</si>
  <si>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</si>
  <si>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</si>
  <si>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</si>
  <si>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</si>
  <si>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</si>
  <si>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</si>
  <si>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</si>
  <si>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</si>
  <si>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</si>
  <si>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</si>
  <si>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</si>
  <si>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</si>
  <si>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</si>
  <si>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</si>
  <si>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</si>
  <si>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</si>
  <si>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</si>
  <si>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</si>
  <si>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</si>
  <si>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</si>
  <si>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</si>
  <si>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</si>
  <si>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</si>
  <si>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</si>
  <si>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</si>
  <si>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</si>
  <si>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</si>
  <si>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</si>
  <si>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</si>
  <si>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</si>
  <si>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</si>
  <si>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</si>
  <si>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</si>
  <si>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</si>
  <si>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</si>
  <si>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</si>
  <si>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</si>
  <si>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</si>
  <si>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</si>
  <si>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</si>
  <si>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</si>
  <si>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</si>
  <si>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</si>
  <si>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</si>
  <si>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</si>
  <si>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</si>
  <si>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</si>
  <si>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</si>
  <si>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</si>
  <si>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</si>
  <si>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</si>
  <si>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</si>
  <si>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</si>
  <si>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</si>
  <si>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</si>
  <si>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</si>
  <si>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</si>
  <si>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</si>
  <si>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</si>
  <si>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</si>
  <si>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</si>
  <si>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</si>
  <si>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</si>
  <si>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</si>
  <si>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</si>
  <si>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</si>
  <si>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</si>
  <si>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</si>
  <si>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</si>
  <si>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</si>
  <si>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</si>
  <si>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</si>
  <si>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</si>
  <si>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</si>
  <si>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</si>
  <si>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</si>
  <si>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</si>
  <si>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</si>
  <si>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</si>
  <si>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</si>
  <si>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</si>
  <si>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</si>
  <si>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</si>
  <si>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</si>
  <si>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</si>
  <si>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</si>
  <si>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</si>
  <si>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</si>
  <si>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</si>
  <si>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</si>
  <si>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</si>
  <si>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</si>
  <si>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</si>
  <si>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</si>
  <si>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</si>
  <si>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</si>
  <si>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</si>
  <si>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</si>
  <si>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</si>
  <si>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</si>
  <si>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</si>
  <si>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</si>
  <si>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</si>
  <si>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</si>
  <si>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</si>
  <si>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</si>
  <si>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</si>
  <si>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</si>
  <si>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</si>
  <si>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</si>
  <si>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</si>
  <si>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</si>
  <si>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</si>
  <si>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</si>
  <si>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</si>
  <si>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</si>
  <si>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</si>
  <si>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</si>
  <si>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</si>
  <si>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</si>
  <si>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</si>
  <si>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</si>
  <si>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</si>
  <si>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</si>
  <si>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</si>
  <si>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</si>
  <si>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</si>
  <si>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</si>
  <si>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</si>
  <si>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</si>
  <si>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</si>
  <si>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</si>
  <si>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</si>
  <si>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</si>
  <si>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</si>
  <si>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</si>
  <si>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</si>
  <si>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</si>
  <si>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</si>
  <si>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</si>
  <si>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</si>
  <si>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</si>
  <si>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</si>
  <si>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</si>
  <si>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</si>
  <si>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</si>
  <si>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</si>
  <si>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</si>
  <si>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</si>
  <si>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</si>
  <si>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</si>
  <si>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</si>
  <si>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</si>
  <si>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</si>
  <si>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</si>
  <si>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</si>
  <si>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</si>
  <si>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</si>
  <si>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</si>
  <si>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</si>
  <si>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</si>
  <si>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</si>
  <si>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</si>
  <si>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</si>
  <si>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</si>
  <si>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</si>
  <si>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</si>
  <si>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</si>
  <si>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</si>
  <si>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</si>
  <si>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</si>
  <si>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</si>
  <si>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</si>
  <si>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</si>
  <si>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</si>
  <si>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</si>
  <si>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</si>
  <si>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</si>
  <si>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</si>
  <si>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</si>
  <si>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</si>
  <si>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</si>
  <si>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</si>
  <si>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</si>
  <si>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</si>
  <si>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</si>
  <si>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</si>
  <si>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</si>
  <si>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</si>
  <si>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</si>
  <si>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</si>
  <si>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</si>
  <si>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</si>
  <si>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</si>
  <si>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</si>
  <si>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</si>
  <si>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</si>
  <si>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</si>
  <si>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</si>
  <si>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</si>
  <si>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</si>
  <si>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</si>
  <si>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</si>
  <si>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</si>
  <si>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</si>
  <si>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</si>
  <si>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</si>
  <si>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</si>
  <si>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</si>
  <si>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</si>
  <si>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</si>
  <si>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</si>
  <si>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</si>
  <si>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</si>
  <si>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</si>
  <si>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</si>
  <si>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</si>
  <si>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</si>
  <si>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</si>
  <si>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</si>
  <si>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</si>
  <si>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</si>
  <si>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</si>
  <si>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</si>
  <si>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</si>
  <si>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</si>
  <si>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</si>
  <si>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</si>
  <si>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</si>
  <si>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</si>
  <si>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</si>
  <si>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</si>
  <si>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</si>
  <si>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</si>
  <si>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</si>
  <si>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</si>
  <si>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</si>
  <si>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</si>
  <si>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</si>
  <si>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</si>
  <si>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</si>
  <si>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</si>
  <si>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</si>
  <si>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</si>
  <si>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</si>
  <si>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</si>
  <si>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</si>
  <si>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</si>
  <si>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</si>
  <si>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</si>
  <si>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</si>
  <si>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</si>
  <si>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</si>
  <si>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</si>
  <si>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</si>
  <si>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</si>
  <si>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</si>
  <si>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</si>
  <si>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</si>
  <si>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</si>
  <si>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</si>
  <si>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</si>
  <si>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</si>
  <si>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</si>
  <si>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</si>
  <si>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</si>
  <si>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</si>
  <si>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</si>
  <si>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</si>
  <si>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</si>
  <si>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</si>
  <si>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</si>
  <si>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</si>
  <si>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</si>
  <si>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</si>
  <si>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</si>
  <si>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</si>
  <si>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</si>
  <si>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</si>
  <si>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</si>
  <si>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</si>
  <si>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</si>
  <si>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</si>
  <si>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</si>
  <si>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</si>
  <si>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</si>
  <si>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</si>
  <si>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</si>
  <si>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</si>
  <si>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</si>
  <si>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</si>
  <si>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</si>
  <si>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</si>
  <si>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</si>
  <si>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</si>
  <si>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</si>
  <si>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</si>
  <si>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</si>
  <si>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</si>
  <si>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</si>
  <si>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</si>
  <si>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</si>
  <si>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</si>
  <si>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</si>
  <si>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</si>
  <si>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</si>
  <si>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</si>
  <si>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</si>
  <si>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</si>
  <si>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</si>
  <si>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</si>
  <si>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</si>
  <si>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</si>
  <si>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</si>
  <si>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</si>
  <si>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</si>
  <si>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</si>
  <si>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</si>
  <si>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</si>
  <si>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</si>
  <si>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</si>
  <si>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</si>
  <si>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</si>
  <si>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</si>
  <si>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</si>
  <si>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</si>
  <si>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</si>
  <si>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</si>
  <si>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</si>
  <si>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</si>
  <si>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</si>
  <si>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</si>
  <si>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</si>
  <si>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</si>
  <si>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</si>
  <si>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</si>
  <si>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</si>
  <si>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</si>
  <si>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</si>
  <si>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</si>
  <si>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</si>
  <si>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</si>
  <si>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</si>
  <si>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</si>
  <si>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</si>
  <si>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</si>
  <si>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</si>
  <si>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</si>
  <si>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</si>
  <si>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</si>
  <si>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</si>
  <si>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</si>
  <si>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</si>
  <si>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</si>
  <si>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</si>
  <si>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</si>
  <si>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</si>
  <si>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</si>
  <si>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</si>
  <si>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</si>
  <si>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</si>
  <si>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</si>
  <si>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</si>
  <si>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</si>
  <si>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</si>
  <si>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</si>
  <si>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</si>
  <si>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</si>
  <si>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</si>
  <si>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</si>
  <si>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</si>
  <si>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</si>
  <si>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</si>
  <si>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</si>
  <si>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</si>
  <si>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</si>
  <si>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</si>
  <si>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</si>
  <si>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</si>
  <si>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</si>
  <si>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</si>
  <si>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</si>
  <si>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</si>
  <si>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</si>
  <si>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</si>
  <si>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</si>
  <si>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</si>
  <si>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</si>
  <si>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</si>
  <si>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</si>
  <si>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</si>
  <si>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</si>
  <si>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</si>
  <si>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</si>
  <si>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</si>
  <si>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</si>
  <si>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</si>
  <si>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</si>
  <si>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</si>
  <si>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</si>
  <si>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</si>
  <si>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</si>
  <si>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</si>
  <si>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</si>
  <si>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</si>
  <si>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</si>
  <si>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</si>
  <si>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</si>
  <si>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</si>
  <si>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</si>
  <si>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</si>
  <si>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</si>
  <si>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</si>
  <si>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</si>
  <si>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</si>
  <si>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</si>
  <si>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</si>
  <si>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</si>
  <si>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</si>
  <si>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</si>
  <si>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</si>
  <si>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</si>
  <si>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</si>
  <si>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</si>
  <si>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</si>
  <si>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</si>
  <si>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</si>
  <si>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</si>
  <si>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</si>
  <si>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</si>
  <si>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</si>
  <si>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</si>
  <si>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</si>
  <si>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</si>
  <si>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</si>
  <si>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</si>
  <si>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</si>
  <si>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</si>
  <si>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</si>
  <si>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</si>
  <si>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</si>
  <si>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</si>
  <si>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</si>
  <si>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</si>
  <si>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</si>
  <si>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</si>
  <si>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</si>
  <si>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</si>
  <si>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</si>
  <si>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</si>
  <si>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</si>
  <si>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</si>
  <si>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</si>
  <si>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</si>
  <si>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</si>
  <si>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</si>
  <si>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</si>
  <si>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</si>
  <si>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</si>
  <si>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</si>
  <si>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</si>
  <si>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</si>
  <si>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</si>
  <si>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</si>
  <si>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</si>
  <si>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</si>
  <si>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</si>
  <si>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</si>
  <si>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</si>
  <si>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</si>
  <si>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</si>
  <si>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</si>
  <si>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</si>
  <si>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</si>
  <si>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</si>
  <si>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</si>
  <si>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</si>
  <si>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</si>
  <si>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</si>
  <si>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</si>
  <si>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</si>
  <si>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</si>
  <si>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</si>
  <si>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</si>
  <si>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</si>
  <si>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</si>
  <si>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</si>
  <si>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</si>
  <si>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</si>
  <si>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</si>
  <si>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</si>
  <si>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</si>
  <si>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</si>
  <si>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</si>
  <si>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</si>
  <si>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</si>
  <si>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</si>
  <si>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</si>
  <si>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</si>
  <si>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</si>
  <si>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</si>
  <si>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</si>
  <si>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</si>
  <si>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</si>
  <si>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</si>
  <si>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</si>
  <si>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</si>
  <si>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</si>
  <si>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</si>
  <si>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</si>
  <si>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</si>
  <si>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</si>
  <si>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</si>
  <si>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</si>
  <si>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</si>
  <si>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</si>
  <si>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</si>
  <si>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</si>
  <si>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</si>
  <si>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</si>
  <si>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</si>
  <si>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</si>
  <si>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</si>
  <si>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</si>
  <si>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</si>
  <si>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</si>
  <si>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</si>
  <si>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</si>
  <si>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</si>
  <si>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</si>
  <si>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</si>
  <si>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</si>
  <si>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</si>
  <si>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</si>
  <si>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</si>
  <si>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</si>
  <si>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</si>
  <si>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</si>
  <si>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</si>
  <si>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</si>
  <si>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</si>
  <si>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</si>
  <si>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</si>
  <si>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</si>
  <si>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</si>
  <si>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</si>
  <si>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</si>
  <si>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</si>
  <si>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</si>
  <si>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</si>
  <si>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</si>
  <si>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</si>
  <si>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</si>
  <si>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</si>
  <si>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</si>
  <si>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</si>
  <si>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</si>
  <si>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</si>
  <si>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</si>
  <si>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</si>
  <si>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</si>
  <si>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</si>
  <si>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</si>
  <si>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</si>
  <si>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</si>
  <si>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</si>
  <si>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</si>
  <si>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</si>
  <si>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</si>
  <si>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</si>
  <si>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</si>
  <si>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</si>
  <si>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</si>
  <si>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</si>
  <si>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</si>
  <si>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</si>
  <si>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</si>
  <si>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</si>
  <si>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</si>
  <si>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</si>
  <si>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</si>
  <si>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</si>
  <si>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</si>
  <si>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</si>
  <si>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</si>
  <si>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</si>
  <si>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</si>
  <si>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</si>
  <si>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</si>
  <si>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</si>
  <si>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</si>
  <si>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</si>
  <si>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</si>
  <si>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</si>
  <si>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</si>
  <si>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</si>
  <si>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</si>
  <si>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</si>
  <si>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</si>
  <si>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</si>
  <si>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</si>
  <si>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</si>
  <si>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</si>
  <si>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</si>
  <si>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</si>
  <si>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</si>
  <si>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</si>
  <si>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</si>
  <si>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</si>
  <si>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</si>
  <si>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</si>
  <si>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</si>
  <si>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</si>
  <si>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</si>
  <si>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</si>
  <si>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</si>
  <si>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</si>
  <si>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</si>
  <si>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</si>
  <si>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</si>
  <si>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</si>
  <si>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</si>
  <si>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</si>
  <si>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</si>
  <si>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</si>
  <si>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</si>
  <si>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</si>
  <si>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</si>
  <si>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</si>
  <si>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</si>
  <si>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</si>
  <si>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</si>
  <si>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</si>
  <si>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</si>
  <si>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</si>
  <si>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</si>
  <si>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</si>
  <si>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</si>
  <si>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</si>
  <si>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</si>
  <si>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</si>
  <si>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</si>
  <si>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</si>
  <si>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</si>
  <si>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</si>
  <si>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</si>
  <si>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</si>
  <si>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</si>
  <si>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</si>
  <si>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</si>
  <si>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</si>
  <si>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</si>
  <si>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</si>
  <si>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</si>
  <si>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</si>
  <si>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</si>
  <si>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</si>
  <si>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</si>
  <si>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</si>
  <si>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</si>
  <si>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</si>
  <si>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</si>
  <si>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</si>
  <si>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</si>
  <si>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</si>
  <si>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</si>
  <si>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</si>
  <si>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</si>
  <si>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</si>
  <si>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</si>
  <si>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</si>
  <si>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</si>
  <si>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</si>
  <si>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</si>
  <si>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</si>
  <si>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</si>
  <si>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</si>
  <si>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</si>
  <si>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</si>
  <si>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</si>
  <si>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</si>
  <si>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</si>
  <si>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</si>
  <si>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</si>
  <si>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</si>
  <si>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</si>
  <si>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</si>
  <si>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</si>
  <si>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</si>
  <si>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</si>
  <si>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</si>
  <si>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</si>
  <si>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</si>
  <si>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</si>
  <si>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</si>
  <si>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</si>
  <si>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</si>
  <si>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</si>
  <si>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</si>
  <si>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</si>
  <si>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</si>
  <si>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</si>
  <si>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</si>
  <si>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</si>
  <si>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</si>
  <si>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</si>
  <si>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</si>
  <si>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</si>
  <si>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</si>
  <si>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</si>
  <si>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</si>
  <si>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</si>
  <si>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</si>
  <si>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</si>
  <si>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</si>
  <si>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</si>
  <si>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</si>
  <si>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</si>
  <si>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</si>
  <si>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</si>
  <si>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</si>
  <si>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</si>
  <si>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</si>
  <si>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</si>
  <si>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</si>
  <si>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</si>
  <si>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</si>
  <si>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</si>
  <si>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</si>
  <si>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</si>
  <si>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</si>
  <si>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</si>
  <si>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</si>
  <si>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</si>
  <si>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</si>
  <si>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</si>
  <si>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</si>
  <si>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</si>
  <si>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</si>
  <si>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</si>
  <si>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</si>
  <si>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</si>
  <si>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</si>
  <si>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</si>
  <si>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</si>
  <si>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</si>
  <si>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</si>
  <si>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</si>
  <si>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</si>
  <si>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</si>
  <si>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</si>
  <si>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</si>
  <si>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</si>
  <si>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</si>
  <si>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</si>
  <si>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</si>
  <si>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</si>
  <si>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</si>
  <si>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</si>
  <si>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</si>
  <si>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</si>
  <si>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</si>
  <si>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</si>
  <si>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</si>
  <si>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</si>
  <si>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</si>
  <si>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</si>
  <si>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</si>
  <si>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</si>
  <si>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</si>
  <si>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</si>
  <si>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</si>
  <si>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</si>
  <si>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</si>
  <si>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</si>
  <si>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</si>
  <si>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</si>
  <si>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</si>
  <si>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</si>
  <si>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</si>
  <si>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</si>
  <si>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</si>
  <si>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</si>
  <si>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</si>
  <si>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</si>
  <si>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</si>
  <si>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</si>
  <si>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</si>
  <si>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</si>
  <si>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</si>
  <si>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</si>
  <si>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</si>
  <si>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</si>
  <si>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</si>
  <si>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</si>
  <si>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</si>
  <si>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</si>
  <si>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</si>
  <si>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</si>
  <si>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</si>
  <si>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</si>
  <si>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</si>
  <si>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</si>
  <si>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</si>
  <si>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</si>
  <si>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</si>
  <si>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</si>
  <si>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</si>
  <si>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</si>
  <si>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</si>
  <si>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</si>
  <si>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</si>
  <si>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</si>
  <si>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</si>
  <si>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</si>
  <si>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</si>
  <si>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</si>
  <si>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</si>
  <si>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</si>
  <si>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</si>
  <si>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</si>
  <si>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</si>
  <si>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</si>
  <si>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</si>
  <si>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</si>
  <si>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</si>
  <si>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</si>
  <si>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</si>
  <si>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</si>
  <si>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</si>
  <si>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</si>
  <si>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</si>
  <si>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</si>
  <si>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</si>
  <si>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</si>
  <si>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</si>
  <si>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</si>
  <si>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</si>
  <si>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</si>
  <si>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</si>
  <si>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</si>
  <si>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</si>
  <si>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</si>
  <si>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</si>
  <si>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</si>
  <si>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</si>
  <si>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</si>
  <si>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</si>
  <si>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</si>
  <si>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</si>
  <si>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</si>
  <si>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</si>
  <si>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</si>
  <si>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</si>
  <si>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</si>
  <si>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</si>
  <si>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</si>
  <si>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</si>
  <si>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</si>
  <si>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</si>
  <si>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</si>
  <si>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</si>
  <si>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</si>
  <si>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</si>
  <si>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</si>
  <si>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</si>
  <si>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</si>
  <si>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</si>
  <si>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</si>
  <si>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</si>
  <si>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</si>
  <si>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</si>
  <si>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</si>
  <si>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</si>
  <si>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</si>
  <si>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</si>
  <si>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</si>
  <si>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</si>
  <si>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</si>
  <si>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</si>
  <si>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</si>
  <si>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</si>
  <si>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</si>
  <si>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</si>
  <si>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</si>
  <si>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</si>
  <si>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</si>
  <si>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</si>
  <si>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</si>
  <si>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</si>
  <si>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</si>
  <si>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</si>
  <si>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</si>
  <si>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</si>
  <si>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</si>
  <si>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</si>
  <si>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</si>
  <si>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</si>
  <si>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</si>
  <si>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</si>
  <si>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</si>
  <si>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</si>
  <si>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</si>
  <si>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</si>
  <si>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</si>
  <si>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</si>
  <si>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</si>
  <si>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</si>
  <si>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</si>
  <si>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</si>
  <si>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</si>
  <si>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</si>
  <si>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</si>
  <si>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</si>
  <si>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</si>
  <si>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</si>
  <si>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</si>
  <si>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</si>
  <si>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</si>
  <si>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</si>
  <si>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</si>
  <si>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</si>
  <si>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</si>
  <si>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</si>
  <si>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</si>
  <si>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</si>
  <si>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</si>
  <si>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</si>
  <si>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</si>
  <si>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</si>
  <si>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</si>
  <si>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</si>
  <si>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</si>
  <si>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</si>
  <si>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</si>
  <si>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</si>
  <si>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</si>
  <si>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</si>
  <si>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</si>
  <si>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</si>
  <si>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</si>
  <si>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</si>
  <si>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</si>
  <si>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</si>
  <si>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</si>
  <si>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</si>
  <si>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</si>
  <si>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</si>
  <si>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</si>
  <si>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</si>
  <si>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</si>
  <si>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</si>
  <si>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</si>
  <si>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</si>
  <si>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</si>
  <si>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</si>
  <si>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</si>
  <si>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</si>
  <si>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</si>
  <si>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</si>
  <si>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</si>
  <si>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</si>
  <si>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</si>
  <si>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</si>
  <si>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</si>
  <si>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</si>
  <si>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</si>
  <si>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</si>
  <si>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</si>
  <si>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</si>
  <si>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</si>
  <si>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</si>
  <si>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</si>
  <si>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</si>
  <si>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</si>
  <si>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</si>
  <si>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</si>
  <si>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</si>
  <si>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</si>
  <si>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</si>
  <si>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</si>
  <si>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</si>
  <si>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</si>
  <si>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</si>
  <si>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</si>
  <si>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</si>
  <si>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</si>
  <si>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</si>
  <si>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</si>
  <si>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</si>
  <si>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</si>
  <si>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</si>
  <si>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</si>
  <si>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</si>
  <si>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</si>
  <si>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</si>
  <si>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</si>
  <si>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</si>
  <si>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</si>
  <si>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</si>
  <si>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</si>
  <si>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</si>
  <si>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</si>
  <si>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</si>
  <si>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</si>
  <si>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</si>
  <si>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</si>
  <si>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</si>
  <si>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</si>
  <si>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</si>
  <si>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</si>
  <si>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</si>
  <si>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</si>
  <si>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</si>
  <si>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</si>
  <si>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</si>
  <si>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</si>
  <si>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</si>
  <si>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</si>
  <si>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</si>
  <si>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</si>
  <si>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</si>
  <si>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</si>
  <si>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</si>
  <si>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</si>
  <si>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</si>
  <si>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</si>
  <si>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</si>
  <si>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</si>
  <si>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</si>
  <si>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</si>
  <si>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</si>
  <si>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</si>
  <si>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</si>
  <si>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</si>
  <si>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</si>
  <si>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</si>
  <si>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</si>
  <si>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</si>
  <si>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</si>
  <si>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</si>
  <si>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</si>
  <si>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</si>
  <si>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</si>
  <si>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</si>
  <si>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</si>
  <si>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</si>
  <si>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</si>
  <si>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</si>
  <si>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</si>
  <si>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</si>
  <si>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</si>
  <si>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</si>
  <si>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</si>
  <si>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</si>
  <si>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</si>
  <si>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</si>
  <si>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</si>
  <si>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</si>
  <si>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</si>
  <si>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</si>
  <si>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</si>
  <si>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</si>
  <si>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</si>
  <si>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</si>
  <si>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</si>
  <si>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</si>
  <si>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</si>
  <si>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</si>
  <si>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</si>
  <si>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</si>
  <si>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</si>
  <si>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</si>
  <si>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</si>
  <si>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</si>
  <si>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</si>
  <si>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</si>
  <si>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</si>
  <si>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</si>
  <si>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</si>
  <si>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</si>
  <si>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</si>
  <si>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</si>
  <si>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</si>
  <si>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</si>
  <si>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</si>
  <si>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</si>
  <si>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</si>
  <si>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</si>
  <si>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</si>
  <si>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</si>
  <si>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</si>
  <si>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</si>
  <si>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</si>
  <si>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</si>
  <si>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</si>
  <si>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</si>
  <si>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</si>
  <si>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</si>
  <si>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</si>
  <si>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</si>
  <si>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</si>
  <si>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</si>
  <si>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</si>
  <si>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</si>
  <si>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</si>
  <si>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</si>
  <si>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</si>
  <si>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</si>
  <si>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</si>
  <si>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</si>
  <si>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</si>
  <si>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</si>
  <si>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</si>
  <si>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</si>
  <si>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</si>
  <si>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</si>
  <si>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</si>
  <si>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</si>
  <si>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</si>
  <si>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</si>
  <si>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</si>
  <si>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</si>
  <si>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</si>
  <si>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</si>
  <si>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</si>
  <si>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</si>
  <si>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</si>
  <si>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</si>
  <si>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</si>
  <si>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</si>
  <si>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</si>
  <si>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</si>
  <si>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</si>
  <si>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</si>
  <si>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</si>
  <si>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</si>
  <si>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</si>
  <si>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</si>
  <si>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</si>
  <si>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</si>
  <si>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</si>
  <si>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</si>
  <si>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</si>
  <si>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</si>
  <si>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</si>
  <si>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</si>
  <si>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</si>
  <si>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</si>
  <si>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</si>
  <si>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</si>
  <si>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</si>
  <si>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</si>
  <si>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</si>
  <si>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</si>
  <si>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</si>
  <si>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</si>
  <si>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</si>
  <si>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</si>
  <si>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</si>
  <si>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</si>
  <si>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</si>
  <si>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</si>
  <si>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</si>
  <si>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</si>
  <si>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</si>
  <si>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</si>
  <si>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</si>
  <si>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</si>
  <si>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</si>
  <si>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</si>
  <si>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</si>
  <si>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</si>
  <si>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</si>
  <si>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</si>
  <si>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</si>
  <si>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</si>
  <si>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</si>
  <si>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</si>
  <si>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</si>
  <si>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</si>
  <si>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</si>
  <si>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</si>
  <si>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</si>
  <si>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</si>
  <si>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</si>
  <si>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</si>
  <si>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</si>
  <si>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</si>
  <si>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</si>
  <si>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</si>
  <si>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</si>
  <si>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</si>
  <si>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</si>
  <si>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</si>
  <si>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</si>
  <si>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</si>
  <si>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</si>
  <si>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</si>
  <si>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</si>
  <si>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</si>
  <si>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</si>
  <si>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</si>
  <si>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</si>
  <si>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</si>
  <si>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</si>
  <si>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</si>
  <si>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</si>
  <si>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</si>
  <si>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</si>
  <si>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</si>
  <si>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</si>
  <si>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</si>
  <si>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</si>
  <si>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</si>
  <si>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</si>
  <si>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</si>
  <si>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</si>
  <si>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</si>
  <si>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</si>
  <si>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</si>
  <si>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</si>
  <si>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</si>
  <si>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</si>
  <si>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</si>
  <si>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</si>
  <si>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</si>
  <si>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</si>
  <si>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</si>
  <si>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</si>
  <si>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</si>
  <si>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</si>
  <si>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</si>
  <si>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</si>
  <si>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</si>
  <si>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</si>
  <si>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</si>
  <si>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</si>
  <si>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</si>
  <si>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</si>
  <si>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</si>
  <si>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</si>
  <si>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</si>
  <si>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</si>
  <si>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</si>
  <si>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</si>
  <si>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</si>
  <si>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</si>
  <si>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</si>
  <si>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</si>
  <si>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</si>
  <si>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</si>
  <si>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</si>
  <si>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</si>
  <si>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</si>
  <si>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</si>
  <si>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</si>
  <si>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</si>
  <si>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</si>
  <si>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</si>
  <si>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</si>
  <si>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</si>
  <si>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</si>
  <si>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</si>
  <si>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</si>
  <si>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</si>
  <si>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</si>
  <si>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</si>
  <si>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</si>
  <si>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</si>
  <si>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</si>
  <si>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</si>
  <si>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</si>
  <si>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</si>
  <si>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</si>
  <si>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</si>
  <si>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</si>
  <si>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</si>
  <si>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</si>
  <si>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</si>
  <si>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</si>
  <si>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</si>
  <si>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</si>
  <si>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</si>
  <si>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</si>
  <si>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</si>
  <si>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</si>
  <si>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</si>
  <si>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</si>
  <si>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</si>
  <si>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</si>
  <si>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</si>
  <si>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</si>
  <si>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</si>
  <si>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</si>
  <si>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</si>
  <si>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</si>
  <si>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</si>
  <si>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</si>
  <si>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</si>
  <si>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</si>
  <si>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</si>
  <si>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</si>
  <si>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</si>
  <si>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</si>
  <si>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</si>
  <si>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</si>
  <si>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</si>
  <si>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</si>
  <si>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</si>
  <si>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</si>
  <si>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</si>
  <si>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</si>
  <si>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</si>
  <si>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</si>
  <si>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</si>
  <si>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</si>
  <si>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</si>
  <si>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</si>
  <si>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</si>
  <si>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</si>
  <si>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</si>
  <si>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</si>
  <si>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</si>
  <si>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</si>
  <si>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</si>
  <si>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</si>
  <si>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</si>
  <si>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</si>
  <si>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</si>
  <si>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</si>
  <si>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</si>
  <si>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</si>
  <si>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</si>
  <si>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</si>
  <si>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</si>
  <si>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</si>
  <si>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</si>
  <si>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</si>
  <si>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</si>
  <si>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</si>
  <si>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</si>
  <si>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</si>
  <si>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</si>
  <si>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</si>
  <si>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</si>
  <si>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</si>
  <si>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</si>
  <si>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</si>
  <si>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</si>
  <si>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</si>
  <si>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</si>
  <si>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</si>
  <si>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</si>
  <si>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</si>
  <si>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</si>
  <si>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</si>
  <si>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</si>
  <si>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</si>
  <si>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</si>
  <si>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</si>
  <si>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</si>
  <si>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</si>
  <si>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</si>
  <si>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</si>
  <si>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</si>
  <si>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</si>
  <si>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</si>
  <si>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</si>
  <si>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</si>
  <si>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</si>
  <si>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</si>
  <si>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</si>
  <si>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</si>
  <si>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</si>
  <si>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</si>
  <si>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</si>
  <si>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</si>
  <si>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</si>
  <si>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</si>
  <si>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</si>
  <si>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</si>
  <si>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</si>
  <si>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</si>
  <si>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</si>
  <si>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</si>
  <si>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</si>
  <si>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</si>
  <si>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</si>
  <si>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</si>
  <si>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</si>
  <si>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</si>
  <si>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</si>
  <si>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</si>
  <si>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</si>
  <si>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</si>
  <si>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</si>
  <si>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</si>
  <si>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</si>
  <si>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</si>
  <si>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</si>
  <si>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</si>
  <si>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</si>
  <si>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</si>
  <si>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</si>
  <si>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</si>
  <si>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</si>
  <si>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</si>
  <si>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</si>
  <si>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</si>
  <si>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</si>
  <si>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</si>
  <si>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</si>
  <si>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</si>
  <si>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</si>
  <si>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</si>
  <si>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</si>
  <si>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</si>
  <si>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</si>
  <si>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</si>
  <si>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</si>
  <si>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</si>
  <si>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</si>
  <si>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</si>
  <si>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</si>
  <si>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</si>
  <si>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</si>
  <si>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</si>
  <si>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</si>
  <si>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</si>
  <si>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</si>
  <si>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</si>
  <si>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</si>
  <si>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</si>
  <si>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</si>
  <si>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</si>
  <si>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</si>
  <si>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</si>
  <si>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</si>
  <si>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</si>
  <si>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</si>
  <si>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</si>
  <si>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</si>
  <si>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</si>
  <si>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</si>
  <si>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</si>
  <si>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</si>
  <si>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</si>
  <si>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</si>
  <si>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</si>
  <si>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</si>
  <si>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</si>
  <si>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</si>
  <si>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</si>
  <si>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</si>
  <si>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</si>
  <si>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</si>
  <si>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</si>
  <si>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</si>
  <si>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</si>
  <si>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</si>
  <si>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</si>
  <si>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</si>
  <si>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</si>
  <si>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</si>
  <si>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</si>
  <si>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</si>
  <si>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</si>
  <si>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</si>
  <si>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</si>
  <si>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</si>
  <si>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</si>
  <si>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</si>
  <si>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</si>
  <si>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</si>
  <si>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</si>
  <si>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</si>
  <si>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</si>
  <si>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</si>
  <si>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</si>
  <si>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</si>
  <si>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</si>
  <si>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</si>
  <si>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</si>
  <si>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</si>
  <si>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</si>
  <si>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</si>
  <si>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</si>
  <si>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</si>
  <si>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</si>
  <si>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</si>
  <si>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</si>
  <si>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</si>
  <si>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</si>
  <si>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</si>
  <si>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</si>
  <si>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</si>
  <si>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</si>
  <si>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</si>
  <si>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</si>
  <si>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</si>
  <si>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</si>
  <si>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</si>
  <si>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</si>
  <si>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</si>
  <si>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</si>
  <si>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</si>
  <si>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</si>
  <si>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</si>
  <si>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</si>
  <si>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</si>
  <si>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</si>
  <si>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</si>
  <si>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</si>
  <si>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</si>
  <si>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</si>
  <si>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</si>
  <si>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</si>
  <si>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</si>
  <si>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</si>
  <si>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</si>
  <si>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</si>
  <si>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</si>
  <si>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</si>
  <si>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</si>
  <si>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</si>
  <si>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</si>
  <si>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</si>
  <si>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</si>
  <si>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</si>
  <si>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</si>
  <si>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</si>
  <si>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</si>
  <si>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</si>
  <si>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</si>
  <si>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</si>
  <si>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</si>
  <si>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</si>
  <si>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</si>
  <si>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</si>
  <si>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</si>
  <si>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</si>
  <si>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</si>
  <si>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</si>
  <si>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</si>
  <si>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</si>
  <si>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</si>
  <si>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</si>
  <si>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</si>
  <si>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</si>
  <si>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</si>
  <si>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</si>
  <si>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</si>
  <si>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</si>
  <si>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</si>
  <si>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</si>
  <si>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</si>
  <si>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</si>
  <si>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</si>
  <si>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</si>
  <si>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</si>
  <si>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</si>
  <si>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</si>
  <si>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</si>
  <si>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</si>
  <si>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</si>
  <si>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</si>
  <si>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</si>
  <si>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</si>
  <si>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</si>
  <si>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</si>
  <si>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</si>
  <si>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</si>
  <si>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</si>
  <si>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</si>
  <si>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</si>
  <si>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</si>
  <si>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</si>
  <si>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</si>
  <si>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</si>
  <si>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</si>
  <si>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</si>
  <si>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</si>
  <si>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</si>
  <si>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</si>
  <si>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</si>
  <si>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</si>
  <si>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</si>
  <si>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</si>
  <si>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</si>
  <si>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</si>
  <si>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</si>
  <si>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</si>
  <si>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</si>
  <si>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</si>
  <si>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</si>
  <si>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</si>
  <si>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</si>
  <si>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</si>
  <si>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</si>
  <si>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</si>
  <si>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</si>
  <si>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</si>
  <si>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</si>
  <si>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</si>
  <si>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</si>
  <si>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</si>
  <si>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</si>
  <si>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</si>
  <si>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</si>
  <si>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</si>
  <si>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</si>
  <si>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</si>
  <si>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</si>
  <si>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</si>
  <si>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</si>
  <si>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</si>
  <si>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</si>
  <si>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</si>
  <si>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</si>
  <si>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</si>
  <si>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</si>
  <si>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</si>
  <si>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</si>
  <si>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</si>
  <si>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</si>
  <si>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</si>
  <si>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</si>
  <si>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</si>
  <si>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</si>
  <si>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</si>
  <si>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</si>
  <si>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</si>
  <si>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</si>
  <si>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</si>
  <si>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</si>
  <si>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</si>
  <si>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</si>
  <si>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</si>
  <si>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</si>
  <si>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</si>
  <si>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</si>
  <si>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</si>
  <si>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</si>
  <si>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</si>
  <si>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</si>
  <si>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</si>
  <si>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</si>
  <si>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</si>
  <si>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</si>
  <si>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</si>
  <si>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</si>
  <si>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</si>
  <si>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</si>
  <si>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</si>
  <si>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</si>
  <si>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</si>
  <si>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</si>
  <si>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</si>
  <si>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</si>
  <si>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</si>
  <si>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</si>
  <si>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</si>
  <si>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</si>
  <si>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</si>
  <si>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</si>
  <si>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</si>
  <si>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</si>
  <si>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</si>
  <si>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</si>
  <si>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</si>
  <si>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</si>
  <si>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</si>
  <si>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</si>
  <si>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</si>
  <si>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</si>
  <si>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</si>
  <si>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</si>
  <si>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</si>
  <si>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</si>
  <si>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</si>
  <si>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</si>
  <si>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</si>
  <si>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</si>
  <si>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</si>
  <si>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</si>
  <si>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</si>
  <si>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</si>
  <si>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</si>
  <si>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</si>
  <si>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</si>
  <si>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</si>
  <si>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</si>
  <si>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</si>
  <si>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</si>
  <si>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</si>
  <si>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</si>
  <si>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</si>
  <si>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</si>
  <si>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</si>
  <si>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</si>
  <si>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</si>
  <si>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</si>
  <si>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</si>
  <si>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</si>
  <si>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</si>
  <si>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</si>
  <si>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</si>
  <si>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</si>
  <si>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</si>
  <si>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</si>
  <si>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</si>
  <si>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</si>
  <si>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</si>
  <si>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</si>
  <si>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</si>
  <si>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</si>
  <si>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</si>
  <si>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</si>
  <si>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</si>
  <si>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</si>
  <si>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</si>
  <si>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</si>
  <si>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</si>
  <si>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</si>
  <si>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</si>
  <si>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</si>
  <si>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</si>
  <si>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</si>
  <si>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</si>
  <si>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</si>
  <si>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</si>
  <si>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</si>
  <si>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</si>
  <si>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</si>
  <si>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</si>
  <si>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</si>
  <si>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</si>
  <si>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</si>
  <si>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</si>
  <si>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</si>
  <si>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</si>
  <si>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</si>
  <si>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</si>
  <si>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</si>
  <si>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</si>
  <si>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</si>
  <si>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</si>
  <si>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</si>
  <si>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</si>
  <si>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</si>
  <si>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</si>
  <si>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</si>
  <si>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</si>
  <si>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</si>
  <si>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</si>
  <si>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</si>
  <si>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</si>
  <si>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</si>
  <si>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</si>
  <si>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</si>
  <si>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</si>
  <si>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</si>
  <si>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</si>
  <si>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</si>
  <si>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</si>
  <si>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</si>
  <si>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</si>
  <si>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</si>
  <si>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</si>
  <si>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</si>
  <si>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</si>
  <si>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</si>
  <si>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</si>
  <si>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</si>
  <si>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</si>
  <si>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</si>
  <si>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</si>
  <si>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</si>
  <si>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</si>
  <si>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</si>
  <si>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</si>
  <si>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</si>
  <si>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</si>
  <si>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</si>
  <si>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</si>
  <si>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</si>
  <si>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</si>
  <si>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</si>
  <si>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</si>
  <si>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</si>
  <si>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</si>
  <si>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</si>
  <si>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</si>
  <si>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</si>
  <si>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</si>
  <si>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</si>
  <si>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</si>
  <si>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</si>
  <si>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</si>
  <si>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</si>
  <si>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</si>
  <si>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</si>
  <si>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</si>
  <si>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</si>
  <si>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</si>
  <si>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</si>
  <si>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</si>
  <si>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</si>
  <si>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</si>
  <si>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</si>
  <si>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</si>
  <si>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</si>
  <si>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</si>
  <si>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</si>
  <si>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</si>
  <si>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</si>
  <si>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</si>
  <si>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</si>
  <si>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</si>
  <si>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</si>
  <si>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</si>
  <si>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</si>
  <si>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</si>
  <si>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</si>
  <si>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</si>
  <si>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</si>
  <si>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</si>
  <si>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</si>
  <si>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</si>
  <si>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</si>
  <si>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</si>
  <si>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</si>
  <si>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</si>
  <si>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</si>
  <si>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</si>
  <si>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</si>
  <si>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</si>
  <si>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</si>
  <si>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</si>
  <si>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</si>
  <si>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</si>
  <si>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</si>
  <si>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</si>
  <si>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</si>
  <si>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</si>
  <si>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</si>
  <si>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</si>
  <si>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</si>
  <si>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</si>
  <si>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</si>
  <si>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</si>
  <si>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</si>
  <si>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</si>
  <si>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</si>
  <si>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</si>
  <si>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</si>
  <si>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</si>
  <si>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</si>
  <si>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</si>
  <si>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</si>
  <si>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</si>
  <si>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</si>
  <si>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</si>
  <si>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</si>
  <si>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</si>
  <si>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</si>
  <si>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</si>
  <si>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</si>
  <si>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</si>
  <si>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</si>
  <si>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</si>
  <si>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</si>
  <si>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</si>
  <si>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</si>
  <si>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</si>
  <si>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</si>
  <si>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</si>
  <si>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</si>
  <si>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</si>
  <si>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</si>
  <si>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</si>
  <si>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</si>
  <si>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</si>
  <si>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</si>
  <si>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</si>
  <si>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</si>
  <si>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</si>
  <si>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</si>
  <si>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</si>
  <si>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</si>
  <si>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</si>
  <si>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</si>
  <si>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</si>
  <si>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</si>
  <si>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</si>
  <si>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</si>
  <si>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</si>
  <si>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</si>
  <si>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</si>
  <si>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</si>
  <si>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</si>
  <si>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</si>
  <si>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</si>
  <si>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</si>
  <si>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</si>
  <si>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</si>
  <si>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</si>
  <si>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</si>
  <si>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</si>
  <si>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</si>
  <si>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</si>
  <si>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</si>
  <si>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</si>
  <si>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</si>
  <si>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</si>
  <si>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</si>
  <si>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</si>
  <si>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</si>
  <si>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</si>
  <si>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</si>
  <si>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</si>
  <si>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</si>
  <si>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</si>
  <si>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</si>
  <si>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</si>
  <si>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</si>
  <si>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</si>
  <si>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</si>
  <si>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</si>
  <si>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</si>
  <si>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</si>
  <si>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</si>
  <si>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</si>
  <si>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</si>
  <si>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</si>
  <si>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</si>
  <si>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</si>
  <si>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</si>
  <si>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</si>
  <si>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</si>
  <si>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</si>
  <si>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</si>
  <si>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</si>
  <si>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</si>
  <si>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</si>
  <si>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</si>
  <si>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</si>
  <si>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</si>
  <si>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</si>
  <si>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</si>
  <si>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</si>
  <si>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</si>
  <si>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</si>
  <si>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</si>
  <si>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</si>
  <si>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</si>
  <si>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</si>
  <si>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</si>
  <si>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</si>
  <si>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</si>
  <si>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</si>
  <si>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</si>
  <si>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</si>
  <si>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</si>
  <si>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</si>
  <si>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</si>
  <si>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</si>
  <si>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</si>
  <si>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</si>
  <si>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</si>
  <si>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</si>
  <si>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</si>
  <si>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</si>
  <si>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</si>
  <si>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</si>
  <si>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</si>
  <si>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</si>
  <si>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</si>
  <si>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</si>
  <si>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</si>
  <si>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</si>
  <si>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</si>
  <si>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</si>
  <si>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</si>
  <si>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</si>
  <si>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</si>
  <si>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</si>
  <si>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</si>
  <si>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</si>
  <si>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</si>
  <si>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</si>
  <si>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</si>
  <si>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</si>
  <si>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</si>
  <si>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</si>
  <si>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</si>
  <si>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</si>
  <si>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</si>
  <si>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</si>
  <si>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</si>
  <si>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</si>
  <si>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</si>
  <si>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</si>
  <si>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</si>
  <si>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</si>
  <si>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</si>
  <si>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</si>
  <si>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</si>
  <si>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</si>
  <si>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</si>
  <si>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</si>
  <si>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</si>
  <si>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</si>
  <si>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</si>
  <si>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</si>
  <si>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</si>
  <si>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</si>
  <si>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</si>
  <si>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</si>
  <si>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</si>
  <si>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</si>
  <si>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</si>
  <si>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</si>
  <si>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</si>
  <si>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</si>
  <si>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</si>
  <si>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</si>
  <si>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</si>
  <si>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</si>
  <si>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</si>
  <si>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</si>
  <si>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</si>
  <si>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</si>
  <si>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</si>
  <si>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</si>
  <si>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</si>
  <si>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</si>
  <si>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</si>
  <si>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</si>
  <si>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</si>
  <si>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</si>
  <si>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</si>
  <si>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</si>
  <si>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</si>
  <si>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</si>
  <si>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</si>
  <si>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</si>
  <si>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</si>
  <si>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</si>
  <si>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</si>
  <si>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</si>
  <si>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</si>
  <si>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</si>
  <si>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</si>
  <si>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</si>
  <si>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</si>
  <si>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</si>
  <si>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</si>
  <si>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</si>
  <si>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</si>
  <si>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</si>
  <si>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</si>
  <si>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</si>
  <si>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</si>
  <si>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</si>
  <si>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</si>
  <si>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</si>
  <si>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</si>
  <si>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</si>
  <si>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</si>
  <si>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</si>
  <si>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</si>
  <si>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</si>
  <si>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</si>
  <si>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</si>
  <si>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</si>
  <si>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</si>
  <si>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</si>
  <si>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</si>
  <si>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</si>
  <si>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</si>
  <si>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</si>
  <si>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</si>
  <si>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</si>
  <si>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</si>
  <si>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</si>
  <si>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</si>
  <si>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</si>
  <si>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</si>
  <si>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</si>
  <si>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</si>
  <si>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</si>
  <si>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</si>
  <si>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</si>
  <si>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</si>
  <si>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</si>
  <si>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</si>
  <si>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</si>
  <si>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</si>
  <si>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</si>
  <si>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</si>
  <si>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</si>
  <si>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</si>
  <si>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</si>
  <si>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</si>
  <si>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</si>
  <si>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</si>
  <si>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</si>
  <si>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</si>
  <si>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</si>
  <si>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</si>
  <si>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</si>
  <si>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</si>
  <si>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</si>
  <si>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</si>
  <si>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</si>
  <si>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</si>
  <si>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</si>
  <si>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</si>
  <si>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</si>
  <si>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</si>
  <si>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</si>
  <si>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</si>
  <si>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</si>
  <si>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</si>
  <si>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</si>
  <si>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</si>
  <si>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</si>
  <si>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</si>
  <si>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</si>
  <si>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</si>
  <si>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</si>
  <si>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</si>
  <si>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</si>
  <si>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</si>
  <si>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</si>
  <si>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</si>
  <si>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</si>
  <si>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</si>
  <si>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</si>
  <si>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</si>
  <si>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</si>
  <si>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</si>
  <si>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</si>
  <si>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</si>
  <si>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</si>
  <si>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</si>
  <si>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</si>
  <si>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</si>
  <si>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</si>
  <si>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</si>
  <si>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</si>
  <si>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</si>
  <si>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</si>
  <si>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</si>
  <si>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</si>
  <si>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</si>
  <si>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</si>
  <si>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</si>
  <si>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</si>
  <si>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</si>
  <si>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</si>
  <si>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</si>
  <si>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</si>
  <si>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</si>
  <si>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</si>
  <si>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</si>
  <si>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</si>
  <si>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</si>
  <si>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</si>
  <si>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</si>
  <si>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</si>
  <si>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</si>
  <si>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</si>
  <si>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</si>
  <si>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</si>
  <si>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</si>
  <si>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</si>
  <si>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</si>
  <si>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</si>
  <si>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</si>
  <si>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</si>
  <si>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</si>
  <si>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</si>
  <si>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</si>
  <si>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</si>
  <si>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</si>
  <si>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</si>
  <si>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</si>
  <si>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</si>
  <si>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</si>
  <si>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</si>
  <si>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</si>
  <si>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</si>
  <si>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</si>
  <si>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</si>
  <si>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</si>
  <si>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</si>
  <si>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</si>
  <si>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</si>
  <si>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</si>
  <si>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</si>
  <si>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</si>
  <si>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</si>
  <si>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</si>
  <si>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</si>
  <si>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</si>
  <si>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</si>
  <si>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</si>
  <si>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</si>
  <si>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</si>
  <si>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</si>
  <si>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</si>
  <si>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</si>
  <si>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</si>
  <si>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</si>
  <si>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</si>
  <si>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</si>
  <si>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</si>
  <si>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</si>
  <si>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</si>
  <si>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</si>
  <si>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</si>
  <si>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</si>
  <si>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</si>
  <si>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</si>
  <si>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</si>
  <si>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</si>
  <si>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</si>
  <si>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</si>
  <si>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</si>
  <si>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</si>
  <si>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</si>
  <si>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</si>
  <si>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</si>
  <si>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</si>
  <si>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</si>
  <si>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</si>
  <si>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</si>
  <si>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</si>
  <si>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</si>
  <si>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</si>
  <si>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</si>
  <si>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</si>
  <si>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</si>
  <si>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</si>
  <si>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</si>
  <si>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</si>
  <si>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</si>
  <si>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</si>
  <si>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</si>
  <si>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</si>
  <si>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</si>
  <si>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</si>
  <si>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</si>
  <si>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</si>
  <si>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</si>
  <si>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</si>
  <si>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</si>
  <si>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</si>
  <si>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</si>
  <si>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</si>
  <si>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</si>
  <si>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</si>
  <si>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</si>
  <si>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</si>
  <si>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</si>
  <si>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</si>
  <si>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</si>
  <si>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</si>
  <si>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</si>
  <si>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</si>
  <si>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</si>
  <si>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</si>
  <si>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</si>
  <si>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</si>
  <si>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</si>
  <si>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</si>
  <si>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</si>
  <si>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</si>
  <si>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</si>
  <si>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</si>
  <si>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</si>
  <si>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</si>
  <si>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</si>
  <si>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</si>
  <si>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自行车库</t>
    <phoneticPr fontId="140" type="noConversion"/>
  </si>
  <si>
    <t>车库</t>
    <phoneticPr fontId="140" type="noConversion"/>
  </si>
  <si>
    <t>商业</t>
    <phoneticPr fontId="140" type="noConversion"/>
  </si>
  <si>
    <t>办公</t>
    <phoneticPr fontId="140" type="noConversion"/>
  </si>
  <si>
    <t>地下车库</t>
    <phoneticPr fontId="140" type="noConversion"/>
  </si>
  <si>
    <t>设备</t>
    <phoneticPr fontId="140" type="noConversion"/>
  </si>
  <si>
    <t>1层商业</t>
    <phoneticPr fontId="140" type="noConversion"/>
  </si>
  <si>
    <t>2层商业</t>
    <phoneticPr fontId="140" type="noConversion"/>
  </si>
  <si>
    <t>3层商业</t>
    <phoneticPr fontId="140" type="noConversion"/>
  </si>
  <si>
    <t>地上</t>
  </si>
  <si>
    <t>地下</t>
  </si>
  <si>
    <t>车库—办公</t>
  </si>
  <si>
    <t>大厦</t>
  </si>
  <si>
    <t>大厦</t>
    <phoneticPr fontId="7" type="noConversion"/>
  </si>
  <si>
    <t>成新度</t>
  </si>
  <si>
    <t>收益法</t>
  </si>
  <si>
    <t>按租金收入计税</t>
  </si>
  <si>
    <t>钢混</t>
  </si>
  <si>
    <t>非生产用房</t>
  </si>
  <si>
    <t>利息：取LPR加浮动点数</t>
  </si>
  <si>
    <t>未包含在土地购买价格中</t>
  </si>
  <si>
    <t>全部缴纳</t>
  </si>
  <si>
    <t>已包含在土地取得成本中</t>
  </si>
  <si>
    <t>成本法</t>
  </si>
  <si>
    <t>办公</t>
    <phoneticPr fontId="140" type="noConversion"/>
  </si>
  <si>
    <t>地下车库</t>
    <phoneticPr fontId="140" type="noConversion"/>
  </si>
  <si>
    <t>面积</t>
    <phoneticPr fontId="140" type="noConversion"/>
  </si>
  <si>
    <t>租金</t>
    <phoneticPr fontId="140" type="noConversion"/>
  </si>
  <si>
    <t>年总价</t>
    <phoneticPr fontId="140" type="noConversion"/>
  </si>
  <si>
    <t>物业直租，贝壳网一级代理，说最低能谈到8块</t>
    <phoneticPr fontId="140" type="noConversion"/>
  </si>
  <si>
    <t>800/月</t>
    <phoneticPr fontId="140" type="noConversion"/>
  </si>
  <si>
    <t>系数</t>
    <phoneticPr fontId="140" type="noConversion"/>
  </si>
  <si>
    <t>参考周边综合，最近的</t>
    <phoneticPr fontId="140" type="noConversion"/>
  </si>
  <si>
    <t>设定车库面积</t>
    <phoneticPr fontId="140" type="noConversion"/>
  </si>
  <si>
    <t>案例</t>
    <phoneticPr fontId="140" type="noConversion"/>
  </si>
  <si>
    <t>1层</t>
    <phoneticPr fontId="140" type="noConversion"/>
  </si>
  <si>
    <t>2层</t>
    <phoneticPr fontId="140" type="noConversion"/>
  </si>
  <si>
    <t>总</t>
    <phoneticPr fontId="140" type="noConversion"/>
  </si>
  <si>
    <t>面积</t>
    <phoneticPr fontId="140" type="noConversion"/>
  </si>
  <si>
    <t>面积占比</t>
    <phoneticPr fontId="140" type="noConversion"/>
  </si>
  <si>
    <t>楼层系数</t>
    <phoneticPr fontId="140" type="noConversion"/>
  </si>
  <si>
    <t>1层租金</t>
    <phoneticPr fontId="140" type="noConversion"/>
  </si>
  <si>
    <t>一层是出租，然后除了大堂供应部分，剩下是出租状态。二三层。我们现在做的是酒店，就是自己持有的酒店。
2021年租赁情况：
租赁面积：22107平方米
租金：5617万元</t>
    <phoneticPr fontId="140" type="noConversion"/>
  </si>
  <si>
    <t>综合租金</t>
    <phoneticPr fontId="140" type="noConversion"/>
  </si>
  <si>
    <t>总价</t>
  </si>
  <si>
    <t>成本比率</t>
  </si>
  <si>
    <t>地下设备</t>
    <phoneticPr fontId="140" type="noConversion"/>
  </si>
  <si>
    <t>地上设备</t>
    <phoneticPr fontId="140" type="noConversion"/>
  </si>
  <si>
    <t>地上面积</t>
    <phoneticPr fontId="140" type="noConversion"/>
  </si>
  <si>
    <t>单价</t>
    <phoneticPr fontId="140" type="noConversion"/>
  </si>
  <si>
    <t>兆泰国际中心</t>
    <phoneticPr fontId="140" type="noConversion"/>
  </si>
  <si>
    <t>光熙门独栋</t>
    <phoneticPr fontId="140" type="noConversion"/>
  </si>
  <si>
    <t>万科时代中心</t>
    <phoneticPr fontId="140"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</si>
  <si>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</si>
  <si>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</si>
  <si>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</si>
  <si>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</si>
  <si>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</si>
  <si>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</si>
  <si>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</si>
  <si>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</si>
  <si>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</si>
  <si>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</si>
  <si>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</si>
  <si>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phoneticPr fontId="140" type="noConversion"/>
  </si>
  <si>
    <t>地下面积占比</t>
    <phoneticPr fontId="140" type="noConversion"/>
  </si>
  <si>
    <t>总建筑面积</t>
    <phoneticPr fontId="140" type="noConversion"/>
  </si>
  <si>
    <t>楼面单价</t>
    <phoneticPr fontId="140"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</si>
  <si>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</si>
  <si>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</si>
  <si>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</si>
  <si>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</si>
  <si>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</si>
  <si>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</si>
  <si>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</si>
  <si>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</si>
  <si>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</si>
  <si>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</si>
  <si>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</si>
  <si>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</si>
  <si>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</si>
  <si>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</si>
  <si>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</si>
  <si>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</si>
  <si>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</si>
  <si>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</si>
  <si>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</si>
  <si>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</si>
  <si>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</si>
  <si>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</si>
  <si>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</si>
  <si>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</si>
  <si>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</si>
  <si>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</si>
  <si>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</si>
  <si>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</si>
  <si>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</si>
  <si>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</si>
  <si>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</si>
  <si>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</si>
  <si>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0" type="noConversion"/>
  </si>
  <si>
    <t>华熙集团</t>
  </si>
  <si>
    <t>旭辉集团</t>
    <phoneticPr fontId="140" type="noConversion"/>
  </si>
  <si>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</si>
  <si>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</si>
  <si>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</si>
  <si>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</si>
  <si>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</si>
  <si>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</si>
  <si>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</si>
  <si>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</si>
  <si>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</si>
  <si>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</si>
  <si>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</si>
  <si>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</si>
  <si>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</si>
  <si>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</si>
  <si>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</si>
  <si>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</si>
  <si>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</si>
  <si>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</si>
  <si>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</si>
  <si>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</si>
  <si>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</si>
  <si>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</si>
  <si>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</si>
  <si>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</si>
  <si>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</si>
  <si>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0"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</si>
  <si>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</si>
  <si>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</si>
  <si>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</si>
  <si>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</si>
  <si>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</si>
  <si>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</si>
  <si>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</si>
  <si>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</si>
  <si>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</si>
  <si>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</si>
  <si>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</si>
  <si>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</si>
  <si>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</si>
  <si>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</si>
  <si>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</si>
  <si>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</si>
  <si>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</si>
  <si>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</si>
  <si>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</si>
  <si>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</si>
  <si>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</si>
  <si>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</si>
  <si>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</si>
  <si>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</si>
  <si>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</si>
  <si>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</si>
  <si>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</si>
  <si>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</si>
  <si>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</si>
  <si>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</si>
  <si>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</si>
  <si>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</si>
  <si>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0"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</si>
  <si>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</si>
  <si>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</si>
  <si>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</si>
  <si>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</si>
  <si>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</si>
  <si>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</si>
  <si>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</si>
  <si>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</si>
  <si>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</si>
  <si>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</si>
  <si>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</si>
  <si>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</si>
  <si>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</si>
  <si>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</si>
  <si>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</si>
  <si>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</si>
  <si>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</si>
  <si>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</si>
  <si>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</si>
  <si>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</si>
  <si>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</si>
  <si>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0" type="noConversion"/>
  </si>
  <si>
    <t>售价</t>
  </si>
  <si>
    <t>正常</t>
    <phoneticPr fontId="32" type="noConversion"/>
  </si>
  <si>
    <t>正常</t>
    <phoneticPr fontId="32" type="noConversion"/>
  </si>
  <si>
    <t>办公</t>
    <phoneticPr fontId="32" type="noConversion"/>
  </si>
  <si>
    <t>办公</t>
    <phoneticPr fontId="32" type="noConversion"/>
  </si>
  <si>
    <t>商业</t>
    <phoneticPr fontId="32" type="noConversion"/>
  </si>
  <si>
    <t>30-40（含）</t>
  </si>
  <si>
    <t>20-30（含）</t>
  </si>
  <si>
    <t>较好</t>
    <phoneticPr fontId="32" type="noConversion"/>
  </si>
  <si>
    <t>一般</t>
    <phoneticPr fontId="32" type="noConversion"/>
  </si>
  <si>
    <t>较好</t>
    <phoneticPr fontId="32" type="noConversion"/>
  </si>
  <si>
    <t>七通</t>
    <phoneticPr fontId="32" type="noConversion"/>
  </si>
  <si>
    <t>七通</t>
    <phoneticPr fontId="32" type="noConversion"/>
  </si>
  <si>
    <t>七通</t>
    <phoneticPr fontId="32" type="noConversion"/>
  </si>
  <si>
    <t>地下面积占比</t>
    <phoneticPr fontId="32" type="noConversion"/>
  </si>
  <si>
    <t>利润表</t>
    <phoneticPr fontId="140" type="noConversion"/>
  </si>
  <si>
    <t>否</t>
  </si>
  <si>
    <t>押二</t>
  </si>
  <si>
    <t>现状</t>
    <phoneticPr fontId="32" type="noConversion"/>
  </si>
  <si>
    <t>正在利用</t>
    <phoneticPr fontId="32" type="noConversion"/>
  </si>
  <si>
    <t>正在利用</t>
    <phoneticPr fontId="32" type="noConversion"/>
  </si>
  <si>
    <t>装修改造</t>
    <phoneticPr fontId="32" type="noConversion"/>
  </si>
  <si>
    <t>正在利用</t>
    <phoneticPr fontId="32" type="noConversion"/>
  </si>
  <si>
    <t>小（0-20%）</t>
    <phoneticPr fontId="32" type="noConversion"/>
  </si>
  <si>
    <t>中（20%-30%）</t>
    <phoneticPr fontId="32" type="noConversion"/>
  </si>
  <si>
    <r>
      <rPr>
        <sz val="11"/>
        <rFont val="宋体"/>
        <family val="3"/>
        <charset val="134"/>
      </rPr>
      <t>办公</t>
    </r>
    <r>
      <rPr>
        <sz val="11"/>
        <rFont val="Arial"/>
        <family val="2"/>
      </rPr>
      <t>2054-8-30</t>
    </r>
    <r>
      <rPr>
        <sz val="11"/>
        <rFont val="宋体"/>
        <family val="3"/>
        <charset val="134"/>
      </rPr>
      <t>终止，总面积</t>
    </r>
    <r>
      <rPr>
        <sz val="11"/>
        <rFont val="Arial"/>
        <family val="2"/>
      </rPr>
      <t>63204</t>
    </r>
    <r>
      <rPr>
        <sz val="11"/>
        <rFont val="宋体"/>
        <family val="3"/>
        <charset val="134"/>
      </rPr>
      <t>㎡，地下</t>
    </r>
    <r>
      <rPr>
        <sz val="11"/>
        <rFont val="Arial"/>
        <family val="2"/>
      </rPr>
      <t>10366</t>
    </r>
    <r>
      <rPr>
        <sz val="11"/>
        <rFont val="宋体"/>
        <family val="3"/>
        <charset val="134"/>
      </rPr>
      <t>㎡，地下为地下仓储及地下车库，</t>
    </r>
    <r>
      <rPr>
        <sz val="11"/>
        <rFont val="Arial"/>
        <family val="2"/>
      </rPr>
      <t>2014</t>
    </r>
    <r>
      <rPr>
        <sz val="11"/>
        <rFont val="宋体"/>
        <family val="3"/>
        <charset val="134"/>
      </rPr>
      <t>年建成，后期改造</t>
    </r>
    <r>
      <rPr>
        <sz val="11"/>
        <rFont val="Arial"/>
        <family val="2"/>
      </rPr>
      <t>2021</t>
    </r>
    <r>
      <rPr>
        <sz val="11"/>
        <rFont val="宋体"/>
        <family val="3"/>
        <charset val="134"/>
      </rPr>
      <t>年竣工</t>
    </r>
    <phoneticPr fontId="32" type="noConversion"/>
  </si>
  <si>
    <r>
      <rPr>
        <sz val="11"/>
        <rFont val="宋体"/>
        <family val="3"/>
        <charset val="134"/>
      </rPr>
      <t>商业</t>
    </r>
    <r>
      <rPr>
        <sz val="11"/>
        <rFont val="Arial"/>
        <family val="2"/>
      </rPr>
      <t>2044</t>
    </r>
    <r>
      <rPr>
        <sz val="11"/>
        <rFont val="宋体"/>
        <family val="3"/>
        <charset val="134"/>
      </rPr>
      <t>年终止，总面积</t>
    </r>
    <r>
      <rPr>
        <sz val="11"/>
        <rFont val="Arial"/>
        <family val="2"/>
      </rPr>
      <t>32414</t>
    </r>
    <r>
      <rPr>
        <sz val="11"/>
        <rFont val="宋体"/>
        <family val="3"/>
        <charset val="134"/>
      </rPr>
      <t>平方米，地上建面</t>
    </r>
    <r>
      <rPr>
        <sz val="11"/>
        <rFont val="Arial"/>
        <family val="2"/>
      </rPr>
      <t>17629.08</t>
    </r>
    <r>
      <rPr>
        <sz val="11"/>
        <rFont val="宋体"/>
        <family val="3"/>
        <charset val="134"/>
      </rPr>
      <t>㎡，</t>
    </r>
    <r>
      <rPr>
        <sz val="11"/>
        <rFont val="Arial"/>
        <family val="2"/>
      </rPr>
      <t>24205</t>
    </r>
    <r>
      <rPr>
        <sz val="11"/>
        <rFont val="宋体"/>
        <family val="3"/>
        <charset val="134"/>
      </rPr>
      <t>为地上地下商业面积总和，建成年代</t>
    </r>
    <r>
      <rPr>
        <sz val="11"/>
        <rFont val="Arial"/>
        <family val="2"/>
      </rPr>
      <t>2013</t>
    </r>
    <r>
      <rPr>
        <sz val="11"/>
        <rFont val="宋体"/>
        <family val="3"/>
        <charset val="134"/>
      </rPr>
      <t>年，现在正在装修改造</t>
    </r>
    <phoneticPr fontId="32" type="noConversion"/>
  </si>
  <si>
    <r>
      <t>2008</t>
    </r>
    <r>
      <rPr>
        <sz val="11"/>
        <rFont val="宋体"/>
        <family val="3"/>
        <charset val="134"/>
      </rPr>
      <t>年竣工</t>
    </r>
    <phoneticPr fontId="32" type="noConversion"/>
  </si>
  <si>
    <t>加权平均</t>
  </si>
  <si>
    <t>较大（30%-40%）</t>
    <phoneticPr fontId="32" type="noConversion"/>
  </si>
  <si>
    <r>
      <rPr>
        <sz val="11"/>
        <color indexed="8"/>
        <rFont val="宋体"/>
        <family val="3"/>
        <charset val="134"/>
      </rPr>
      <t>大（</t>
    </r>
    <r>
      <rPr>
        <sz val="11"/>
        <color indexed="8"/>
        <rFont val="Arial"/>
        <family val="2"/>
      </rPr>
      <t>40%</t>
    </r>
    <r>
      <rPr>
        <sz val="11"/>
        <color indexed="8"/>
        <rFont val="宋体"/>
        <family val="3"/>
        <charset val="134"/>
      </rPr>
      <t>以上）</t>
    </r>
    <phoneticPr fontId="32" type="noConversion"/>
  </si>
  <si>
    <t>日期</t>
    <phoneticPr fontId="140" type="noConversion"/>
  </si>
  <si>
    <t>北京中国人寿金融中心</t>
    <phoneticPr fontId="140" type="noConversion"/>
  </si>
  <si>
    <t>项目</t>
    <phoneticPr fontId="140" type="noConversion"/>
  </si>
  <si>
    <t>比例</t>
    <phoneticPr fontId="140" type="noConversion"/>
  </si>
  <si>
    <t>地上面积</t>
    <phoneticPr fontId="140" type="noConversion"/>
  </si>
  <si>
    <t>地上单价</t>
    <phoneticPr fontId="140" type="noConversion"/>
  </si>
  <si>
    <t>项目面积</t>
    <phoneticPr fontId="140" type="noConversion"/>
  </si>
  <si>
    <t>4月</t>
    <phoneticPr fontId="140" type="noConversion"/>
  </si>
  <si>
    <t>颐堤港一期</t>
    <phoneticPr fontId="140" type="noConversion"/>
  </si>
  <si>
    <t>销售金额（万元）</t>
    <phoneticPr fontId="140" type="noConversion"/>
  </si>
  <si>
    <t>6月</t>
    <phoneticPr fontId="140" type="noConversion"/>
  </si>
  <si>
    <t>航华科贸中心</t>
    <phoneticPr fontId="140" type="noConversion"/>
  </si>
  <si>
    <t>介绍</t>
    <phoneticPr fontId="140" type="noConversion"/>
  </si>
  <si>
    <t>建面58200平方米</t>
    <phoneticPr fontId="140" type="noConversion"/>
  </si>
  <si>
    <t>北京船舶大厦</t>
    <phoneticPr fontId="140" type="noConversion"/>
  </si>
  <si>
    <t>建面21900平方米</t>
    <phoneticPr fontId="140" type="noConversion"/>
  </si>
  <si>
    <t>北京锐中心</t>
    <phoneticPr fontId="140" type="noConversion"/>
  </si>
  <si>
    <t>博瑞大厦</t>
    <phoneticPr fontId="140" type="noConversion"/>
  </si>
  <si>
    <t>地下占比</t>
    <phoneticPr fontId="140" type="noConversion"/>
  </si>
  <si>
    <t>2012年</t>
    <phoneticPr fontId="32" type="noConversion"/>
  </si>
  <si>
    <t>比较法-办公 (2)</t>
  </si>
  <si>
    <t>比较法-办公 (2)</t>
    <phoneticPr fontId="16" type="noConversion"/>
  </si>
  <si>
    <t>好</t>
  </si>
  <si>
    <t>较好</t>
  </si>
  <si>
    <t>拍卖</t>
  </si>
  <si>
    <t>拍卖</t>
    <phoneticPr fontId="140" type="noConversion"/>
  </si>
  <si>
    <t>正常，无改造</t>
    <phoneticPr fontId="32" type="noConversion"/>
  </si>
  <si>
    <t>正常，有改造</t>
    <phoneticPr fontId="32" type="noConversion"/>
  </si>
  <si>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phoneticPr fontId="140" type="noConversion"/>
  </si>
  <si>
    <t>股权</t>
  </si>
  <si>
    <t>股权</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</si>
</sst>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1F1F1"/>
        <bgColor indexed="64"/>
      </patternFill>
    </fill>
    <fill>
      <patternFill patternType="solid">
        <fgColor rgb="FF00B050"/>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lignment vertical="center"/>
    </xf>
    <xf numFmtId="0" fontId="111" fillId="0" borderId="1" xfId="0" applyFont="1" applyBorder="1">
      <alignment vertical="center"/>
    </xf>
    <xf numFmtId="177" fontId="79" fillId="0" borderId="1" xfId="1" applyNumberFormat="1" applyFont="1" applyFill="1" applyBorder="1" applyAlignment="1" applyProtection="1">
      <alignment vertical="center"/>
      <protection locked="0" hidden="1"/>
    </xf>
    <xf numFmtId="2" fontId="111" fillId="0" borderId="1" xfId="0" applyNumberFormat="1" applyFont="1" applyBorder="1">
      <alignment vertical="center"/>
    </xf>
    <xf numFmtId="0" fontId="111" fillId="8" borderId="1" xfId="0" applyFont="1" applyFill="1" applyBorder="1">
      <alignment vertical="center"/>
    </xf>
    <xf numFmtId="0" fontId="98" fillId="0" borderId="0" xfId="0" applyFont="1">
      <alignment vertical="center"/>
    </xf>
    <xf numFmtId="0" fontId="255" fillId="0" borderId="1" xfId="10" applyFont="1" applyBorder="1" applyAlignment="1">
      <alignment horizontal="center" vertical="center" wrapText="1"/>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98" fillId="0" borderId="0" xfId="10">
      <alignment vertical="center"/>
    </xf>
    <xf numFmtId="0" fontId="258" fillId="0" borderId="58" xfId="10" applyFont="1" applyFill="1" applyBorder="1" applyAlignment="1">
      <alignment horizontal="center" vertical="center" wrapText="1"/>
    </xf>
    <xf numFmtId="0" fontId="258" fillId="0" borderId="0" xfId="10" applyFont="1" applyFill="1" applyBorder="1" applyAlignment="1">
      <alignment horizontal="center" vertical="center" wrapText="1"/>
    </xf>
    <xf numFmtId="1" fontId="259" fillId="20" borderId="1" xfId="10" applyNumberFormat="1" applyFont="1" applyFill="1" applyBorder="1" applyAlignment="1">
      <alignment horizontal="center" vertical="center" shrinkToFit="1"/>
    </xf>
    <xf numFmtId="0" fontId="258" fillId="20" borderId="1" xfId="10" applyFont="1" applyFill="1" applyBorder="1" applyAlignment="1">
      <alignment horizontal="center" vertical="center" wrapText="1"/>
    </xf>
    <xf numFmtId="197" fontId="259" fillId="20" borderId="1" xfId="10" applyNumberFormat="1" applyFont="1" applyFill="1" applyBorder="1" applyAlignment="1">
      <alignment horizontal="center" vertical="center" shrinkToFit="1"/>
    </xf>
    <xf numFmtId="3" fontId="259" fillId="20" borderId="1" xfId="10" applyNumberFormat="1" applyFont="1" applyFill="1" applyBorder="1" applyAlignment="1">
      <alignment horizontal="center" vertical="center" shrinkToFit="1"/>
    </xf>
    <xf numFmtId="1" fontId="259" fillId="0" borderId="1" xfId="10" applyNumberFormat="1" applyFont="1" applyBorder="1" applyAlignment="1">
      <alignment horizontal="center" vertical="center" shrinkToFit="1"/>
    </xf>
    <xf numFmtId="0" fontId="258" fillId="0" borderId="1" xfId="10" applyFont="1" applyBorder="1" applyAlignment="1">
      <alignment horizontal="center" vertical="center" wrapText="1"/>
    </xf>
    <xf numFmtId="3" fontId="259" fillId="0" borderId="1" xfId="10" applyNumberFormat="1" applyFont="1" applyBorder="1" applyAlignment="1">
      <alignment horizontal="center" vertical="center" shrinkToFit="1"/>
    </xf>
    <xf numFmtId="2" fontId="259" fillId="20" borderId="1" xfId="10" applyNumberFormat="1" applyFont="1" applyFill="1" applyBorder="1" applyAlignment="1">
      <alignment horizontal="center" vertical="center" shrinkToFit="1"/>
    </xf>
    <xf numFmtId="3" fontId="260" fillId="20" borderId="1" xfId="10" applyNumberFormat="1" applyFont="1" applyFill="1" applyBorder="1" applyAlignment="1">
      <alignment horizontal="center" vertical="center" shrinkToFit="1"/>
    </xf>
    <xf numFmtId="1" fontId="259" fillId="0" borderId="1" xfId="10" applyNumberFormat="1" applyFont="1" applyFill="1" applyBorder="1" applyAlignment="1">
      <alignment horizontal="center" vertical="center" shrinkToFit="1"/>
    </xf>
    <xf numFmtId="0" fontId="258" fillId="0" borderId="1" xfId="10" applyFont="1" applyFill="1" applyBorder="1" applyAlignment="1">
      <alignment horizontal="center" vertical="center" wrapText="1"/>
    </xf>
    <xf numFmtId="197" fontId="259" fillId="0" borderId="1" xfId="10" applyNumberFormat="1" applyFont="1" applyFill="1" applyBorder="1" applyAlignment="1">
      <alignment horizontal="center" vertical="center" shrinkToFit="1"/>
    </xf>
    <xf numFmtId="3" fontId="259" fillId="0" borderId="1" xfId="10" applyNumberFormat="1" applyFont="1" applyFill="1" applyBorder="1" applyAlignment="1">
      <alignment horizontal="center" vertical="center" shrinkToFit="1"/>
    </xf>
    <xf numFmtId="0" fontId="98" fillId="0" borderId="0" xfId="10" applyFill="1">
      <alignment vertical="center"/>
    </xf>
    <xf numFmtId="0" fontId="0" fillId="0" borderId="0" xfId="0" applyFill="1">
      <alignment vertical="center"/>
    </xf>
    <xf numFmtId="1" fontId="259" fillId="18" borderId="1" xfId="10" applyNumberFormat="1" applyFont="1" applyFill="1" applyBorder="1" applyAlignment="1">
      <alignment horizontal="center" vertical="center" shrinkToFit="1"/>
    </xf>
    <xf numFmtId="0" fontId="258" fillId="18" borderId="1" xfId="10" applyFont="1" applyFill="1" applyBorder="1" applyAlignment="1">
      <alignment horizontal="center" vertical="center" wrapText="1"/>
    </xf>
    <xf numFmtId="3" fontId="259" fillId="18" borderId="1" xfId="10" applyNumberFormat="1" applyFont="1" applyFill="1" applyBorder="1" applyAlignment="1">
      <alignment horizontal="center" vertical="center" shrinkToFit="1"/>
    </xf>
    <xf numFmtId="0" fontId="98" fillId="18" borderId="0" xfId="10" applyFill="1">
      <alignment vertical="center"/>
    </xf>
    <xf numFmtId="0" fontId="0" fillId="18" borderId="0" xfId="0" applyFill="1">
      <alignment vertical="center"/>
    </xf>
    <xf numFmtId="1" fontId="259" fillId="21" borderId="1" xfId="10" applyNumberFormat="1" applyFont="1" applyFill="1" applyBorder="1" applyAlignment="1">
      <alignment horizontal="center" vertical="center" shrinkToFit="1"/>
    </xf>
    <xf numFmtId="0" fontId="258" fillId="21" borderId="1" xfId="10" applyFont="1" applyFill="1" applyBorder="1" applyAlignment="1">
      <alignment horizontal="center" vertical="center" wrapText="1"/>
    </xf>
    <xf numFmtId="2" fontId="259" fillId="21" borderId="1" xfId="10" applyNumberFormat="1" applyFont="1" applyFill="1" applyBorder="1" applyAlignment="1">
      <alignment horizontal="center" vertical="center" shrinkToFit="1"/>
    </xf>
    <xf numFmtId="0" fontId="98" fillId="21" borderId="0" xfId="10" applyFill="1">
      <alignment vertical="center"/>
    </xf>
    <xf numFmtId="0" fontId="0" fillId="21" borderId="0" xfId="0" applyFill="1">
      <alignment vertical="center"/>
    </xf>
    <xf numFmtId="0" fontId="261" fillId="18" borderId="1" xfId="10" applyFont="1" applyFill="1" applyBorder="1" applyAlignment="1">
      <alignment horizontal="center" vertical="center" wrapText="1"/>
    </xf>
    <xf numFmtId="2" fontId="259" fillId="18" borderId="1" xfId="10" applyNumberFormat="1" applyFont="1" applyFill="1" applyBorder="1" applyAlignment="1">
      <alignment horizontal="center" vertical="center" shrinkToFit="1"/>
    </xf>
    <xf numFmtId="3" fontId="260" fillId="18" borderId="1" xfId="10" applyNumberFormat="1" applyFont="1" applyFill="1" applyBorder="1" applyAlignment="1">
      <alignment horizontal="center" vertical="center" shrinkToFit="1"/>
    </xf>
    <xf numFmtId="3" fontId="260" fillId="0" borderId="1" xfId="10" applyNumberFormat="1" applyFont="1" applyBorder="1" applyAlignment="1">
      <alignment horizontal="center" vertical="center" shrinkToFit="1"/>
    </xf>
    <xf numFmtId="197" fontId="259" fillId="0" borderId="1" xfId="10" applyNumberFormat="1" applyFont="1" applyBorder="1" applyAlignment="1">
      <alignment horizontal="center" vertical="center" shrinkToFit="1"/>
    </xf>
    <xf numFmtId="3" fontId="0" fillId="0" borderId="0" xfId="0" applyNumberFormat="1">
      <alignment vertical="center"/>
    </xf>
    <xf numFmtId="197" fontId="259"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97" fontId="259" fillId="18" borderId="1" xfId="10" applyNumberFormat="1" applyFont="1" applyFill="1" applyBorder="1" applyAlignment="1">
      <alignment horizontal="center" vertical="center" shrinkToFit="1"/>
    </xf>
    <xf numFmtId="0" fontId="260" fillId="20" borderId="1" xfId="10" applyFont="1" applyFill="1" applyBorder="1" applyAlignment="1">
      <alignment horizontal="center" vertical="center" wrapText="1"/>
    </xf>
    <xf numFmtId="2" fontId="259" fillId="0" borderId="1" xfId="10" applyNumberFormat="1" applyFont="1" applyBorder="1" applyAlignment="1">
      <alignment horizontal="center" vertical="center" shrinkToFit="1"/>
    </xf>
    <xf numFmtId="0" fontId="258" fillId="21" borderId="0" xfId="10" applyFont="1" applyFill="1" applyBorder="1" applyAlignment="1">
      <alignment horizontal="center" vertical="center" wrapText="1"/>
    </xf>
    <xf numFmtId="0" fontId="46" fillId="12" borderId="58"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181" fontId="219" fillId="12" borderId="0"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22" borderId="1" xfId="0" applyNumberFormat="1" applyFont="1" applyFill="1" applyBorder="1" applyAlignment="1" applyProtection="1">
      <alignment horizontal="center" vertical="center"/>
      <protection locked="0"/>
    </xf>
    <xf numFmtId="183" fontId="46" fillId="22" borderId="1" xfId="0"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49" fontId="134" fillId="22" borderId="30" xfId="0" applyNumberFormat="1" applyFont="1" applyFill="1" applyBorder="1" applyAlignment="1" applyProtection="1">
      <alignment horizontal="center" vertical="center" wrapText="1"/>
      <protection locked="0"/>
    </xf>
    <xf numFmtId="0" fontId="52" fillId="22" borderId="40" xfId="0" applyFont="1" applyFill="1" applyBorder="1" applyAlignment="1" applyProtection="1">
      <alignment vertical="center" wrapText="1"/>
    </xf>
    <xf numFmtId="0" fontId="134" fillId="22" borderId="41" xfId="0" applyNumberFormat="1" applyFont="1" applyFill="1" applyBorder="1" applyAlignment="1" applyProtection="1">
      <alignment horizontal="center" vertical="center" wrapText="1"/>
      <protection locked="0"/>
    </xf>
    <xf numFmtId="49" fontId="46" fillId="22" borderId="23" xfId="0" applyNumberFormat="1" applyFont="1" applyFill="1" applyBorder="1" applyAlignment="1" applyProtection="1">
      <alignment horizontal="center" vertical="center" wrapText="1"/>
      <protection locked="0"/>
    </xf>
    <xf numFmtId="0" fontId="134" fillId="22" borderId="5" xfId="0" applyFont="1" applyFill="1" applyBorder="1" applyAlignment="1" applyProtection="1">
      <alignment horizontal="center" vertical="center" wrapText="1"/>
      <protection locked="0"/>
    </xf>
    <xf numFmtId="0" fontId="111" fillId="22" borderId="1" xfId="0" applyFont="1" applyFill="1" applyBorder="1">
      <alignment vertical="center"/>
    </xf>
    <xf numFmtId="176" fontId="49" fillId="0" borderId="1" xfId="0" applyNumberFormat="1" applyFont="1" applyFill="1" applyBorder="1" applyAlignment="1" applyProtection="1">
      <alignment vertical="center" wrapText="1"/>
      <protection locked="0"/>
    </xf>
    <xf numFmtId="0" fontId="46" fillId="22" borderId="24"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46" fillId="18" borderId="5" xfId="0" applyFont="1" applyFill="1" applyBorder="1" applyAlignment="1" applyProtection="1">
      <alignment horizontal="center" vertical="center" wrapText="1"/>
    </xf>
    <xf numFmtId="9" fontId="46" fillId="18" borderId="37" xfId="0" applyNumberFormat="1" applyFont="1" applyFill="1" applyBorder="1" applyAlignment="1" applyProtection="1">
      <alignment horizontal="center" vertical="center" wrapText="1"/>
      <protection locked="0"/>
    </xf>
    <xf numFmtId="0" fontId="60" fillId="18" borderId="3" xfId="0" applyNumberFormat="1" applyFont="1" applyFill="1" applyBorder="1" applyAlignment="1" applyProtection="1">
      <alignment horizontal="center" vertical="center" wrapText="1"/>
      <protection locked="0"/>
    </xf>
    <xf numFmtId="0" fontId="111" fillId="18" borderId="0" xfId="0" applyFont="1" applyFill="1">
      <alignment vertical="center"/>
    </xf>
    <xf numFmtId="0" fontId="46" fillId="18" borderId="23" xfId="0" applyFont="1" applyFill="1" applyBorder="1" applyAlignment="1" applyProtection="1">
      <alignment vertical="center"/>
      <protection locked="0"/>
    </xf>
    <xf numFmtId="181" fontId="46" fillId="18" borderId="24" xfId="0" applyNumberFormat="1" applyFont="1" applyFill="1" applyBorder="1" applyAlignment="1" applyProtection="1">
      <alignment horizontal="center" vertical="center"/>
      <protection locked="0"/>
    </xf>
    <xf numFmtId="0" fontId="134" fillId="18" borderId="4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3" fontId="72" fillId="3" borderId="20" xfId="0" applyNumberFormat="1" applyFont="1" applyFill="1" applyBorder="1" applyAlignment="1" applyProtection="1">
      <alignment vertical="center" wrapText="1"/>
      <protection locked="0"/>
    </xf>
    <xf numFmtId="3" fontId="72" fillId="3" borderId="51" xfId="0" applyNumberFormat="1" applyFont="1" applyFill="1" applyBorder="1" applyAlignment="1" applyProtection="1">
      <alignment vertical="center" wrapText="1"/>
      <protection locked="0"/>
    </xf>
    <xf numFmtId="10" fontId="111" fillId="0" borderId="0" xfId="0" applyNumberFormat="1" applyFont="1">
      <alignment vertical="center"/>
    </xf>
    <xf numFmtId="9" fontId="111" fillId="0" borderId="0" xfId="0" applyNumberFormat="1" applyFont="1">
      <alignment vertical="center"/>
    </xf>
    <xf numFmtId="9" fontId="97" fillId="12" borderId="0" xfId="0" applyNumberFormat="1" applyFont="1" applyFill="1" applyAlignment="1" applyProtection="1">
      <alignment horizontal="center" vertical="center" wrapText="1"/>
      <protection locked="0"/>
    </xf>
    <xf numFmtId="0" fontId="134" fillId="0" borderId="2" xfId="0" applyNumberFormat="1" applyFont="1" applyFill="1" applyBorder="1" applyAlignment="1" applyProtection="1">
      <alignment horizontal="center" vertical="center" wrapText="1"/>
      <protection locked="0"/>
    </xf>
    <xf numFmtId="3" fontId="0" fillId="18" borderId="0" xfId="0" applyNumberFormat="1"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12</xdr:col>
      <xdr:colOff>579930</xdr:colOff>
      <xdr:row>39</xdr:row>
      <xdr:rowOff>94408</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38100"/>
          <a:ext cx="8761905" cy="67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1</xdr:col>
      <xdr:colOff>0</xdr:colOff>
      <xdr:row>14</xdr:row>
      <xdr:rowOff>0</xdr:rowOff>
    </xdr:from>
    <xdr:to>
      <xdr:col>18</xdr:col>
      <xdr:colOff>217463</xdr:colOff>
      <xdr:row>23</xdr:row>
      <xdr:rowOff>95045</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2400300"/>
          <a:ext cx="12828563" cy="1638095"/>
        </a:xfrm>
        <a:prstGeom prst="rect">
          <a:avLst/>
        </a:prstGeom>
      </xdr:spPr>
    </xdr:pic>
    <xdr:clientData/>
  </xdr:twoCellAnchor>
  <xdr:twoCellAnchor editAs="oneCell">
    <xdr:from>
      <xdr:col>2</xdr:col>
      <xdr:colOff>142875</xdr:colOff>
      <xdr:row>30</xdr:row>
      <xdr:rowOff>104775</xdr:rowOff>
    </xdr:from>
    <xdr:to>
      <xdr:col>11</xdr:col>
      <xdr:colOff>132490</xdr:colOff>
      <xdr:row>64</xdr:row>
      <xdr:rowOff>113571</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514475" y="5248275"/>
          <a:ext cx="6885715" cy="5838096"/>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85725</xdr:rowOff>
    </xdr:from>
    <xdr:to>
      <xdr:col>11</xdr:col>
      <xdr:colOff>151364</xdr:colOff>
      <xdr:row>39</xdr:row>
      <xdr:rowOff>47287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86125"/>
          <a:ext cx="8295239" cy="2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2-12\2022&#20339;&#38534;&#22269;&#38469;&#22823;&#2141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90084</v>
          </cell>
        </row>
      </sheetData>
      <sheetData sheetId="33">
        <row r="2">
          <cell r="V2">
            <v>5541</v>
          </cell>
        </row>
        <row r="3">
          <cell r="V3">
            <v>6131</v>
          </cell>
        </row>
        <row r="4">
          <cell r="V4">
            <v>7106</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估价对象为北京市房地产，为所有。根据《国有土地使用证》[]，估价对象（分摊）出让国有建设用地使用权面积为7268.84平方米，建筑面积为51394.39平方米。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估价对象为北京市房地产,属开发建设的，该项目尚在开发建设中。根据《国有土地使用证》[]，估价对象（分摊）出让国有建设用地使用权面积为7268.84平方米，规划建筑面积为51394.39平方米。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2022年12月7日</v>
      </c>
    </row>
    <row r="13" spans="1:2" s="1318" customFormat="1">
      <c r="A13" s="1316" t="s">
        <v>954</v>
      </c>
      <c r="B13" s="1317" t="str">
        <f>'预评函-1'!A18</f>
        <v>本次估价的“房地产价值”是指在正常市场情况下，在价值时点2022年12月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244092</v>
      </c>
    </row>
    <row r="21" spans="1:2" s="1318" customFormat="1">
      <c r="A21" s="1316" t="s">
        <v>962</v>
      </c>
      <c r="B21" s="1317">
        <f ca="1">'预评函-2'!D7</f>
        <v>47494</v>
      </c>
    </row>
    <row r="22" spans="1:2" s="1318" customFormat="1">
      <c r="A22" s="1316" t="s">
        <v>963</v>
      </c>
      <c r="B22" s="1317" t="str">
        <f ca="1">'预评函-2'!D6</f>
        <v>贰拾肆亿肆仟零玖拾贰万元整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244092</v>
      </c>
    </row>
    <row r="31" spans="1:2" s="1318" customFormat="1">
      <c r="A31" s="1316" t="s">
        <v>1001</v>
      </c>
      <c r="B31" s="1317">
        <f ca="1">'预评函-2'!D15</f>
        <v>47494</v>
      </c>
    </row>
    <row r="32" spans="1:2" s="1318" customFormat="1">
      <c r="A32" s="1316" t="s">
        <v>968</v>
      </c>
      <c r="B32" s="1317" t="str">
        <f ca="1">'预评函-2'!D14</f>
        <v>贰拾肆亿肆仟零玖拾贰万元整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51394.390000000007</v>
      </c>
    </row>
    <row r="44" spans="1:2" s="1318" customFormat="1">
      <c r="A44" s="1316" t="s">
        <v>1000</v>
      </c>
      <c r="B44" s="1317" t="str">
        <f>'预评函-3'!C2</f>
        <v>(分摊)土地面积</v>
      </c>
    </row>
    <row r="45" spans="1:2" s="1318" customFormat="1">
      <c r="A45" s="1316" t="s">
        <v>972</v>
      </c>
      <c r="B45" s="1317">
        <f>'预评函-3'!C4</f>
        <v>7268.84</v>
      </c>
    </row>
    <row r="46" spans="1:2" s="1318" customFormat="1">
      <c r="A46" s="1316" t="s">
        <v>998</v>
      </c>
      <c r="B46" s="1317" t="str">
        <f>'预评函-3'!D2</f>
        <v>出让国有建设用地使用权价值</v>
      </c>
    </row>
    <row r="47" spans="1:2" s="1318" customFormat="1">
      <c r="A47" s="1316" t="s">
        <v>973</v>
      </c>
      <c r="B47" s="1317">
        <f ca="1">'预评函-3'!D4</f>
        <v>204549</v>
      </c>
    </row>
    <row r="48" spans="1:2" s="1318" customFormat="1">
      <c r="A48" s="1316" t="s">
        <v>974</v>
      </c>
      <c r="B48" s="1317">
        <f ca="1">'预评函-3'!E4</f>
        <v>39800</v>
      </c>
    </row>
    <row r="49" spans="1:2" s="1318" customFormat="1">
      <c r="A49" s="1316" t="s">
        <v>975</v>
      </c>
      <c r="B49" s="1317" t="str">
        <f ca="1">'预评函-3'!D5</f>
        <v>贰拾亿肆仟伍佰肆拾玖万元整</v>
      </c>
    </row>
    <row r="50" spans="1:2" s="1318" customFormat="1">
      <c r="A50" s="1316" t="s">
        <v>999</v>
      </c>
      <c r="B50" s="1317" t="str">
        <f>'预评函-3'!F2</f>
        <v>在建建筑物价值</v>
      </c>
    </row>
    <row r="51" spans="1:2" s="1318" customFormat="1">
      <c r="A51" s="1316" t="s">
        <v>976</v>
      </c>
      <c r="B51" s="1317">
        <f ca="1">'预评函-3'!F4</f>
        <v>39543</v>
      </c>
    </row>
    <row r="52" spans="1:2" s="1318" customFormat="1">
      <c r="A52" s="1316" t="s">
        <v>977</v>
      </c>
      <c r="B52" s="1317">
        <f ca="1">'预评函-3'!G4</f>
        <v>7694</v>
      </c>
    </row>
    <row r="53" spans="1:2" s="1318" customFormat="1">
      <c r="A53" s="1316" t="s">
        <v>1005</v>
      </c>
      <c r="B53" s="1317" t="str">
        <f ca="1">'预评函-3'!F5</f>
        <v>叁亿玖仟伍佰肆拾叁万元整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6" sqref="E26"/>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3417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6"/>
      <c r="B54" s="1690" t="s">
        <v>651</v>
      </c>
      <c r="C54" s="1687" t="s">
        <v>1008</v>
      </c>
    </row>
    <row r="55" spans="1:4">
      <c r="A55" s="3376"/>
      <c r="B55" s="1690" t="s">
        <v>652</v>
      </c>
      <c r="C55" s="1687" t="s">
        <v>1009</v>
      </c>
    </row>
    <row r="56" spans="1:4">
      <c r="A56" s="3376"/>
      <c r="B56" s="1690" t="s">
        <v>653</v>
      </c>
      <c r="C56" s="1687" t="s">
        <v>1013</v>
      </c>
    </row>
    <row r="57" spans="1:4">
      <c r="A57" s="33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D4" sqref="D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2669</v>
      </c>
      <c r="B1" s="3377" t="str">
        <f>IF(B10="北京市","北京市",C10)&amp;F10&amp;IF(结果表!G1="在建","出让国有建设用地使用权及在建建筑物",IF(结果表!G1="土地","出让国有建设用地使用权",))&amp;B9&amp;"预评估"</f>
        <v>北京市房地产抵押价值预评估</v>
      </c>
      <c r="C1" s="3378"/>
      <c r="D1" s="3378"/>
      <c r="E1" s="3378"/>
      <c r="F1" s="3378"/>
      <c r="G1" s="3378"/>
      <c r="H1" s="3378"/>
      <c r="I1" s="3379"/>
      <c r="J1" s="2646"/>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2670</v>
      </c>
      <c r="B2" s="2544"/>
      <c r="C2" s="2545"/>
      <c r="D2" s="2848"/>
      <c r="E2" s="2838"/>
      <c r="F2" s="2838"/>
      <c r="G2" s="2839"/>
      <c r="H2" s="2839"/>
      <c r="I2" s="2839"/>
      <c r="J2" s="2646"/>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6"/>
      <c r="C3" s="2547" t="s">
        <v>2672</v>
      </c>
      <c r="D3" s="2546">
        <v>44902</v>
      </c>
      <c r="E3" s="2839"/>
      <c r="F3" s="2839"/>
      <c r="G3" s="2839"/>
      <c r="H3" s="2839"/>
      <c r="I3" s="2839"/>
      <c r="J3" s="2646"/>
      <c r="K3" s="2541"/>
      <c r="L3" s="2542"/>
      <c r="M3" s="2542"/>
      <c r="N3" s="2543"/>
      <c r="O3" s="1712"/>
      <c r="P3" s="2543"/>
      <c r="Q3" s="2543"/>
      <c r="R3" s="2543"/>
      <c r="S3" s="1819"/>
      <c r="T3" s="1882"/>
      <c r="U3" s="1882"/>
      <c r="V3" s="1882"/>
      <c r="W3" s="1882"/>
      <c r="X3" s="1882"/>
      <c r="Y3" s="1882"/>
      <c r="Z3" s="1882"/>
      <c r="AA3" s="1882"/>
      <c r="AB3" s="1882"/>
    </row>
    <row r="4" spans="1:28" ht="13.5" thickBot="1">
      <c r="A4" s="1203"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9"/>
      <c r="T4" s="1882"/>
      <c r="U4" s="1882"/>
      <c r="V4" s="1882"/>
      <c r="W4" s="1882"/>
      <c r="X4" s="1882"/>
      <c r="Y4" s="1882"/>
      <c r="Z4" s="1882"/>
      <c r="AA4" s="1882"/>
      <c r="AB4" s="1882"/>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380" t="s">
        <v>2678</v>
      </c>
      <c r="E8" s="2564"/>
      <c r="F8" s="2565"/>
      <c r="G8" s="2839"/>
      <c r="H8" s="2839"/>
      <c r="I8" s="2839"/>
      <c r="J8" s="2614"/>
      <c r="K8" s="2789"/>
      <c r="L8" s="2788"/>
      <c r="M8" s="2788"/>
      <c r="N8" s="2614"/>
      <c r="O8" s="2625"/>
      <c r="P8" s="2614"/>
      <c r="Q8" s="2614"/>
      <c r="R8" s="2614"/>
    </row>
    <row r="9" spans="1:28" ht="13.5" thickBot="1">
      <c r="A9" s="2566" t="s">
        <v>2679</v>
      </c>
      <c r="B9" s="2567" t="s">
        <v>3176</v>
      </c>
      <c r="C9" s="2568"/>
      <c r="D9" s="3381"/>
      <c r="E9" s="2567"/>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v>53332</v>
      </c>
      <c r="F13" s="946">
        <v>56984</v>
      </c>
      <c r="G13" s="946">
        <v>56984</v>
      </c>
      <c r="H13" s="946"/>
      <c r="I13" s="946"/>
      <c r="J13" s="2614"/>
      <c r="K13" s="2791"/>
      <c r="L13" s="2788"/>
      <c r="M13" s="2788"/>
      <c r="N13" s="2614"/>
      <c r="O13" s="2625"/>
      <c r="P13" s="2614"/>
      <c r="Q13" s="2614"/>
      <c r="R13" s="2614"/>
    </row>
    <row r="14" spans="1:28">
      <c r="A14" s="1194"/>
      <c r="B14" s="2580"/>
      <c r="C14" s="2581" t="s">
        <v>2692</v>
      </c>
      <c r="D14" s="2582"/>
      <c r="E14" s="2582">
        <v>40</v>
      </c>
      <c r="F14" s="2582">
        <v>50</v>
      </c>
      <c r="G14" s="2582">
        <v>50</v>
      </c>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23.09</v>
      </c>
      <c r="F15" s="2585">
        <f>IF(B12="出让",IF(F13="","",ROUNDDOWN(MIN((F13-$D$3)/365,F14),2)),F14)</f>
        <v>33.1</v>
      </c>
      <c r="G15" s="2585">
        <f>IF(B12="出让",IF(G13="","",ROUNDDOWN(MIN((G13-$D$3)/365,G14),2)),G14)</f>
        <v>33.1</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87"/>
      <c r="C16" s="3388"/>
      <c r="D16" s="3389"/>
      <c r="E16" s="2588" t="s">
        <v>2695</v>
      </c>
      <c r="F16" s="3390"/>
      <c r="G16" s="3391"/>
      <c r="H16" s="3391"/>
      <c r="I16" s="3392"/>
      <c r="J16" s="2614"/>
      <c r="K16" s="2793"/>
      <c r="L16" s="2626"/>
      <c r="M16" s="2626"/>
      <c r="N16" s="2684"/>
      <c r="O16" s="2626"/>
      <c r="P16" s="2684"/>
      <c r="Q16" s="2614"/>
      <c r="R16" s="2614"/>
    </row>
    <row r="17" spans="1:28">
      <c r="A17" s="319" t="s">
        <v>2696</v>
      </c>
      <c r="B17" s="308" t="s">
        <v>2697</v>
      </c>
      <c r="C17" s="11">
        <f>'数据-汇总表'!E3</f>
        <v>51394.390000000007</v>
      </c>
      <c r="D17" s="2495" t="s">
        <v>2698</v>
      </c>
      <c r="E17" s="3393" t="s">
        <v>2699</v>
      </c>
      <c r="F17" s="3394"/>
      <c r="G17" s="3394"/>
      <c r="H17" s="3394"/>
      <c r="I17" s="3395"/>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7268.84</v>
      </c>
      <c r="D18" s="1205" t="s">
        <v>2702</v>
      </c>
      <c r="E18" s="3396" t="s">
        <v>2703</v>
      </c>
      <c r="F18" s="3397"/>
      <c r="G18" s="3397"/>
      <c r="H18" s="3397"/>
      <c r="I18" s="3398"/>
      <c r="J18" s="2614"/>
      <c r="K18" s="2794"/>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383" t="s">
        <v>2707</v>
      </c>
      <c r="C20" s="3384"/>
      <c r="D20" s="3385" t="s">
        <v>2708</v>
      </c>
      <c r="E20" s="3386"/>
      <c r="F20" s="2823" t="s">
        <v>1501</v>
      </c>
      <c r="G20" s="2840"/>
      <c r="H20" s="2840"/>
      <c r="I20" s="2840"/>
      <c r="J20" s="2614"/>
      <c r="K20" s="3382"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3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3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400"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400"/>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400"/>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401"/>
      <c r="B30" s="308" t="s">
        <v>2719</v>
      </c>
      <c r="C30" s="3402"/>
      <c r="D30" s="3403"/>
      <c r="E30" s="2840"/>
      <c r="F30" s="2840"/>
      <c r="G30" s="2840"/>
      <c r="H30" s="2840"/>
      <c r="I30" s="2840"/>
      <c r="J30" s="2614"/>
      <c r="K30" s="2791"/>
      <c r="L30" s="2788"/>
      <c r="M30" s="2788"/>
      <c r="N30" s="2614"/>
      <c r="O30" s="2625"/>
      <c r="P30" s="2614"/>
      <c r="Q30" s="2614"/>
      <c r="R30" s="2614"/>
      <c r="S30" s="2614"/>
      <c r="T30" s="2614"/>
      <c r="U30" s="2614"/>
      <c r="V30" s="2614"/>
    </row>
    <row r="31" spans="1:28">
      <c r="A31" s="3404" t="s">
        <v>2720</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405"/>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405"/>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4"/>
      <c r="C34" s="2164"/>
      <c r="D34" s="2164"/>
      <c r="E34" s="2164"/>
      <c r="F34" s="2164"/>
      <c r="G34" s="2164"/>
      <c r="H34" s="2164"/>
      <c r="I34" s="2840"/>
      <c r="J34" s="2614"/>
      <c r="K34" s="2602">
        <f>COUNTIF(B34:H34,"——")</f>
        <v>0</v>
      </c>
      <c r="L34" s="329" t="s">
        <v>2722</v>
      </c>
      <c r="M34" s="329" t="s">
        <v>2723</v>
      </c>
      <c r="N34" s="329" t="s">
        <v>2724</v>
      </c>
      <c r="O34" s="329" t="s">
        <v>2725</v>
      </c>
      <c r="P34" s="329" t="s">
        <v>2726</v>
      </c>
      <c r="Q34" s="329" t="s">
        <v>2727</v>
      </c>
      <c r="R34" s="329" t="s">
        <v>2728</v>
      </c>
      <c r="S34" s="3399" t="s">
        <v>2729</v>
      </c>
      <c r="T34" s="2603" t="str">
        <f>NUMBERSTRING(7-K34,1)&amp;"通"</f>
        <v>七通</v>
      </c>
      <c r="U34" s="2614"/>
      <c r="V34" s="2614"/>
    </row>
    <row r="35" spans="1:30">
      <c r="A35" s="2604"/>
      <c r="B35" s="3406" t="s">
        <v>2730</v>
      </c>
      <c r="C35" s="3406"/>
      <c r="D35" s="3406"/>
      <c r="E35" s="3406"/>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99"/>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2734</v>
      </c>
      <c r="B41" s="1894"/>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I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7268.84</v>
      </c>
      <c r="B3" s="14">
        <f>IF(C3="否",G5-AT5,G5)</f>
        <v>51394.390000000007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51394.390000000007</v>
      </c>
      <c r="H5" s="16">
        <f t="shared" ref="H5:AT5" si="0">SUM(H13:H656)</f>
        <v>51394.390000000007</v>
      </c>
      <c r="I5" s="16">
        <f t="shared" si="0"/>
        <v>35669.120000000003</v>
      </c>
      <c r="J5" s="16">
        <f t="shared" si="0"/>
        <v>0</v>
      </c>
      <c r="K5" s="16">
        <f t="shared" si="0"/>
        <v>6444.44</v>
      </c>
      <c r="L5" s="16">
        <f t="shared" si="0"/>
        <v>0</v>
      </c>
      <c r="M5" s="16">
        <f t="shared" si="0"/>
        <v>9280.83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51394.390000000007</v>
      </c>
      <c r="BA5" s="18">
        <f t="shared" si="1"/>
        <v>51394.390000000007</v>
      </c>
      <c r="BB5" s="18">
        <f t="shared" si="1"/>
        <v>35669.120000000003</v>
      </c>
      <c r="BC5" s="18">
        <f t="shared" si="1"/>
        <v>6444.44</v>
      </c>
      <c r="BD5" s="18">
        <f t="shared" si="1"/>
        <v>9280.83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7268.83</v>
      </c>
      <c r="F6" s="16" t="s">
        <v>1</v>
      </c>
      <c r="G6" s="16" t="s">
        <v>2</v>
      </c>
      <c r="H6" s="20">
        <f>SUMIF(I$12:AB$12,"总值",I6:AB6)</f>
        <v>7268.83</v>
      </c>
      <c r="I6" s="16">
        <f t="shared" ref="I6:AB6" si="2">ROUND($A$3*I5/$B$3,2)</f>
        <v>5044.7700000000004</v>
      </c>
      <c r="J6" s="16">
        <f t="shared" si="2"/>
        <v>0</v>
      </c>
      <c r="K6" s="16">
        <f t="shared" si="2"/>
        <v>911.45</v>
      </c>
      <c r="L6" s="16">
        <f t="shared" si="2"/>
        <v>0</v>
      </c>
      <c r="M6" s="16">
        <f t="shared" si="2"/>
        <v>1312.61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7268.84</v>
      </c>
      <c r="AZ6" s="16" t="s">
        <v>3</v>
      </c>
      <c r="BA6" s="16">
        <f>ROUND($AY$6*BA5/$AZ$5,2)</f>
        <v>7268.84</v>
      </c>
      <c r="BB6" s="16">
        <f>ROUND($AY$6*BB5/$AZ$5,2)</f>
        <v>5044.7700000000004</v>
      </c>
      <c r="BC6" s="16">
        <f t="shared" ref="BC6:BH6" si="4">ROUND($AY$6*BC5/$AZ$5,2)</f>
        <v>911.45</v>
      </c>
      <c r="BD6" s="16">
        <f t="shared" si="4"/>
        <v>1312.61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t="s">
        <v>3190</v>
      </c>
      <c r="L9" s="899"/>
      <c r="M9" s="1739" t="s">
        <v>3191</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1102</v>
      </c>
      <c r="L10" s="899"/>
      <c r="M10" s="1745" t="s">
        <v>3192</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商业</v>
      </c>
      <c r="BD11" s="1735" t="str">
        <f>M10</f>
        <v>车库—办公</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7268.84</v>
      </c>
      <c r="F13" s="32"/>
      <c r="G13" s="33">
        <f>H13+AC13+AT13</f>
        <v>51394.390000000007</v>
      </c>
      <c r="H13" s="20">
        <f>SUMIF(I$12:AB$12,"总值",I13:AB13)</f>
        <v>51394.390000000007</v>
      </c>
      <c r="I13" s="1762">
        <f>面积表!G6+面积表!G11</f>
        <v>35669.120000000003</v>
      </c>
      <c r="J13" s="1762"/>
      <c r="K13" s="1762">
        <f>面积表!G5</f>
        <v>6444.44</v>
      </c>
      <c r="L13" s="1762"/>
      <c r="M13" s="3306">
        <f>面积表!G3+面积表!G10</f>
        <v>9280.83</v>
      </c>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7268.84</v>
      </c>
      <c r="AZ13" s="16">
        <f>BA13+BL13</f>
        <v>51394.390000000007</v>
      </c>
      <c r="BA13" s="16">
        <f>SUM(BB13:BK13)</f>
        <v>51394.390000000007</v>
      </c>
      <c r="BB13" s="16">
        <f>IF($D13="是",I13-J13,0)</f>
        <v>35669.120000000003</v>
      </c>
      <c r="BC13" s="16">
        <f>IF($D13="是",K13-L13,0)</f>
        <v>6444.44</v>
      </c>
      <c r="BD13" s="16">
        <f>IF($D13="是",M13-N13,0)</f>
        <v>9280.83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7" t="s">
        <v>0</v>
      </c>
      <c r="B1" s="3407" t="s">
        <v>4</v>
      </c>
      <c r="C1" s="3407" t="s">
        <v>5</v>
      </c>
      <c r="D1" s="3408" t="s">
        <v>53</v>
      </c>
      <c r="E1" s="3408" t="s">
        <v>54</v>
      </c>
      <c r="F1" s="3408"/>
      <c r="G1" s="3408"/>
      <c r="H1" s="3408"/>
      <c r="I1" s="3408"/>
      <c r="J1" s="3408"/>
      <c r="K1" s="3408"/>
      <c r="L1" s="3408"/>
      <c r="M1" s="3408"/>
    </row>
    <row r="2" spans="1:13" ht="27" customHeight="1">
      <c r="A2" s="3407"/>
      <c r="B2" s="3407"/>
      <c r="C2" s="3407"/>
      <c r="D2" s="3408"/>
      <c r="E2" s="3408" t="s">
        <v>37</v>
      </c>
      <c r="F2" s="3408" t="s">
        <v>38</v>
      </c>
      <c r="G2" s="3408"/>
      <c r="H2" s="3408"/>
      <c r="I2" s="3408"/>
      <c r="J2" s="3408" t="s">
        <v>39</v>
      </c>
      <c r="K2" s="3408"/>
      <c r="L2" s="3408"/>
      <c r="M2" s="3408"/>
    </row>
    <row r="3" spans="1:13" ht="28.5">
      <c r="A3" s="3407"/>
      <c r="B3" s="3407"/>
      <c r="C3" s="3407"/>
      <c r="D3" s="3408"/>
      <c r="E3" s="34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8" t="s">
        <v>55</v>
      </c>
      <c r="B9" s="3408"/>
      <c r="C9" s="34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view="pageBreakPreview" topLeftCell="B1" zoomScale="70" zoomScaleNormal="100" zoomScaleSheetLayoutView="70" workbookViewId="0">
      <selection activeCell="D47" sqref="D47:E4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418" t="s">
        <v>1576</v>
      </c>
      <c r="B2" s="3418"/>
      <c r="C2" s="3418"/>
      <c r="D2" s="885" t="s">
        <v>1552</v>
      </c>
      <c r="E2" s="1775" t="s">
        <v>1553</v>
      </c>
      <c r="F2" s="2835"/>
      <c r="G2" s="2826"/>
      <c r="H2" s="2827"/>
      <c r="I2" s="2498" t="s">
        <v>1577</v>
      </c>
      <c r="J2" s="2835"/>
      <c r="K2" s="2835"/>
      <c r="L2" s="2835"/>
      <c r="M2" s="2835"/>
      <c r="N2" s="2837"/>
      <c r="O2" s="2835"/>
      <c r="P2" s="2835"/>
    </row>
    <row r="3" spans="1:16" ht="15.75" thickBot="1">
      <c r="A3" s="3419" t="s">
        <v>1550</v>
      </c>
      <c r="B3" s="3419"/>
      <c r="C3" s="3419"/>
      <c r="D3" s="46">
        <f>'数据-基础表'!AY6</f>
        <v>7268.84</v>
      </c>
      <c r="E3" s="46">
        <f>'数据-基础表'!AZ5</f>
        <v>51394.390000000007</v>
      </c>
      <c r="F3" s="2835"/>
      <c r="G3" s="1260"/>
      <c r="H3" s="1138" t="s">
        <v>1551</v>
      </c>
      <c r="I3" s="945">
        <f>ROUND('数据-基础表'!B3/'数据-基础表'!A3,2)</f>
        <v>7.07</v>
      </c>
      <c r="J3" s="2835"/>
      <c r="K3" s="2835"/>
      <c r="L3" s="2835"/>
      <c r="M3" s="2835"/>
      <c r="N3" s="2837"/>
      <c r="O3" s="2835"/>
      <c r="P3" s="2835"/>
    </row>
    <row r="4" spans="1:16" ht="15">
      <c r="A4" s="3420"/>
      <c r="B4" s="3421"/>
      <c r="C4" s="3422"/>
      <c r="D4" s="1777" t="s">
        <v>1552</v>
      </c>
      <c r="E4" s="1778" t="s">
        <v>1553</v>
      </c>
      <c r="F4" s="2835"/>
      <c r="G4" s="2828" t="s">
        <v>1578</v>
      </c>
      <c r="H4" s="1138" t="s">
        <v>1558</v>
      </c>
      <c r="I4" s="945">
        <f>ROUND(SUMIF('数据-基础表'!I9:AS9,"地上",'数据-基础表'!I5:AS5)/'数据-基础表'!A3,2)</f>
        <v>5.79</v>
      </c>
      <c r="J4" s="2835"/>
      <c r="K4" s="2835"/>
      <c r="L4" s="2835"/>
      <c r="M4" s="2835"/>
      <c r="N4" s="2837"/>
      <c r="O4" s="2835"/>
      <c r="P4" s="2835"/>
    </row>
    <row r="5" spans="1:16">
      <c r="A5" s="47" t="s">
        <v>1554</v>
      </c>
      <c r="B5" s="3423" t="s">
        <v>1555</v>
      </c>
      <c r="C5" s="3423"/>
      <c r="D5" s="48">
        <f>ROUND($D$3*E5/$E$3,2)</f>
        <v>0</v>
      </c>
      <c r="E5" s="49">
        <f>SUMIF('数据-基础表'!$11:$11,"住宅",'数据-基础表'!$5:$5)</f>
        <v>0</v>
      </c>
      <c r="F5" s="2835"/>
      <c r="G5" s="1260"/>
      <c r="H5" s="1138" t="s">
        <v>1551</v>
      </c>
      <c r="I5" s="945">
        <f>ROUND(E31/D31,2)</f>
        <v>7.07</v>
      </c>
      <c r="J5" s="2835"/>
      <c r="K5" s="2835"/>
      <c r="L5" s="2835"/>
      <c r="M5" s="2835"/>
      <c r="N5" s="2835"/>
      <c r="O5" s="2835"/>
      <c r="P5" s="2835"/>
    </row>
    <row r="6" spans="1:16" ht="15" thickBot="1">
      <c r="A6" s="1780"/>
      <c r="B6" s="3423" t="s">
        <v>1556</v>
      </c>
      <c r="C6" s="3423"/>
      <c r="D6" s="48">
        <f>ROUND($D$3*E6/$E$3,2)</f>
        <v>7268.84</v>
      </c>
      <c r="E6" s="49">
        <f>E3-E5</f>
        <v>51394.390000000007</v>
      </c>
      <c r="F6" s="2835"/>
      <c r="G6" s="2829" t="s">
        <v>1557</v>
      </c>
      <c r="H6" s="1261" t="s">
        <v>1558</v>
      </c>
      <c r="I6" s="2830">
        <f>ROUND(F31/D31,2)</f>
        <v>5.79</v>
      </c>
      <c r="J6" s="2835"/>
      <c r="K6" s="2835"/>
      <c r="L6" s="2835"/>
      <c r="M6" s="2835"/>
      <c r="N6" s="2835"/>
      <c r="O6" s="2835"/>
      <c r="P6" s="2835"/>
    </row>
    <row r="7" spans="1:16" ht="15.75" thickBot="1">
      <c r="A7" s="3415"/>
      <c r="B7" s="3416"/>
      <c r="C7" s="3417"/>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5956.23</v>
      </c>
      <c r="E8" s="51">
        <f>SUMIF('数据-基础表'!BB10:BK10,"地上",'数据-基础表'!BB5:BK5)</f>
        <v>42113.560000000005</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1312.61</v>
      </c>
      <c r="E15" s="51">
        <f>SUMPRODUCT(('数据-基础表'!BB10:BK10="地下")*('数据-基础表'!BB11:BK11="车库—办公")*('数据-基础表'!BB5:BK5))</f>
        <v>9280.83</v>
      </c>
      <c r="F15" s="2835"/>
      <c r="G15" s="2836"/>
      <c r="H15" s="2836"/>
      <c r="I15" s="2835"/>
      <c r="J15" s="2835"/>
      <c r="K15" s="2835"/>
      <c r="L15" s="2835"/>
      <c r="M15" s="2835"/>
      <c r="N15" s="2835"/>
      <c r="O15" s="2835"/>
      <c r="P15" s="2835"/>
    </row>
    <row r="16" spans="1:16" ht="15.75" thickBot="1">
      <c r="A16" s="1780"/>
      <c r="B16" s="1783"/>
      <c r="C16" s="50" t="s">
        <v>1568</v>
      </c>
      <c r="D16" s="50">
        <f>SUM(D8:D15)</f>
        <v>7268.8399999999992</v>
      </c>
      <c r="E16" s="53">
        <f>SUM(E8:E15)</f>
        <v>51394.390000000007</v>
      </c>
      <c r="F16" s="2835"/>
      <c r="G16" s="2836"/>
      <c r="H16" s="1784" t="s">
        <v>1580</v>
      </c>
      <c r="I16" s="1785"/>
      <c r="J16" s="1254"/>
      <c r="K16" s="3412" t="s">
        <v>1580</v>
      </c>
      <c r="L16" s="3413"/>
      <c r="M16" s="3413"/>
      <c r="N16" s="3413"/>
      <c r="O16" s="3413"/>
      <c r="P16" s="3414"/>
    </row>
    <row r="17" spans="1:19" ht="15">
      <c r="A17" s="1786" t="s">
        <v>1581</v>
      </c>
      <c r="B17" s="1787" t="s">
        <v>1582</v>
      </c>
      <c r="C17" s="1788" t="s">
        <v>1583</v>
      </c>
      <c r="D17" s="1789" t="s">
        <v>1571</v>
      </c>
      <c r="E17" s="1790" t="s">
        <v>1572</v>
      </c>
      <c r="F17" s="1791"/>
      <c r="G17" s="1792"/>
      <c r="H17" s="1793" t="s">
        <v>1584</v>
      </c>
      <c r="I17" s="1794" t="s">
        <v>1569</v>
      </c>
      <c r="J17" s="1254"/>
      <c r="K17" s="3409" t="s">
        <v>1585</v>
      </c>
      <c r="L17" s="3410"/>
      <c r="M17" s="3411"/>
      <c r="N17" s="3409" t="s">
        <v>1586</v>
      </c>
      <c r="O17" s="3410"/>
      <c r="P17" s="3411"/>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3194</v>
      </c>
      <c r="D19" s="48">
        <f>ROUND($D$3*E19/$E$3,2)</f>
        <v>7268.84</v>
      </c>
      <c r="E19" s="56">
        <f t="shared" ref="E19:E26" si="1">SUM(F19:G19)</f>
        <v>51394.390000000007</v>
      </c>
      <c r="F19" s="2975">
        <f>'数据-基础表'!I13+'数据-基础表'!K13</f>
        <v>42113.560000000005</v>
      </c>
      <c r="G19" s="2976">
        <f>'数据-基础表'!M13</f>
        <v>9280.83</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7268.84</v>
      </c>
      <c r="S19" s="1139">
        <f t="shared" si="5"/>
        <v>51394.390000000007</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7268.84</v>
      </c>
      <c r="E27" s="1256">
        <f>IF(SUM(E19:E26)='数据-基础表'!BA5,SUM(E19:E26),IF(F27="地上面积有误","面积有误","地下面积有误"))</f>
        <v>51394.390000000007</v>
      </c>
      <c r="F27" s="1255">
        <f>IF(SUM(F19:F26)=E8,SUM(F19:F26),"地上面积有误")</f>
        <v>42113.560000000005</v>
      </c>
      <c r="G27" s="1257">
        <f>SUM(G19:G26)</f>
        <v>9280.83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7268.84</v>
      </c>
      <c r="S27" s="1138">
        <f>IF(SUM(S19:S26)=$E$3,SUM(S19:S26),SUM(S19:S26)&amp;"误差"&amp;ROUND(SUM(S19:S26)-E3,2))</f>
        <v>51394.390000000007</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7268.84</v>
      </c>
      <c r="E31" s="685">
        <f>E27+E30</f>
        <v>51394.390000000007</v>
      </c>
      <c r="F31" s="686">
        <f>F27+F30</f>
        <v>42113.560000000005</v>
      </c>
      <c r="G31" s="687">
        <f>G27+G30</f>
        <v>9280.83</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7">
      <c r="D33" s="1815"/>
      <c r="E33" s="1774">
        <f>(F33*F31+G33*G31)/E31</f>
        <v>6.3623421933794715</v>
      </c>
      <c r="F33" s="1774">
        <v>7.5</v>
      </c>
      <c r="G33" s="1774">
        <v>1.2</v>
      </c>
    </row>
    <row r="35" spans="4:7">
      <c r="F35" s="1774">
        <v>55000</v>
      </c>
      <c r="G35" s="1774">
        <v>8000</v>
      </c>
    </row>
    <row r="36" spans="4:7">
      <c r="F36" s="1774">
        <f>F35*F27/10000</f>
        <v>231624.58000000005</v>
      </c>
      <c r="G36" s="1774">
        <f>G35*G27/10000</f>
        <v>7424.6639999999998</v>
      </c>
    </row>
    <row r="40" spans="4:7">
      <c r="G40" s="1774">
        <f>240000/E31*10000</f>
        <v>46697.703776618408</v>
      </c>
    </row>
    <row r="44" spans="4:7">
      <c r="F44" s="1774">
        <f>G27/E3</f>
        <v>0.18058060422548061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H11" sqref="H1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44902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大厦</v>
      </c>
      <c r="B6" s="1850" t="str">
        <f>IF(A6=0,"","经营性")</f>
        <v>经营性</v>
      </c>
      <c r="C6" s="1851" t="s">
        <v>27</v>
      </c>
      <c r="D6" s="948">
        <f>SUMIF(项目基本情况!D$12:I$12,C6,项目基本情况!D$14:I$14)</f>
        <v>50</v>
      </c>
      <c r="E6" s="947">
        <f>IF(B6="","",SUMIF(项目基本情况!D$12:I$12,C6,项目基本情况!D$13:I$13))</f>
        <v>56984</v>
      </c>
      <c r="F6" s="68">
        <f>SUMIF(项目基本情况!D$12:I$12,C6,项目基本情况!D$15:I$15)</f>
        <v>33.1</v>
      </c>
      <c r="G6" s="69">
        <f>IF(ISERROR(ROUND(POWER(1+H6,D6-F6)*(POWER(1+H6,F6)-1)/(POWER(1+H6,D6)-1),3)),0,ROUND(POWER(1+H6,D6-F6)*(POWER(1+H6,F6)-1)/(POWER(1+H6,D6)-1),3))</f>
        <v>0.878</v>
      </c>
      <c r="H6" s="741">
        <v>0.05</v>
      </c>
      <c r="I6" s="741">
        <v>5.5E-2</v>
      </c>
      <c r="J6" s="70">
        <v>7.0000000000000007E-2</v>
      </c>
      <c r="K6" s="1142">
        <f>SUMIF('数据-汇总表'!C$19:C$33,A6,'数据-汇总表'!E$19:E$33)</f>
        <v>51394.390000000007</v>
      </c>
      <c r="L6" s="3299">
        <v>5000</v>
      </c>
      <c r="M6" s="71">
        <f t="shared" ref="M6:M14" si="0">ROUND(K6*L6/10000,0)</f>
        <v>25697</v>
      </c>
      <c r="N6" s="740">
        <f>N23</f>
        <v>0.81</v>
      </c>
      <c r="O6" s="71" t="str">
        <f>IF($N$5="成新度","——",ROUND(M6*N6,0))</f>
        <v>——</v>
      </c>
      <c r="P6" s="72" t="str">
        <f>IF($N$5="成新度","——",M6-O6)</f>
        <v>——</v>
      </c>
      <c r="Q6" s="743">
        <v>0.15</v>
      </c>
      <c r="R6" s="73">
        <f ca="1">SUMIF('数据-汇总表'!C$19:C$33,A6,'数据-汇总表'!R$19:R$27)</f>
        <v>7268.84</v>
      </c>
      <c r="S6" s="54">
        <f>IF('数据-汇总表'!$I$17="按面积比例",SUMIF('数据-汇总表'!C$19:C$33,A6,'数据-汇总表'!K$19:K$33),SUMIF('数据-汇总表'!C$19:C$33,A6,'数据-汇总表'!N$19:N$33))</f>
        <v>0</v>
      </c>
      <c r="T6" s="1287">
        <f>ROUND($L$14*S6/10000,0)</f>
        <v>0</v>
      </c>
      <c r="U6" s="3320">
        <v>6.2</v>
      </c>
      <c r="V6" s="75">
        <v>0.03</v>
      </c>
      <c r="W6" s="75">
        <v>0.1</v>
      </c>
      <c r="X6" s="1152"/>
      <c r="Y6" s="76">
        <f>N6</f>
        <v>0.81</v>
      </c>
      <c r="Z6" s="77"/>
      <c r="AA6" s="70"/>
      <c r="AB6" s="70"/>
      <c r="AC6" s="1152"/>
      <c r="AD6" s="78"/>
      <c r="AE6" s="1153">
        <f ca="1">IF(AN6="",0,SUMIF(INDIRECT("'"&amp;AN6&amp;"'"&amp;"!E:E"),$AE$5,INDIRECT("'"&amp;AN6&amp;"'"&amp;"!F:F")))</f>
        <v>33.1</v>
      </c>
      <c r="AF6" s="1483"/>
      <c r="AG6" s="143">
        <f>IF(AF6="",0,AE6-AF6)</f>
        <v>0</v>
      </c>
      <c r="AH6" s="79"/>
      <c r="AI6" s="81">
        <v>365</v>
      </c>
      <c r="AJ6" s="82"/>
      <c r="AK6" s="3297">
        <v>5.0000000000000001E-3</v>
      </c>
      <c r="AL6" s="3298">
        <v>1E-3</v>
      </c>
      <c r="AM6" s="3321">
        <v>1.4999999999999999E-2</v>
      </c>
      <c r="AN6" s="1852" t="s">
        <v>3196</v>
      </c>
      <c r="AO6" s="55">
        <f ca="1">SUMIF(INDIRECT("'"&amp;AN6&amp;"'"&amp;"!A:A"),"总价",INDIRECT("'"&amp;AN6&amp;"'"&amp;"!B:B"))</f>
        <v>184420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0.878</v>
      </c>
      <c r="H16" s="95">
        <f>ROUND(SUMPRODUCT(H6:H13,K6:K13)/SUMPRODUCT((H6:H13&gt;0)*(K6:K13)),3)</f>
        <v>0.05</v>
      </c>
      <c r="I16" s="96"/>
      <c r="J16" s="96"/>
      <c r="K16" s="97">
        <f>SUM(K6:K15)</f>
        <v>51394.390000000007</v>
      </c>
      <c r="L16" s="98">
        <f>ROUND(M16*10000/SUM(K6:K14),0)</f>
        <v>5000</v>
      </c>
      <c r="M16" s="98">
        <f>SUM(M6:M14)</f>
        <v>25697</v>
      </c>
      <c r="N16" s="99">
        <f>ROUND(SUMPRODUCT(M6:M14,N6:N14)/M16,3)</f>
        <v>0.81</v>
      </c>
      <c r="O16" s="98">
        <f>SUM(O6:O14)</f>
        <v>0</v>
      </c>
      <c r="P16" s="98">
        <f>SUM(P6:P14)</f>
        <v>0</v>
      </c>
      <c r="Q16" s="100">
        <f>ROUND(SUMPRODUCT(Q6:Q13,K6:K13)/SUMPRODUCT((Q6:Q13&gt;0)*(K6:K13)),2)</f>
        <v>0.15</v>
      </c>
      <c r="R16" s="1146">
        <f ca="1">SUM(R6:R13)</f>
        <v>7268.84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2804</v>
      </c>
      <c r="D20" s="2854"/>
      <c r="E20" s="2851"/>
      <c r="F20" s="2851"/>
      <c r="G20" s="2851"/>
      <c r="H20" s="2851"/>
      <c r="I20" s="2851"/>
      <c r="J20" s="2851"/>
      <c r="K20" s="2850"/>
      <c r="L20" s="2850"/>
      <c r="M20" s="2849"/>
      <c r="N20" s="2849">
        <v>2008</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f>ROUND(1-(2022-N20)/60,2)</f>
        <v>0.77</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v>0.85</v>
      </c>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f>ROUND((N21+N22)/2,2)</f>
        <v>0.81</v>
      </c>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f ca="1">结果表!G19</f>
        <v>244092</v>
      </c>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1028</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3200</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18</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441</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424" t="s">
        <v>2787</v>
      </c>
      <c r="B1" s="3425"/>
      <c r="C1" s="3425"/>
      <c r="D1" s="3425"/>
      <c r="E1" s="3425"/>
      <c r="F1" s="3425"/>
      <c r="G1" s="342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51394.390000000007</v>
      </c>
      <c r="C1" s="2864"/>
      <c r="D1" s="2864"/>
      <c r="E1" s="2864"/>
      <c r="F1" s="2864"/>
      <c r="G1" s="2865"/>
      <c r="H1" s="2866"/>
      <c r="I1" s="2866"/>
      <c r="J1" s="2866"/>
      <c r="K1" s="2866"/>
    </row>
    <row r="2" spans="1:11" ht="16.5">
      <c r="A2" s="2687" t="s">
        <v>1078</v>
      </c>
      <c r="B2" s="2687">
        <f>SUM(C14:C23)</f>
        <v>7268.84</v>
      </c>
      <c r="C2" s="2864"/>
      <c r="D2" s="2864"/>
      <c r="E2" s="2864"/>
      <c r="F2" s="2864"/>
      <c r="G2" s="2865"/>
      <c r="H2" s="2866"/>
      <c r="I2" s="2866"/>
      <c r="J2" s="2866"/>
      <c r="K2" s="2866"/>
    </row>
    <row r="3" spans="1:11" ht="16.5">
      <c r="A3" s="2687" t="s">
        <v>1087</v>
      </c>
      <c r="B3" s="2689">
        <f>项目基本情况!D3</f>
        <v>44902</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244092</v>
      </c>
      <c r="C5" s="2687">
        <f ca="1">ROUND(B5*10000/$B$1,0)</f>
        <v>47494</v>
      </c>
      <c r="D5" s="2687">
        <f ca="1">ROUND(B5*10000/$B$2,0)</f>
        <v>335806</v>
      </c>
      <c r="E5" s="2864"/>
      <c r="F5" s="2865"/>
      <c r="G5" s="2865"/>
      <c r="H5" s="2866"/>
      <c r="I5" s="2866"/>
      <c r="J5" s="2866"/>
      <c r="K5" s="2866"/>
    </row>
    <row r="6" spans="1:11" ht="16.5">
      <c r="A6" s="2687" t="s">
        <v>1081</v>
      </c>
      <c r="B6" s="2687">
        <f ca="1">SUM(G14:G23)</f>
        <v>244092</v>
      </c>
      <c r="C6" s="2687">
        <f ca="1">ROUND(B6*10000/$B$1,0)</f>
        <v>47494</v>
      </c>
      <c r="D6" s="2687">
        <f ca="1">ROUND(B6*10000/$B$2,0)</f>
        <v>335806</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51394.390000000007</v>
      </c>
      <c r="C14" s="2693">
        <f>结果表!C118</f>
        <v>7268.84</v>
      </c>
      <c r="D14" s="2693">
        <f ca="1">结果表!H118</f>
        <v>244092</v>
      </c>
      <c r="E14" s="2693">
        <f ca="1">ROUND(D14*10000/B14,0)</f>
        <v>47494</v>
      </c>
      <c r="F14" s="2693">
        <f ca="1">ROUND(D14*10000/C14,0)</f>
        <v>335806</v>
      </c>
      <c r="G14" s="2693">
        <f ca="1">结果表!D122</f>
        <v>244092</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85" zoomScaleNormal="100" zoomScaleSheetLayoutView="85" zoomScalePageLayoutView="80" workbookViewId="0">
      <selection activeCell="C107" sqref="C10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96" t="str">
        <f>项目基本情况!S2</f>
        <v>北京市房地产</v>
      </c>
      <c r="B2" s="3497"/>
      <c r="C2" s="3497"/>
      <c r="D2" s="3497"/>
      <c r="E2" s="3497"/>
      <c r="F2" s="3497"/>
      <c r="G2" s="3497"/>
      <c r="H2" s="3497"/>
      <c r="I2" s="3498"/>
    </row>
    <row r="3" spans="1:12" ht="12.75">
      <c r="A3" s="3500" t="s">
        <v>1709</v>
      </c>
      <c r="B3" s="3501"/>
      <c r="C3" s="3501"/>
      <c r="D3" s="3501"/>
      <c r="E3" s="3501"/>
      <c r="F3" s="3501"/>
      <c r="G3" s="3501"/>
      <c r="H3" s="3501"/>
      <c r="I3" s="3501"/>
    </row>
    <row r="4" spans="1:12" ht="14.25">
      <c r="A4" s="1891" t="s">
        <v>1710</v>
      </c>
      <c r="B4" s="1892" t="s">
        <v>1711</v>
      </c>
      <c r="C4" s="1893" t="s">
        <v>3416</v>
      </c>
      <c r="D4" s="1893" t="s">
        <v>3196</v>
      </c>
      <c r="E4" s="3505" t="s">
        <v>1712</v>
      </c>
      <c r="F4" s="3506"/>
      <c r="G4" s="3506"/>
      <c r="H4" s="3506"/>
      <c r="I4" s="350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41" t="s">
        <v>1713</v>
      </c>
      <c r="B5" s="3499">
        <v>25</v>
      </c>
      <c r="C5" s="3502"/>
      <c r="D5" s="3490"/>
      <c r="E5" s="136" t="s">
        <v>1714</v>
      </c>
      <c r="F5" s="1894"/>
      <c r="G5" s="1894"/>
      <c r="H5" s="1894"/>
      <c r="I5" s="1508"/>
    </row>
    <row r="6" spans="1:12" ht="12.75">
      <c r="A6" s="3441"/>
      <c r="B6" s="3499"/>
      <c r="C6" s="3504"/>
      <c r="D6" s="3490"/>
      <c r="E6" s="136" t="s">
        <v>1715</v>
      </c>
      <c r="F6" s="1894"/>
      <c r="G6" s="1894"/>
      <c r="H6" s="1894"/>
      <c r="I6" s="1508"/>
    </row>
    <row r="7" spans="1:12" ht="12.75">
      <c r="A7" s="3441"/>
      <c r="B7" s="3499"/>
      <c r="C7" s="3503"/>
      <c r="D7" s="3490"/>
      <c r="E7" s="136" t="s">
        <v>1716</v>
      </c>
      <c r="F7" s="1894"/>
      <c r="G7" s="1894"/>
      <c r="H7" s="1894"/>
      <c r="I7" s="1508"/>
    </row>
    <row r="8" spans="1:12" ht="12.75">
      <c r="A8" s="3441" t="s">
        <v>1717</v>
      </c>
      <c r="B8" s="3499">
        <v>15</v>
      </c>
      <c r="C8" s="3502"/>
      <c r="D8" s="3490"/>
      <c r="E8" s="136" t="s">
        <v>1718</v>
      </c>
      <c r="F8" s="1894"/>
      <c r="G8" s="1894"/>
      <c r="H8" s="1894"/>
      <c r="I8" s="1508"/>
    </row>
    <row r="9" spans="1:12" ht="12.75">
      <c r="A9" s="3441"/>
      <c r="B9" s="3499"/>
      <c r="C9" s="3503"/>
      <c r="D9" s="3490"/>
      <c r="E9" s="136" t="s">
        <v>1719</v>
      </c>
      <c r="F9" s="1894"/>
      <c r="G9" s="1894"/>
      <c r="H9" s="1894"/>
      <c r="I9" s="1508"/>
    </row>
    <row r="10" spans="1:12" ht="12.75">
      <c r="A10" s="3441" t="s">
        <v>1720</v>
      </c>
      <c r="B10" s="3499">
        <v>15</v>
      </c>
      <c r="C10" s="3502"/>
      <c r="D10" s="3490"/>
      <c r="E10" s="136" t="s">
        <v>1721</v>
      </c>
      <c r="F10" s="1894"/>
      <c r="G10" s="1894"/>
      <c r="H10" s="1894"/>
      <c r="I10" s="1508"/>
    </row>
    <row r="11" spans="1:12" ht="12.75">
      <c r="A11" s="3441"/>
      <c r="B11" s="3499"/>
      <c r="C11" s="3503"/>
      <c r="D11" s="3490"/>
      <c r="E11" s="136" t="s">
        <v>1722</v>
      </c>
      <c r="F11" s="1894"/>
      <c r="G11" s="1894"/>
      <c r="H11" s="1894"/>
      <c r="I11" s="1508"/>
    </row>
    <row r="12" spans="1:12" ht="12.75">
      <c r="A12" s="3441" t="s">
        <v>1723</v>
      </c>
      <c r="B12" s="3499">
        <v>15</v>
      </c>
      <c r="C12" s="3502"/>
      <c r="D12" s="3490"/>
      <c r="E12" s="136" t="s">
        <v>1724</v>
      </c>
      <c r="F12" s="1894"/>
      <c r="G12" s="1894"/>
      <c r="H12" s="1894"/>
      <c r="I12" s="1508"/>
    </row>
    <row r="13" spans="1:12" ht="12.75">
      <c r="A13" s="3441"/>
      <c r="B13" s="3499"/>
      <c r="C13" s="3503"/>
      <c r="D13" s="3490"/>
      <c r="E13" s="136" t="s">
        <v>1725</v>
      </c>
      <c r="F13" s="1894"/>
      <c r="G13" s="1894"/>
      <c r="H13" s="1894"/>
      <c r="I13" s="1508"/>
    </row>
    <row r="14" spans="1:12" ht="12.75">
      <c r="A14" s="3441" t="s">
        <v>1726</v>
      </c>
      <c r="B14" s="3499">
        <v>30</v>
      </c>
      <c r="C14" s="3502">
        <v>7</v>
      </c>
      <c r="D14" s="3490">
        <v>3</v>
      </c>
      <c r="E14" s="136" t="s">
        <v>1727</v>
      </c>
      <c r="F14" s="1894"/>
      <c r="G14" s="1894"/>
      <c r="H14" s="1894"/>
      <c r="I14" s="1508"/>
    </row>
    <row r="15" spans="1:12" ht="12.75">
      <c r="A15" s="3441"/>
      <c r="B15" s="3499"/>
      <c r="C15" s="3504"/>
      <c r="D15" s="3490"/>
      <c r="E15" s="136" t="s">
        <v>1728</v>
      </c>
      <c r="F15" s="1894"/>
      <c r="G15" s="1894"/>
      <c r="H15" s="1894"/>
      <c r="I15" s="1508"/>
    </row>
    <row r="16" spans="1:12" ht="12.75">
      <c r="A16" s="3441"/>
      <c r="B16" s="3499"/>
      <c r="C16" s="3503"/>
      <c r="D16" s="3490"/>
      <c r="E16" s="136" t="s">
        <v>1729</v>
      </c>
      <c r="F16" s="1894"/>
      <c r="G16" s="1894"/>
      <c r="H16" s="1894"/>
      <c r="I16" s="1508"/>
    </row>
    <row r="17" spans="1:36" ht="15">
      <c r="A17" s="1895" t="s">
        <v>1730</v>
      </c>
      <c r="B17" s="60"/>
      <c r="C17" s="137">
        <f>SUM(C5:C16)</f>
        <v>7</v>
      </c>
      <c r="D17" s="137">
        <f>SUM(D5:D16)</f>
        <v>3</v>
      </c>
      <c r="E17" s="134"/>
      <c r="F17" s="134"/>
      <c r="G17" s="134"/>
      <c r="H17" s="134"/>
      <c r="I17" s="134"/>
      <c r="K17" s="308"/>
      <c r="L17" s="308" t="s">
        <v>1731</v>
      </c>
      <c r="M17" s="308" t="s">
        <v>1732</v>
      </c>
    </row>
    <row r="18" spans="1:36" ht="31.9" customHeight="1" thickBot="1">
      <c r="A18" s="1896" t="s">
        <v>1733</v>
      </c>
      <c r="B18" s="1897"/>
      <c r="C18" s="138">
        <f>ROUND(C17/SUM(C17:D17),2)</f>
        <v>0.7</v>
      </c>
      <c r="D18" s="138">
        <f>1-C18</f>
        <v>0.30000000000000004</v>
      </c>
      <c r="E18" s="3521" t="s">
        <v>2632</v>
      </c>
      <c r="F18" s="3522"/>
      <c r="G18" s="3522"/>
      <c r="H18" s="3522"/>
      <c r="I18" s="3522"/>
      <c r="K18" s="308" t="s">
        <v>1734</v>
      </c>
      <c r="L18" s="308">
        <f>IF(C1="",'数据-汇总表'!E3,SUMIF(项目类型,C1,'数据-汇总表'!E17:E26)+SUMIF(项目类型,C1,'数据-汇总表'!I17:I26))</f>
        <v>51394.390000000007</v>
      </c>
      <c r="M18" s="308">
        <f>IF(C1="",'数据-汇总表'!E3,SUMIF(项目类型,C1,'数据-汇总表'!E17:E26))</f>
        <v>51394.390000000007</v>
      </c>
    </row>
    <row r="19" spans="1:36" ht="15">
      <c r="A19" s="1898" t="s">
        <v>1735</v>
      </c>
      <c r="B19" s="1899" t="s">
        <v>1736</v>
      </c>
      <c r="C19" s="139">
        <f ca="1">SUMIF(INDIRECT("'"&amp;C4&amp;"'"&amp;"!A:A"),结果表!B19,INDIRECT("'"&amp;C4&amp;"'"&amp;"!B:B"))</f>
        <v>269666</v>
      </c>
      <c r="D19" s="140">
        <f ca="1">SUMIF(INDIRECT("'"&amp;D4&amp;"'"&amp;"!A:A"),结果表!B19,INDIRECT("'"&amp;D4&amp;"'"&amp;"!B:B"))</f>
        <v>184420</v>
      </c>
      <c r="E19" s="1898" t="s">
        <v>1737</v>
      </c>
      <c r="F19" s="1899" t="s">
        <v>1736</v>
      </c>
      <c r="G19" s="141">
        <f ca="1">ROUND(C19*$C$18+D19*$D$18,0)</f>
        <v>244092</v>
      </c>
      <c r="H19" s="1900" t="s">
        <v>1738</v>
      </c>
      <c r="I19" s="134"/>
      <c r="K19" s="308" t="s">
        <v>1739</v>
      </c>
      <c r="L19" s="308">
        <f>IF(C1="",'数据-汇总表'!D3,SUMIF(项目类型,C1,'数据-汇总表'!D17:D26)+SUMIF(项目类型,C1,'数据-汇总表'!H17:H27))</f>
        <v>7268.84</v>
      </c>
      <c r="M19" s="308">
        <f>IF(C1="",'数据-汇总表'!D3,SUMIF(项目类型,C1,'数据-汇总表'!D17:D26))</f>
        <v>7268.84</v>
      </c>
    </row>
    <row r="20" spans="1:36" ht="15">
      <c r="A20" s="1901"/>
      <c r="B20" s="1138" t="s">
        <v>1740</v>
      </c>
      <c r="C20" s="142">
        <f ca="1">SUMIF(INDIRECT("'"&amp;C4&amp;"'"&amp;"!A:A"),结果表!B20,INDIRECT("'"&amp;C4&amp;"'"&amp;"!B:B"))</f>
        <v>52470</v>
      </c>
      <c r="D20" s="143">
        <f ca="1">SUMIF(INDIRECT("'"&amp;D4&amp;"'"&amp;"!A:A"),结果表!B20,INDIRECT("'"&amp;D4&amp;"'"&amp;"!B:B"))</f>
        <v>35883</v>
      </c>
      <c r="E20" s="1901"/>
      <c r="F20" s="1138" t="s">
        <v>1740</v>
      </c>
      <c r="G20" s="144">
        <f ca="1">ROUND(C20*$C$18+D20*$D$18,0)</f>
        <v>47494</v>
      </c>
      <c r="H20" s="898" t="s">
        <v>1741</v>
      </c>
      <c r="I20" s="134"/>
    </row>
    <row r="21" spans="1:36" ht="15" customHeight="1" thickBot="1">
      <c r="A21" s="918"/>
      <c r="B21" s="1902" t="s">
        <v>1742</v>
      </c>
      <c r="C21" s="728">
        <f ca="1">ROUND(C19*10000/L19,0)</f>
        <v>370989</v>
      </c>
      <c r="D21" s="729">
        <f ca="1">ROUND(D19*10000/L19,0)</f>
        <v>253713</v>
      </c>
      <c r="E21" s="918"/>
      <c r="F21" s="1902" t="s">
        <v>1742</v>
      </c>
      <c r="G21" s="145">
        <f ca="1">ROUND(G19*10000/L19,0)</f>
        <v>335806</v>
      </c>
      <c r="H21" s="1903" t="s">
        <v>1741</v>
      </c>
      <c r="I21" s="134"/>
    </row>
    <row r="22" spans="1:36" ht="15" thickBot="1">
      <c r="A22" s="1825" t="s">
        <v>1743</v>
      </c>
      <c r="B22" s="1904"/>
      <c r="C22" s="1905"/>
      <c r="D22" s="730">
        <f ca="1">IF(C19&lt;D19,D19/C19-1,C19/D19-1)</f>
        <v>0.46223836894046189</v>
      </c>
      <c r="E22" s="134"/>
      <c r="F22" s="134"/>
      <c r="G22" s="134"/>
      <c r="H22" s="134"/>
      <c r="I22" s="134"/>
    </row>
    <row r="23" spans="1:36" ht="13.5" thickBot="1">
      <c r="A23" s="1884"/>
      <c r="B23" s="1884"/>
      <c r="C23" s="1884"/>
      <c r="D23" s="1884"/>
      <c r="E23" s="134"/>
      <c r="F23" s="134"/>
      <c r="G23" s="134"/>
      <c r="H23" s="134"/>
      <c r="I23" s="134"/>
    </row>
    <row r="24" spans="1:36" ht="14.25">
      <c r="A24" s="3514" t="s">
        <v>1744</v>
      </c>
      <c r="B24" s="1899" t="s">
        <v>1736</v>
      </c>
      <c r="C24" s="141">
        <f>IF(B30=0,0,D30)</f>
        <v>0</v>
      </c>
      <c r="D24" s="1906"/>
      <c r="E24" s="134"/>
      <c r="F24" s="134"/>
      <c r="G24" s="134"/>
      <c r="H24" s="134"/>
      <c r="I24" s="134"/>
      <c r="K24" s="734">
        <v>60000</v>
      </c>
      <c r="L24" s="734">
        <v>40000</v>
      </c>
    </row>
    <row r="25" spans="1:36" ht="14.25">
      <c r="A25" s="3515"/>
      <c r="B25" s="1138" t="s">
        <v>1740</v>
      </c>
      <c r="C25" s="146">
        <f>IF(B30=0,0,C30)</f>
        <v>0</v>
      </c>
      <c r="D25" s="1907"/>
      <c r="E25" s="134"/>
      <c r="F25" s="134"/>
      <c r="G25" s="134"/>
      <c r="H25" s="134"/>
      <c r="I25" s="134"/>
      <c r="K25" s="734">
        <v>0.6</v>
      </c>
      <c r="L25" s="734">
        <v>0.4</v>
      </c>
    </row>
    <row r="26" spans="1:36" ht="13.5" customHeight="1">
      <c r="A26" s="1908" t="s">
        <v>1745</v>
      </c>
      <c r="B26" s="147" t="s">
        <v>1746</v>
      </c>
      <c r="C26" s="147" t="s">
        <v>1747</v>
      </c>
      <c r="D26" s="148" t="s">
        <v>1748</v>
      </c>
      <c r="E26" s="134"/>
      <c r="F26" s="134"/>
      <c r="G26" s="134"/>
      <c r="H26" s="134"/>
      <c r="I26" s="134"/>
      <c r="K26" s="734">
        <f>K24*K25</f>
        <v>36000</v>
      </c>
      <c r="L26" s="734">
        <f>L24*L25</f>
        <v>16000</v>
      </c>
      <c r="M26" s="734">
        <f>K26+L26</f>
        <v>52000</v>
      </c>
    </row>
    <row r="27" spans="1:36" ht="14.25">
      <c r="A27" s="1908"/>
      <c r="B27" s="147">
        <v>0</v>
      </c>
      <c r="C27" s="147">
        <v>0</v>
      </c>
      <c r="D27" s="148">
        <f>ROUND(C27*B27/10000,0)</f>
        <v>0</v>
      </c>
      <c r="E27" s="134"/>
      <c r="F27" s="134"/>
      <c r="G27" s="134"/>
      <c r="H27" s="134"/>
      <c r="I27" s="134"/>
      <c r="M27" s="734">
        <f>M26*L18/10000</f>
        <v>267250.82800000004</v>
      </c>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1750</v>
      </c>
      <c r="B32" s="1911"/>
      <c r="C32" s="149">
        <f ca="1">IF(D32="总价",G19-C24,G20-C25)</f>
        <v>244092</v>
      </c>
      <c r="D32" s="1912" t="s">
        <v>3225</v>
      </c>
      <c r="E32" s="134"/>
      <c r="F32" s="134"/>
      <c r="G32" s="134"/>
      <c r="H32" s="134"/>
      <c r="I32" s="134"/>
    </row>
    <row r="33" spans="1:15" ht="15">
      <c r="A33" s="875" t="s">
        <v>1751</v>
      </c>
      <c r="B33" s="1913"/>
      <c r="C33" s="1914" t="s">
        <v>3226</v>
      </c>
      <c r="D33" s="1915" t="s">
        <v>3204</v>
      </c>
      <c r="E33" s="1916" t="s">
        <v>1752</v>
      </c>
      <c r="F33" s="1917" t="str">
        <f>IF(D32="楼面单价","取值（单价）","取值（总价）")</f>
        <v>取值（总价）</v>
      </c>
      <c r="G33" s="134"/>
      <c r="H33" s="134"/>
      <c r="I33" s="134"/>
    </row>
    <row r="34" spans="1:15" ht="15">
      <c r="A34" s="1918"/>
      <c r="B34" s="1919" t="s">
        <v>1753</v>
      </c>
      <c r="C34" s="153">
        <f ca="1">IF(C33="自定义",F34,C32-C35)</f>
        <v>204549</v>
      </c>
      <c r="D34" s="951">
        <f ca="1">IF(C33="自定义",ROUND(C34/C32,3),IF(C33="收益比率",SUMIF(INDIRECT("'"&amp;D33&amp;"'"&amp;"!b:b"),"土地收益比率",INDIRECT("'"&amp;D33&amp;"'"&amp;"!c:c")),SUMIF(INDIRECT("'"&amp;D33&amp;"'"&amp;"!b:b"),"土地成本比率",INDIRECT("'"&amp;D33&amp;"'"&amp;"!c:c"))))</f>
        <v>0.83799999999999997</v>
      </c>
      <c r="E34" s="1920" t="s">
        <v>1754</v>
      </c>
      <c r="F34" s="1451"/>
      <c r="G34" s="134"/>
      <c r="H34" s="134"/>
      <c r="I34" s="134"/>
    </row>
    <row r="35" spans="1:15" ht="15.75" thickBot="1">
      <c r="A35" s="1921"/>
      <c r="B35" s="1922" t="s">
        <v>1755</v>
      </c>
      <c r="C35" s="1285">
        <f ca="1">IF(C33="自定义",F35,ROUND(C32*D35,0))</f>
        <v>39543</v>
      </c>
      <c r="D35" s="1286">
        <f ca="1">IF(C33="自定义",ROUND(C35/C32,3),IF(C33="收益比率",SUMIF(INDIRECT("'"&amp;D33&amp;"'"&amp;"!b:b"),"建筑物收益比率",INDIRECT("'"&amp;D33&amp;"'"&amp;"!c:c")),SUMIF(INDIRECT("'"&amp;D33&amp;"'"&amp;"!b:b"),"建筑物成本比率",INDIRECT("'"&amp;D33&amp;"'"&amp;"!c:c"))))</f>
        <v>0.16200000000000001</v>
      </c>
      <c r="E35" s="1923" t="s">
        <v>1756</v>
      </c>
      <c r="F35" s="159"/>
      <c r="G35" s="134"/>
      <c r="H35" s="134"/>
      <c r="I35" s="134"/>
    </row>
    <row r="36" spans="1:15" ht="15.75" thickBot="1">
      <c r="A36" s="3491" t="s">
        <v>1757</v>
      </c>
      <c r="B36" s="1924" t="s">
        <v>1758</v>
      </c>
      <c r="C36" s="150"/>
      <c r="D36" s="1925"/>
      <c r="E36" s="1926"/>
      <c r="F36" s="1927"/>
      <c r="G36" s="134"/>
      <c r="H36" s="134"/>
      <c r="I36" s="134"/>
    </row>
    <row r="37" spans="1:15" ht="15.75" thickBot="1">
      <c r="A37" s="3492"/>
      <c r="B37" s="1811" t="s">
        <v>1759</v>
      </c>
      <c r="C37" s="152"/>
      <c r="D37" s="1254"/>
      <c r="E37" s="1254"/>
      <c r="F37" s="1927"/>
      <c r="G37" s="134"/>
      <c r="H37" s="134"/>
      <c r="I37" s="134"/>
    </row>
    <row r="38" spans="1:15" ht="15.75" thickBot="1">
      <c r="A38" s="349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511" t="s">
        <v>1771</v>
      </c>
      <c r="B45" s="3512"/>
      <c r="C45" s="3513"/>
      <c r="D45" s="160">
        <f ca="1">ROUND(H101*F45,0)</f>
        <v>244092</v>
      </c>
      <c r="E45" s="161" t="s">
        <v>1772</v>
      </c>
      <c r="F45" s="162">
        <v>1</v>
      </c>
      <c r="G45" s="163" t="s">
        <v>1773</v>
      </c>
      <c r="H45" s="134"/>
      <c r="I45" s="134"/>
      <c r="J45" s="3428" t="s">
        <v>1774</v>
      </c>
      <c r="K45" s="3428"/>
      <c r="L45" s="3428"/>
      <c r="M45" s="3428"/>
      <c r="N45" s="3428"/>
      <c r="O45" s="3428"/>
    </row>
    <row r="46" spans="1:15" ht="14.25" customHeight="1">
      <c r="A46" s="3508" t="s">
        <v>1775</v>
      </c>
      <c r="B46" s="3509"/>
      <c r="C46" s="3509"/>
      <c r="D46" s="3509"/>
      <c r="E46" s="3509"/>
      <c r="F46" s="3509"/>
      <c r="G46" s="3510"/>
      <c r="H46" s="1943"/>
      <c r="I46" s="164"/>
      <c r="J46" s="2698">
        <v>1</v>
      </c>
      <c r="K46" s="3429" t="s">
        <v>1776</v>
      </c>
      <c r="L46" s="3429"/>
      <c r="M46" s="3430"/>
      <c r="N46" s="3430"/>
      <c r="O46" s="3430"/>
    </row>
    <row r="47" spans="1:15" ht="12" customHeight="1">
      <c r="A47" s="165" t="s">
        <v>1777</v>
      </c>
      <c r="B47" s="166"/>
      <c r="C47" s="167"/>
      <c r="D47" s="1200" t="s">
        <v>1778</v>
      </c>
      <c r="E47" s="308" t="s">
        <v>1779</v>
      </c>
      <c r="F47" s="168" t="s">
        <v>1780</v>
      </c>
      <c r="G47" s="2721" t="s">
        <v>1781</v>
      </c>
      <c r="H47" s="2722"/>
      <c r="I47" s="164"/>
      <c r="J47" s="2698">
        <v>2</v>
      </c>
      <c r="K47" s="3429" t="s">
        <v>1782</v>
      </c>
      <c r="L47" s="3429"/>
      <c r="M47" s="3431">
        <f>'数据-取费表'!B2</f>
        <v>44902</v>
      </c>
      <c r="N47" s="3431"/>
      <c r="O47" s="3431"/>
    </row>
    <row r="48" spans="1:15" ht="25.5">
      <c r="A48" s="3494" t="s">
        <v>1783</v>
      </c>
      <c r="B48" s="3495"/>
      <c r="C48" s="3495"/>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3"/>
      <c r="J48" s="2698">
        <v>3</v>
      </c>
      <c r="K48" s="3429" t="s">
        <v>1785</v>
      </c>
      <c r="L48" s="3429"/>
      <c r="M48" s="3432">
        <f ca="1">H101</f>
        <v>244092</v>
      </c>
      <c r="N48" s="3432"/>
      <c r="O48" s="3432"/>
    </row>
    <row r="49" spans="1:35" ht="25.5" customHeight="1">
      <c r="A49" s="2506" t="s">
        <v>1786</v>
      </c>
      <c r="B49" s="3477" t="s">
        <v>1787</v>
      </c>
      <c r="C49" s="3477"/>
      <c r="D49" s="1726">
        <v>0</v>
      </c>
      <c r="E49" s="330" t="s">
        <v>1788</v>
      </c>
      <c r="F49" s="2599" t="s">
        <v>34</v>
      </c>
      <c r="G49" s="3460"/>
      <c r="H49" s="2478" t="s">
        <v>2635</v>
      </c>
      <c r="I49" s="2479"/>
      <c r="J49" s="2698">
        <v>4</v>
      </c>
      <c r="K49" s="3429" t="str">
        <f>IF(项目基本情况!E8="房地产抵押价值","房地产抵押价值","抵押担保权已注销时的房地产抵押价值")</f>
        <v>抵押担保权已注销时的房地产抵押价值</v>
      </c>
      <c r="L49" s="3429"/>
      <c r="M49" s="3432" t="str">
        <f>IF(项目基本情况!E8="房地产抵押价值",H107,H109)</f>
        <v>——</v>
      </c>
      <c r="N49" s="3432"/>
      <c r="O49" s="3432"/>
    </row>
    <row r="50" spans="1:35" ht="25.5" customHeight="1">
      <c r="A50" s="2726"/>
      <c r="B50" s="3477" t="s">
        <v>1789</v>
      </c>
      <c r="C50" s="3477"/>
      <c r="D50" s="2727"/>
      <c r="E50" s="338"/>
      <c r="F50" s="2599"/>
      <c r="G50" s="3461"/>
      <c r="H50" s="2480" t="s">
        <v>2636</v>
      </c>
      <c r="I50" s="2479"/>
      <c r="J50" s="3428" t="s">
        <v>1790</v>
      </c>
      <c r="K50" s="3428"/>
      <c r="L50" s="3428"/>
      <c r="M50" s="3428"/>
      <c r="N50" s="3428"/>
      <c r="O50" s="3428"/>
    </row>
    <row r="51" spans="1:35" ht="20.45" customHeight="1">
      <c r="A51" s="2728"/>
      <c r="B51" s="3477" t="s">
        <v>1791</v>
      </c>
      <c r="C51" s="3477"/>
      <c r="D51" s="1200"/>
      <c r="E51" s="333"/>
      <c r="F51" s="2599"/>
      <c r="G51" s="3462"/>
      <c r="H51" s="2480" t="s">
        <v>2637</v>
      </c>
      <c r="I51" s="2479"/>
      <c r="J51" s="2699" t="s">
        <v>1792</v>
      </c>
      <c r="K51" s="3429" t="s">
        <v>1793</v>
      </c>
      <c r="L51" s="3429"/>
      <c r="M51" s="2699" t="s">
        <v>1794</v>
      </c>
      <c r="N51" s="2699" t="s">
        <v>1795</v>
      </c>
      <c r="O51" s="2699" t="s">
        <v>1796</v>
      </c>
    </row>
    <row r="52" spans="1:35" ht="24" customHeight="1">
      <c r="A52" s="2508" t="s">
        <v>1797</v>
      </c>
      <c r="B52" s="3477" t="s">
        <v>1798</v>
      </c>
      <c r="C52" s="3477"/>
      <c r="D52" s="1200">
        <f ca="1">ROUND(D45*'数据-取费表'!B41/(1+'数据-取费表'!C42),0)</f>
        <v>13018</v>
      </c>
      <c r="E52" s="2507" t="s">
        <v>1799</v>
      </c>
      <c r="F52" s="2729">
        <f>'数据-取费表'!B41</f>
        <v>5.6000000000000001E-2</v>
      </c>
      <c r="G52" s="2730"/>
      <c r="H52" s="2719"/>
      <c r="I52" s="1944"/>
      <c r="J52" s="2698">
        <v>1</v>
      </c>
      <c r="K52" s="3454" t="s">
        <v>1800</v>
      </c>
      <c r="L52" s="3454"/>
      <c r="M52" s="2700" t="b">
        <f>D48</f>
        <v>0</v>
      </c>
      <c r="N52" s="2698" t="str">
        <f>E48</f>
        <v>销售额×税（费）率</v>
      </c>
      <c r="O52" s="2701">
        <f>F48</f>
        <v>5.6000000000000001E-2</v>
      </c>
    </row>
    <row r="53" spans="1:35" ht="12" customHeight="1">
      <c r="A53" s="2508" t="s">
        <v>1801</v>
      </c>
      <c r="B53" s="3478" t="s">
        <v>2792</v>
      </c>
      <c r="C53" s="3479"/>
      <c r="D53" s="1200">
        <f ca="1">ROUND(D45*'数据-取费表'!B41/(1+'数据-取费表'!C42),0)</f>
        <v>13018</v>
      </c>
      <c r="E53" s="2507" t="s">
        <v>1799</v>
      </c>
      <c r="F53" s="2729">
        <f>'数据-取费表'!B41</f>
        <v>5.6000000000000001E-2</v>
      </c>
      <c r="G53" s="2730"/>
      <c r="H53" s="2719"/>
      <c r="I53" s="1944"/>
      <c r="J53" s="2698">
        <v>2</v>
      </c>
      <c r="K53" s="3454" t="s">
        <v>1802</v>
      </c>
      <c r="L53" s="3454"/>
      <c r="M53" s="2700">
        <f t="shared" ref="M53:O54" ca="1" si="0">D55</f>
        <v>122</v>
      </c>
      <c r="N53" s="2698" t="str">
        <f t="shared" si="0"/>
        <v>销售额×税（费）率</v>
      </c>
      <c r="O53" s="2701" t="str">
        <f t="shared" si="0"/>
        <v>免征</v>
      </c>
    </row>
    <row r="54" spans="1:35" ht="12" customHeight="1">
      <c r="A54" s="2508" t="s">
        <v>1803</v>
      </c>
      <c r="B54" s="3478" t="s">
        <v>2793</v>
      </c>
      <c r="C54" s="3479"/>
      <c r="D54" s="1200">
        <f ca="1">C68</f>
        <v>13018</v>
      </c>
      <c r="E54" s="333" t="s">
        <v>1804</v>
      </c>
      <c r="F54" s="2729">
        <f>'数据-取费表'!B41</f>
        <v>5.6000000000000001E-2</v>
      </c>
      <c r="G54" s="2730"/>
      <c r="H54" s="2731"/>
      <c r="I54" s="1944"/>
      <c r="J54" s="2698">
        <v>3</v>
      </c>
      <c r="K54" s="3454" t="s">
        <v>1805</v>
      </c>
      <c r="L54" s="3454"/>
      <c r="M54" s="2700">
        <f t="shared" ca="1" si="0"/>
        <v>138156</v>
      </c>
      <c r="N54" s="2698" t="str">
        <f t="shared" si="0"/>
        <v>增值额×税（费）率</v>
      </c>
      <c r="O54" s="2702" t="str">
        <f t="shared" si="0"/>
        <v>免征</v>
      </c>
    </row>
    <row r="55" spans="1:35" ht="24" customHeight="1">
      <c r="A55" s="3517" t="s">
        <v>1806</v>
      </c>
      <c r="B55" s="3495"/>
      <c r="C55" s="3495"/>
      <c r="D55" s="2497">
        <f ca="1">IF(H55="个人住宅",0,ROUND(D45*I55,0))</f>
        <v>122</v>
      </c>
      <c r="E55" s="2507" t="s">
        <v>1807</v>
      </c>
      <c r="F55" s="2729" t="str">
        <f>IF(H55="正常",I55,"免征")</f>
        <v>免征</v>
      </c>
      <c r="G55" s="2730"/>
      <c r="H55" s="2725"/>
      <c r="I55" s="170">
        <f>'数据-取费表'!B49</f>
        <v>5.0000000000000001E-4</v>
      </c>
      <c r="J55" s="2698">
        <f>IF(H59="非个人房产","",4)</f>
        <v>4</v>
      </c>
      <c r="K55" s="3454" t="str">
        <f>IF(H59="非个人房产","——","个人所得税")</f>
        <v>个人所得税</v>
      </c>
      <c r="L55" s="3454"/>
      <c r="M55" s="2703">
        <f ca="1">D59</f>
        <v>2325</v>
      </c>
      <c r="N55" s="2178" t="str">
        <f>E59</f>
        <v>差额计税</v>
      </c>
      <c r="O55" s="2704">
        <f>F59</f>
        <v>0.01</v>
      </c>
    </row>
    <row r="56" spans="1:35" ht="24.75">
      <c r="A56" s="3517" t="s">
        <v>1808</v>
      </c>
      <c r="B56" s="3495"/>
      <c r="C56" s="3495"/>
      <c r="D56" s="2497">
        <f ca="1">IF(H56="个人住宅",D57,D58)</f>
        <v>138156</v>
      </c>
      <c r="E56" s="2507" t="s">
        <v>1809</v>
      </c>
      <c r="F56" s="2729" t="str">
        <f>IF(H56="正常",F58,"免征")</f>
        <v>免征</v>
      </c>
      <c r="G56" s="2732" t="s">
        <v>1810</v>
      </c>
      <c r="H56" s="2733"/>
      <c r="I56" s="1945"/>
      <c r="J56" s="2698" t="str">
        <f>IF(项目基本情况!K6="上海银行",IF(J55="",4,J55+1),"")</f>
        <v/>
      </c>
      <c r="K56" s="3435" t="str">
        <f>IF(项目基本情况!K6="上海银行","其他处置费用","")</f>
        <v/>
      </c>
      <c r="L56" s="3436"/>
      <c r="M56" s="2700" t="str">
        <f>IF(项目基本情况!K6="上海银行",M69,"")</f>
        <v/>
      </c>
      <c r="N56" s="3435" t="str">
        <f>IF(项目基本情况!K6="上海银行","包含处置中涉及的律师、诉讼、拍卖、评估等费用","")</f>
        <v/>
      </c>
      <c r="O56" s="3438"/>
    </row>
    <row r="57" spans="1:35" ht="12.75">
      <c r="A57" s="2508" t="s">
        <v>1786</v>
      </c>
      <c r="B57" s="3478" t="s">
        <v>1811</v>
      </c>
      <c r="C57" s="3479"/>
      <c r="D57" s="1726">
        <v>0</v>
      </c>
      <c r="E57" s="330" t="s">
        <v>1788</v>
      </c>
      <c r="F57" s="308"/>
      <c r="G57" s="2730"/>
      <c r="H57" s="2734"/>
      <c r="I57" s="1945"/>
      <c r="J57" s="3454">
        <f>IF(AND(J55="",J56=""),4,IF(项目基本情况!K6="上海银行",结果表!J56+1,结果表!J55+1))</f>
        <v>5</v>
      </c>
      <c r="K57" s="3454" t="s">
        <v>1812</v>
      </c>
      <c r="L57" s="2705" t="s">
        <v>1813</v>
      </c>
      <c r="M57" s="2706"/>
      <c r="N57" s="2707">
        <f ca="1">SUMIF(M52:M56,"&lt;9e307")</f>
        <v>140603</v>
      </c>
      <c r="O57" s="2708"/>
      <c r="P57" s="2868" t="e">
        <f ca="1">N57/M49</f>
        <v>#VALUE!</v>
      </c>
    </row>
    <row r="58" spans="1:35" ht="24.75">
      <c r="A58" s="2508" t="s">
        <v>1797</v>
      </c>
      <c r="B58" s="3478" t="s">
        <v>1814</v>
      </c>
      <c r="C58" s="3477"/>
      <c r="D58" s="2497">
        <f ca="1">IF(H58="转让取得",C81,C97)</f>
        <v>138156</v>
      </c>
      <c r="E58" s="2507" t="s">
        <v>1809</v>
      </c>
      <c r="F58" s="308" t="s">
        <v>34</v>
      </c>
      <c r="G58" s="2730"/>
      <c r="H58" s="2733"/>
      <c r="I58" s="1945"/>
      <c r="J58" s="3454"/>
      <c r="K58" s="3454"/>
      <c r="L58" s="2705" t="s">
        <v>1815</v>
      </c>
      <c r="M58" s="2709"/>
      <c r="N58" s="2710" t="str">
        <f ca="1">NUMBERSTRING(INT(N57*10000),2)&amp;"元整"</f>
        <v>壹拾肆亿零陆佰零叁万元整</v>
      </c>
      <c r="O58" s="2711"/>
    </row>
    <row r="59" spans="1:35" ht="24.75" thickBot="1">
      <c r="A59" s="3458" t="s">
        <v>1816</v>
      </c>
      <c r="B59" s="3459"/>
      <c r="C59" s="3459"/>
      <c r="D59" s="2735">
        <f ca="1">IF(H59="非个人房产","——",IF(H59="个人住宅（满五唯一有凭证）",0,IF(H59="个人其他（无凭证）",ROUND(D45*F59,0),ROUND(C67*F59,0))))</f>
        <v>2325</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456">
        <f>J57+1</f>
        <v>6</v>
      </c>
      <c r="K59" s="3454" t="s">
        <v>1817</v>
      </c>
      <c r="L59" s="2698" t="s">
        <v>1813</v>
      </c>
      <c r="M59" s="2712"/>
      <c r="N59" s="2713" t="e">
        <f ca="1">M49-N57</f>
        <v>#VALUE!</v>
      </c>
      <c r="O59" s="2714"/>
    </row>
    <row r="60" spans="1:35" ht="12" customHeight="1">
      <c r="A60" s="1946"/>
      <c r="B60" s="1884"/>
      <c r="C60" s="1884"/>
      <c r="D60" s="1884"/>
      <c r="E60" s="1714"/>
      <c r="F60" s="1945"/>
      <c r="G60" s="1945"/>
      <c r="H60" s="1947"/>
      <c r="I60" s="134"/>
      <c r="J60" s="3457"/>
      <c r="K60" s="3454"/>
      <c r="L60" s="2705" t="s">
        <v>1815</v>
      </c>
      <c r="M60" s="2709"/>
      <c r="N60" s="2710" t="e">
        <f ca="1">NUMBERSTRING(INT(N59*10000),2)&amp;"元整"</f>
        <v>#VALUE!</v>
      </c>
      <c r="O60" s="2711"/>
    </row>
    <row r="61" spans="1:35" ht="13.5" thickBot="1">
      <c r="A61" s="3516" t="s">
        <v>1818</v>
      </c>
      <c r="B61" s="3516"/>
      <c r="C61" s="3516"/>
      <c r="D61" s="3516"/>
      <c r="E61" s="3516"/>
      <c r="F61" s="1945"/>
      <c r="G61" s="1945"/>
      <c r="H61" s="1947"/>
      <c r="I61" s="134"/>
      <c r="J61" s="2698">
        <f>J59+1</f>
        <v>7</v>
      </c>
      <c r="K61" s="3454" t="s">
        <v>1819</v>
      </c>
      <c r="L61" s="3454"/>
      <c r="M61" s="2715"/>
      <c r="N61" s="2716" t="e">
        <f ca="1">ROUND(N59*10000/'数据-汇总表'!E3,0)</f>
        <v>#VALUE!</v>
      </c>
      <c r="O61" s="2717"/>
    </row>
    <row r="62" spans="1:35" ht="12.75">
      <c r="A62" s="3473" t="s">
        <v>1820</v>
      </c>
      <c r="B62" s="3474"/>
      <c r="C62" s="2159"/>
      <c r="D62" s="2159" t="s">
        <v>1821</v>
      </c>
      <c r="E62" s="171" t="s">
        <v>1822</v>
      </c>
      <c r="F62" s="1945"/>
      <c r="G62" s="1945"/>
      <c r="H62" s="1947"/>
      <c r="I62" s="134"/>
    </row>
    <row r="63" spans="1:35" ht="12.75">
      <c r="A63" s="178" t="s">
        <v>594</v>
      </c>
      <c r="B63" s="172" t="s">
        <v>1823</v>
      </c>
      <c r="C63" s="2739">
        <f ca="1">ROUND((C64+C65)/(1+'数据-取费表'!C42),0)</f>
        <v>232469</v>
      </c>
      <c r="D63" s="172"/>
      <c r="E63" s="173"/>
      <c r="F63" s="1945"/>
      <c r="G63" s="1945"/>
      <c r="H63" s="1947"/>
      <c r="I63" s="134"/>
      <c r="J63" s="3437" t="s">
        <v>1824</v>
      </c>
      <c r="K63" s="1453" t="s">
        <v>1825</v>
      </c>
      <c r="L63" s="1453" t="e">
        <f>IF(M49&gt;10000,M49*0.5%,IF(AND(M49&gt;1000,M49&lt;=10000),M49*1%,IF(AND(M49&gt;100,M49&lt;=1000),M49*3%,IF(AND(M49&gt;10,M49&lt;=100),M49*5%,M49*8%))))</f>
        <v>#VALUE!</v>
      </c>
      <c r="M63" s="308" t="e">
        <f>ROUND(L63,1)</f>
        <v>#VALUE!</v>
      </c>
      <c r="N63" s="2718"/>
      <c r="Z63" s="1889"/>
      <c r="AI63" s="1890"/>
    </row>
    <row r="64" spans="1:35" ht="14.25" customHeight="1">
      <c r="A64" s="174" t="s">
        <v>589</v>
      </c>
      <c r="B64" s="175" t="s">
        <v>1826</v>
      </c>
      <c r="C64" s="2740">
        <f ca="1">D45</f>
        <v>244092</v>
      </c>
      <c r="D64" s="175" t="s">
        <v>32</v>
      </c>
      <c r="E64" s="177"/>
      <c r="F64" s="1945"/>
      <c r="G64" s="1945"/>
      <c r="H64" s="1947"/>
      <c r="I64" s="134"/>
      <c r="J64" s="3437"/>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9"/>
      <c r="AI64" s="1890"/>
    </row>
    <row r="65" spans="1:35" ht="14.25" customHeight="1">
      <c r="A65" s="174" t="s">
        <v>590</v>
      </c>
      <c r="B65" s="175" t="s">
        <v>1829</v>
      </c>
      <c r="C65" s="2741"/>
      <c r="D65" s="175"/>
      <c r="E65" s="177"/>
      <c r="F65" s="1945"/>
      <c r="G65" s="1945"/>
      <c r="H65" s="1947"/>
      <c r="I65" s="134"/>
      <c r="J65" s="3437"/>
      <c r="K65" s="1453" t="s">
        <v>1830</v>
      </c>
      <c r="L65" s="1453" t="e">
        <f>IF(M49&gt;1000,M49*0.1%,IF(AND(M49&gt;500,M49&lt;=1000),M49*0.5%,IF(AND(M49&gt;50,M49&lt;=500),M49*1%,IF(AND(M49&gt;1,M49&lt;=50),M49*1.5%))))</f>
        <v>#VALUE!</v>
      </c>
      <c r="M65" s="308" t="e">
        <f t="shared" si="1"/>
        <v>#VALUE!</v>
      </c>
      <c r="N65" s="2719" t="s">
        <v>1828</v>
      </c>
      <c r="Z65" s="1889"/>
      <c r="AI65" s="1890"/>
    </row>
    <row r="66" spans="1:35" ht="14.25" customHeight="1">
      <c r="A66" s="178" t="s">
        <v>591</v>
      </c>
      <c r="B66" s="179" t="s">
        <v>1831</v>
      </c>
      <c r="C66" s="2742"/>
      <c r="D66" s="179" t="s">
        <v>32</v>
      </c>
      <c r="E66" s="1460" t="s">
        <v>1096</v>
      </c>
      <c r="F66" s="1945"/>
      <c r="G66" s="1945"/>
      <c r="H66" s="1947"/>
      <c r="I66" s="134"/>
      <c r="J66" s="3437"/>
      <c r="K66" s="1453" t="s">
        <v>1832</v>
      </c>
      <c r="L66" s="1453" t="e">
        <f>M49*0.5%</f>
        <v>#VALUE!</v>
      </c>
      <c r="M66" s="308" t="e">
        <f>IF(L66&gt;0.5,0.5,ROUND(L66,0))</f>
        <v>#VALUE!</v>
      </c>
      <c r="N66" s="2719" t="s">
        <v>1833</v>
      </c>
      <c r="Z66" s="1889"/>
      <c r="AI66" s="1890"/>
    </row>
    <row r="67" spans="1:35" ht="14.25" customHeight="1">
      <c r="A67" s="178" t="s">
        <v>592</v>
      </c>
      <c r="B67" s="179" t="s">
        <v>1834</v>
      </c>
      <c r="C67" s="2743">
        <f ca="1">C63-C66</f>
        <v>232469</v>
      </c>
      <c r="D67" s="175" t="s">
        <v>32</v>
      </c>
      <c r="E67" s="177"/>
      <c r="F67" s="1945"/>
      <c r="G67" s="1945"/>
      <c r="H67" s="1947"/>
      <c r="I67" s="134"/>
      <c r="J67" s="3437"/>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9"/>
      <c r="AI67" s="1890"/>
    </row>
    <row r="68" spans="1:35" ht="14.25" customHeight="1" thickBot="1">
      <c r="A68" s="181" t="s">
        <v>593</v>
      </c>
      <c r="B68" s="182" t="s">
        <v>1836</v>
      </c>
      <c r="C68" s="2744">
        <f ca="1">IF(C67&lt;=0,0,ROUND(C67*D68,0))</f>
        <v>13018</v>
      </c>
      <c r="D68" s="2745">
        <f>'数据-取费表'!B41</f>
        <v>5.6000000000000001E-2</v>
      </c>
      <c r="E68" s="184"/>
      <c r="F68" s="1945"/>
      <c r="G68" s="1945"/>
      <c r="H68" s="1947"/>
      <c r="I68" s="134"/>
      <c r="J68" s="3437"/>
      <c r="K68" s="1453" t="s">
        <v>1837</v>
      </c>
      <c r="L68" s="1453" t="e">
        <f>IF(M49&gt;10000,M49*0.5%,IF(AND(M49&gt;5000,M49&lt;=10000),M49*1%,IF(AND(M49&gt;1000,M49&lt;=5000),M49*2%,IF(AND(M49&gt;200,M49&lt;=1000),M49*3%,M49*5%))))</f>
        <v>#VALUE!</v>
      </c>
      <c r="M68" s="308" t="e">
        <f>ROUND(L68,1)</f>
        <v>#VALUE!</v>
      </c>
      <c r="N68" s="2718"/>
      <c r="Z68" s="1889"/>
      <c r="AI68" s="1890"/>
    </row>
    <row r="69" spans="1:35" s="1909" customFormat="1" ht="16.5" customHeight="1">
      <c r="A69" s="1948"/>
      <c r="B69" s="1949"/>
      <c r="C69" s="1950"/>
      <c r="D69" s="1951"/>
      <c r="E69" s="1952"/>
      <c r="F69" s="1714"/>
      <c r="G69" s="1714"/>
      <c r="H69" s="1713"/>
      <c r="I69" s="1884"/>
      <c r="J69" s="3437"/>
      <c r="K69" s="1453" t="s">
        <v>1838</v>
      </c>
      <c r="L69" s="1453"/>
      <c r="M69" s="308" t="e">
        <f>ROUND(SUM(M63:M68),0)</f>
        <v>#VALUE!</v>
      </c>
      <c r="N69" s="2720"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81" t="s">
        <v>1839</v>
      </c>
      <c r="B70" s="3482"/>
      <c r="C70" s="3482"/>
      <c r="D70" s="3482"/>
      <c r="E70" s="3482"/>
      <c r="F70" s="3482"/>
      <c r="G70" s="3482"/>
      <c r="H70" s="3482"/>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73" t="s">
        <v>1820</v>
      </c>
      <c r="B71" s="3474"/>
      <c r="C71" s="2159"/>
      <c r="D71" s="2159"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232469</v>
      </c>
      <c r="D72" s="175" t="s">
        <v>32</v>
      </c>
      <c r="E72" s="2504"/>
      <c r="F72" s="2503"/>
      <c r="G72" s="2503"/>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1395</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478" t="s">
        <v>1847</v>
      </c>
      <c r="F76" s="3477"/>
      <c r="G76" s="3477"/>
      <c r="H76" s="348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1395</v>
      </c>
      <c r="D78" s="2752">
        <f>'数据-取费表'!B43</f>
        <v>6.000000000000001E-3</v>
      </c>
      <c r="E78" s="3470" t="s">
        <v>1851</v>
      </c>
      <c r="F78" s="3471"/>
      <c r="G78" s="3471"/>
      <c r="H78" s="347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231074</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165.64444444444445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138156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81" t="s">
        <v>1855</v>
      </c>
      <c r="B83" s="3482"/>
      <c r="C83" s="3482"/>
      <c r="D83" s="3482"/>
      <c r="E83" s="3482"/>
      <c r="F83" s="3482"/>
      <c r="G83" s="3482"/>
      <c r="H83" s="348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73" t="s">
        <v>1820</v>
      </c>
      <c r="B84" s="3474"/>
      <c r="C84" s="2159"/>
      <c r="D84" s="2159"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232469</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1395</v>
      </c>
      <c r="D86" s="2756"/>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0"/>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0"/>
      <c r="G90" s="3439" t="s">
        <v>2630</v>
      </c>
      <c r="H90" s="3440"/>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470" t="s">
        <v>1864</v>
      </c>
      <c r="F91" s="3471"/>
      <c r="G91" s="347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470" t="s">
        <v>1867</v>
      </c>
      <c r="F92" s="3471"/>
      <c r="G92" s="3471"/>
      <c r="H92" s="3472"/>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1395</v>
      </c>
      <c r="D93" s="2752">
        <f>'数据-取费表'!B43</f>
        <v>6.000000000000001E-3</v>
      </c>
      <c r="E93" s="3470" t="s">
        <v>1851</v>
      </c>
      <c r="F93" s="3471"/>
      <c r="G93" s="3471"/>
      <c r="H93" s="347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518" t="s">
        <v>1871</v>
      </c>
      <c r="F94" s="3519"/>
      <c r="G94" s="3519"/>
      <c r="H94" s="352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231074</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165.64444444444445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138156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420" t="s">
        <v>1873</v>
      </c>
      <c r="B100" s="3421"/>
      <c r="C100" s="3421"/>
      <c r="D100" s="3455"/>
      <c r="E100" s="3421" t="s">
        <v>1874</v>
      </c>
      <c r="F100" s="3421"/>
      <c r="G100" s="3421"/>
      <c r="H100" s="3455"/>
      <c r="I100" s="134"/>
    </row>
    <row r="101" spans="1:35" ht="18.75" customHeight="1">
      <c r="A101" s="3463" t="s">
        <v>1875</v>
      </c>
      <c r="B101" s="3464"/>
      <c r="C101" s="2760" t="str">
        <f>C4</f>
        <v>比较法-办公 (2)</v>
      </c>
      <c r="D101" s="2761" t="str">
        <f>D4</f>
        <v>收益法</v>
      </c>
      <c r="E101" s="3433" t="s">
        <v>1876</v>
      </c>
      <c r="F101" s="3434"/>
      <c r="G101" s="1964" t="s">
        <v>1877</v>
      </c>
      <c r="H101" s="2770">
        <f ca="1">H118</f>
        <v>244092</v>
      </c>
      <c r="I101" s="134"/>
    </row>
    <row r="102" spans="1:35" ht="18.75" customHeight="1">
      <c r="A102" s="3465" t="s">
        <v>1878</v>
      </c>
      <c r="B102" s="2759" t="s">
        <v>1877</v>
      </c>
      <c r="C102" s="2760">
        <f ca="1">C19</f>
        <v>269666</v>
      </c>
      <c r="D102" s="2761">
        <f ca="1">D19</f>
        <v>184420</v>
      </c>
      <c r="E102" s="3433"/>
      <c r="F102" s="3434"/>
      <c r="G102" s="1964" t="s">
        <v>1879</v>
      </c>
      <c r="H102" s="2730">
        <f ca="1">I118</f>
        <v>47494</v>
      </c>
      <c r="I102" s="134"/>
    </row>
    <row r="103" spans="1:35" ht="42.75" customHeight="1">
      <c r="A103" s="3465"/>
      <c r="B103" s="2759" t="s">
        <v>1879</v>
      </c>
      <c r="C103" s="2762">
        <f ca="1">C20</f>
        <v>52470</v>
      </c>
      <c r="D103" s="2763">
        <f ca="1">D20</f>
        <v>35883</v>
      </c>
      <c r="E103" s="3426" t="s">
        <v>1880</v>
      </c>
      <c r="F103" s="3427"/>
      <c r="G103" s="1965" t="s">
        <v>1881</v>
      </c>
      <c r="H103" s="2770">
        <f>IF(D36="正常操作",H104+H105+H106,H105+H106)</f>
        <v>0</v>
      </c>
      <c r="I103" s="134"/>
    </row>
    <row r="104" spans="1:35" ht="18.75" customHeight="1">
      <c r="A104" s="3465" t="s">
        <v>1882</v>
      </c>
      <c r="B104" s="2764" t="s">
        <v>1877</v>
      </c>
      <c r="C104" s="2765">
        <f ca="1">H118</f>
        <v>244092</v>
      </c>
      <c r="D104" s="2766"/>
      <c r="E104" s="1811" t="s">
        <v>1883</v>
      </c>
      <c r="F104" s="1802"/>
      <c r="G104" s="1965" t="s">
        <v>1881</v>
      </c>
      <c r="H104" s="2771">
        <f>IF(D36="同一抵押权人同一抵押物续贷",C36&amp;"（续贷，未扣减，详见特别提示）",C36)</f>
        <v>0</v>
      </c>
      <c r="I104" s="134"/>
    </row>
    <row r="105" spans="1:35" ht="18.75" customHeight="1" thickBot="1">
      <c r="A105" s="3475"/>
      <c r="B105" s="2767" t="s">
        <v>1879</v>
      </c>
      <c r="C105" s="2768">
        <f ca="1">I118</f>
        <v>47494</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466" t="str">
        <f>IF(项目基本情况!E8="已注销","——","3.房地产抵押价值")</f>
        <v>3.房地产抵押价值</v>
      </c>
      <c r="F107" s="3434"/>
      <c r="G107" s="1964" t="s">
        <v>1877</v>
      </c>
      <c r="H107" s="2770">
        <f ca="1">IF(E107="——","——",H101-H103)</f>
        <v>244092</v>
      </c>
      <c r="I107" s="134"/>
    </row>
    <row r="108" spans="1:35" ht="18.75" customHeight="1">
      <c r="A108" s="134"/>
      <c r="B108" s="134"/>
      <c r="C108" s="134"/>
      <c r="D108" s="134"/>
      <c r="E108" s="3466"/>
      <c r="F108" s="3434"/>
      <c r="G108" s="1964" t="s">
        <v>1879</v>
      </c>
      <c r="H108" s="2730">
        <f ca="1">ROUND(H107*10000/'数据-汇总表'!E3,0)</f>
        <v>47494</v>
      </c>
      <c r="I108" s="134"/>
    </row>
    <row r="109" spans="1:35" ht="18.75" customHeight="1">
      <c r="A109" s="134"/>
      <c r="B109" s="134"/>
      <c r="C109" s="134"/>
      <c r="D109" s="134"/>
      <c r="E109" s="3466" t="str">
        <f>IF(项目基本情况!E8="已注销及未注销","4.抵押担保权已注销时的房地产抵押价值",IF(项目基本情况!E8="已注销","3.抵押担保权已注销时的房地产抵押价值","——"))</f>
        <v>——</v>
      </c>
      <c r="F109" s="3434"/>
      <c r="G109" s="1964" t="s">
        <v>1877</v>
      </c>
      <c r="H109" s="2773" t="str">
        <f>IF(E109="——","——",H101-H105-H106)</f>
        <v>——</v>
      </c>
      <c r="I109" s="134"/>
    </row>
    <row r="110" spans="1:35" ht="18.75" customHeight="1">
      <c r="A110" s="134"/>
      <c r="B110" s="134"/>
      <c r="C110" s="134"/>
      <c r="D110" s="134"/>
      <c r="E110" s="3466"/>
      <c r="F110" s="3434"/>
      <c r="G110" s="1964" t="s">
        <v>1879</v>
      </c>
      <c r="H110" s="2730" t="str">
        <f>IF(H109="——","——",ROUND(H109*10000/'数据-汇总表'!E3,0))</f>
        <v>——</v>
      </c>
      <c r="I110" s="134"/>
    </row>
    <row r="111" spans="1:35" ht="18.75" customHeight="1">
      <c r="A111" s="134"/>
      <c r="B111" s="134"/>
      <c r="C111" s="134"/>
      <c r="D111" s="134"/>
      <c r="E111" s="3467" t="str">
        <f>IF(项目基本情况!E9="抵押净值",IF(OR(项目基本情况!E8="已注销",项目基本情况!E8="房地产抵押价值"),"4.抵押净值","5.抵押净值"),"——")</f>
        <v>——</v>
      </c>
      <c r="F111" s="3453"/>
      <c r="G111" s="1964" t="s">
        <v>1877</v>
      </c>
      <c r="H111" s="2770" t="str">
        <f>IF(E111="——","——",N59)</f>
        <v>——</v>
      </c>
      <c r="I111" s="134"/>
    </row>
    <row r="112" spans="1:35" ht="18.75" customHeight="1" thickBot="1">
      <c r="A112" s="134"/>
      <c r="B112" s="134"/>
      <c r="C112" s="134"/>
      <c r="D112" s="134"/>
      <c r="E112" s="3468"/>
      <c r="F112" s="3469"/>
      <c r="G112" s="1967" t="s">
        <v>1879</v>
      </c>
      <c r="H112" s="2774" t="str">
        <f>IF(E111="——","——",N61)</f>
        <v>——</v>
      </c>
      <c r="I112" s="134"/>
    </row>
    <row r="113" spans="1:27" ht="18.75" customHeight="1">
      <c r="A113" s="134"/>
      <c r="B113" s="134"/>
      <c r="C113" s="134"/>
      <c r="D113" s="134"/>
      <c r="E113" s="3476" t="s">
        <v>1885</v>
      </c>
      <c r="F113" s="3476"/>
      <c r="G113" s="3476"/>
      <c r="H113" s="3476"/>
      <c r="I113" s="134"/>
    </row>
    <row r="114" spans="1:27" ht="3.75" customHeight="1">
      <c r="A114" s="1884"/>
      <c r="B114" s="1884"/>
      <c r="C114" s="1884"/>
      <c r="D114" s="1884"/>
      <c r="E114" s="1946"/>
      <c r="F114" s="1946"/>
      <c r="G114" s="1946"/>
      <c r="H114" s="1946"/>
      <c r="I114" s="1884"/>
    </row>
    <row r="115" spans="1:27" ht="18.75" customHeight="1">
      <c r="A115" s="3487" t="s">
        <v>1887</v>
      </c>
      <c r="B115" s="3488"/>
      <c r="C115" s="3488"/>
      <c r="D115" s="3488"/>
      <c r="E115" s="3488"/>
      <c r="F115" s="3488"/>
      <c r="G115" s="3488"/>
      <c r="H115" s="3488"/>
      <c r="I115" s="3489"/>
    </row>
    <row r="116" spans="1:27" ht="27" customHeight="1">
      <c r="A116" s="3441" t="s">
        <v>1888</v>
      </c>
      <c r="B116" s="3445" t="s">
        <v>1889</v>
      </c>
      <c r="C116" s="3445" t="s">
        <v>1890</v>
      </c>
      <c r="D116" s="3451" t="s">
        <v>1891</v>
      </c>
      <c r="E116" s="3452"/>
      <c r="F116" s="3483" t="s">
        <v>1892</v>
      </c>
      <c r="G116" s="3483"/>
      <c r="H116" s="3441" t="s">
        <v>1893</v>
      </c>
      <c r="I116" s="3441"/>
    </row>
    <row r="117" spans="1:27" ht="18.75" customHeight="1">
      <c r="A117" s="3441"/>
      <c r="B117" s="3446"/>
      <c r="C117" s="3446"/>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51394.390000000007</v>
      </c>
      <c r="C118" s="2502">
        <f>M19</f>
        <v>7268.84</v>
      </c>
      <c r="D118" s="2502">
        <f ca="1">ROUND(IF(D32="总价",C34,E118*B118/10000),0)</f>
        <v>204549</v>
      </c>
      <c r="E118" s="2502">
        <f ca="1">ROUND(IF(C33="自定义",IF(D32="楼面单价",C34,D118*10000/B118),I118-G118),0)</f>
        <v>39800</v>
      </c>
      <c r="F118" s="2502">
        <f ca="1">ROUND(IF(D32="总价",C35,G118*B118/10000),0)</f>
        <v>39543</v>
      </c>
      <c r="G118" s="2502">
        <f ca="1">ROUND(IF(D32="楼面单价",C35,F118*10000/B118),0)</f>
        <v>7694</v>
      </c>
      <c r="H118" s="2502">
        <f ca="1">ROUND(IF(D32="总价",C32,I118*B118/10000),0)</f>
        <v>244092</v>
      </c>
      <c r="I118" s="2502">
        <f ca="1">ROUND(IF(D32="楼面单价",C32,H118*10000/B118),0)</f>
        <v>47494</v>
      </c>
    </row>
    <row r="119" spans="1:27" ht="18.75" customHeight="1">
      <c r="A119" s="3441" t="s">
        <v>1897</v>
      </c>
      <c r="B119" s="3441"/>
      <c r="C119" s="3441"/>
      <c r="D119" s="3447" t="str">
        <f ca="1">NUMBERSTRING(INT(D118*10000),2)&amp;"元整"</f>
        <v>贰拾亿肆仟伍佰肆拾玖万元整</v>
      </c>
      <c r="E119" s="3448"/>
      <c r="F119" s="3447" t="str">
        <f ca="1">NUMBERSTRING(INT(F118*10000),2)&amp;"元整"</f>
        <v>叁亿玖仟伍佰肆拾叁万元整</v>
      </c>
      <c r="G119" s="3448"/>
      <c r="H119" s="3447" t="str">
        <f ca="1">NUMBERSTRING(INT(H118*10000),2)&amp;"元整"</f>
        <v>贰拾肆亿肆仟零玖拾贰万元整</v>
      </c>
      <c r="I119" s="3448"/>
    </row>
    <row r="120" spans="1:27" ht="18.75" customHeight="1">
      <c r="A120" s="3442" t="str">
        <f>IF(项目基本情况!B9="房地产市场价值","",MID(E103,3,LEN(E103)-2))</f>
        <v>估价师知悉的法定优先受偿款</v>
      </c>
      <c r="B120" s="3443"/>
      <c r="C120" s="3444"/>
      <c r="D120" s="3442">
        <f>H103</f>
        <v>0</v>
      </c>
      <c r="E120" s="3443"/>
      <c r="F120" s="3443"/>
      <c r="G120" s="3443"/>
      <c r="H120" s="3443"/>
      <c r="I120" s="344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84" t="s">
        <v>1897</v>
      </c>
      <c r="B121" s="3485"/>
      <c r="C121" s="3486"/>
      <c r="D121" s="3447" t="str">
        <f>IF(D120=0,"零元整",NUMBERSTRING(INT(D120*10000),2)&amp;"元整")</f>
        <v>零元整</v>
      </c>
      <c r="E121" s="3449"/>
      <c r="F121" s="3449"/>
      <c r="G121" s="3449"/>
      <c r="H121" s="3449"/>
      <c r="I121" s="3448"/>
      <c r="AA121" s="734"/>
    </row>
    <row r="122" spans="1:27" ht="18.75" customHeight="1">
      <c r="A122" s="3453" t="str">
        <f>IF(项目基本情况!B9="房地产市场价值","",MID(E107,3,LEN(E107)-2))</f>
        <v>房地产抵押价值</v>
      </c>
      <c r="B122" s="3453"/>
      <c r="C122" s="3453"/>
      <c r="D122" s="3442">
        <f ca="1">H107</f>
        <v>244092</v>
      </c>
      <c r="E122" s="3443"/>
      <c r="F122" s="3443"/>
      <c r="G122" s="3443"/>
      <c r="H122" s="3443"/>
      <c r="I122" s="3444"/>
      <c r="AA122" s="734"/>
    </row>
    <row r="123" spans="1:27" ht="18.75" customHeight="1">
      <c r="A123" s="3441" t="s">
        <v>1897</v>
      </c>
      <c r="B123" s="3441"/>
      <c r="C123" s="3441"/>
      <c r="D123" s="3447" t="str">
        <f ca="1">NUMBERSTRING(INT(D122*10000),2)&amp;"元整"</f>
        <v>贰拾肆亿肆仟零玖拾贰万元整</v>
      </c>
      <c r="E123" s="3449"/>
      <c r="F123" s="3449"/>
      <c r="G123" s="3449"/>
      <c r="H123" s="3449"/>
      <c r="I123" s="3448"/>
      <c r="AA123" s="734"/>
    </row>
    <row r="124" spans="1:27" ht="18.75" customHeight="1">
      <c r="A124" s="3453" t="str">
        <f>IF(项目基本情况!B9="房地产市场价值","",MID(E109,3,LEN(E109)-2))</f>
        <v/>
      </c>
      <c r="B124" s="3453"/>
      <c r="C124" s="3453"/>
      <c r="D124" s="3442" t="str">
        <f>H109</f>
        <v>——</v>
      </c>
      <c r="E124" s="3443"/>
      <c r="F124" s="3443"/>
      <c r="G124" s="3443"/>
      <c r="H124" s="3443"/>
      <c r="I124" s="3444"/>
      <c r="AA124" s="734"/>
    </row>
    <row r="125" spans="1:27" ht="18.75" customHeight="1">
      <c r="A125" s="3441" t="s">
        <v>1897</v>
      </c>
      <c r="B125" s="3441"/>
      <c r="C125" s="3441"/>
      <c r="D125" s="3447" t="e">
        <f>NUMBERSTRING(INT(D124*10000),2)&amp;"元整"</f>
        <v>#VALUE!</v>
      </c>
      <c r="E125" s="3449"/>
      <c r="F125" s="3449"/>
      <c r="G125" s="3449"/>
      <c r="H125" s="3449"/>
      <c r="I125" s="3448"/>
      <c r="AA125" s="734"/>
    </row>
    <row r="126" spans="1:27" ht="18.75" customHeight="1">
      <c r="A126" s="3453" t="str">
        <f>IF(项目基本情况!B9="房地产市场价值","",MID(E111,3,LEN(E111)-2))</f>
        <v/>
      </c>
      <c r="B126" s="3453"/>
      <c r="C126" s="3453"/>
      <c r="D126" s="3442" t="str">
        <f>H111</f>
        <v>——</v>
      </c>
      <c r="E126" s="3443"/>
      <c r="F126" s="3443"/>
      <c r="G126" s="3443"/>
      <c r="H126" s="3443"/>
      <c r="I126" s="3444"/>
      <c r="AA126" s="734"/>
    </row>
    <row r="127" spans="1:27" ht="18.75" customHeight="1">
      <c r="A127" s="3441" t="s">
        <v>1897</v>
      </c>
      <c r="B127" s="3441"/>
      <c r="C127" s="3441"/>
      <c r="D127" s="3447" t="e">
        <f>NUMBERSTRING(INT(D126*10000),2)&amp;"元整"</f>
        <v>#VALUE!</v>
      </c>
      <c r="E127" s="3449"/>
      <c r="F127" s="3449"/>
      <c r="G127" s="3449"/>
      <c r="H127" s="3449"/>
      <c r="I127" s="3448"/>
      <c r="AA127" s="734"/>
    </row>
    <row r="128" spans="1:27" ht="21.75" customHeight="1">
      <c r="A128" s="3450" t="s">
        <v>1898</v>
      </c>
      <c r="B128" s="3450"/>
      <c r="C128" s="3450"/>
      <c r="D128" s="3450"/>
      <c r="E128" s="3450"/>
      <c r="F128" s="3450"/>
      <c r="G128" s="3450"/>
      <c r="H128" s="3450"/>
      <c r="I128" s="3450"/>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184123</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35826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113210</v>
      </c>
      <c r="D5" s="217" t="s">
        <v>1914</v>
      </c>
      <c r="E5" s="218" t="s">
        <v>1915</v>
      </c>
      <c r="F5" s="218" t="s">
        <v>1916</v>
      </c>
      <c r="G5" s="219"/>
    </row>
    <row r="6" spans="1:9" s="220" customFormat="1" ht="13.5" customHeight="1">
      <c r="A6" s="867" t="s">
        <v>1917</v>
      </c>
      <c r="B6" s="221" t="s">
        <v>1918</v>
      </c>
      <c r="C6" s="222">
        <f>'[2]基准地价修正-商业'!$V$2+'[2]基准地价修正-商业'!$V$3+'[2]基准地价修正-商业'!$V$4+[2]基准地价修正!$B$2</f>
        <v>108862</v>
      </c>
      <c r="D6" s="223"/>
      <c r="E6" s="224"/>
      <c r="F6" s="224"/>
      <c r="G6" s="225"/>
    </row>
    <row r="7" spans="1:9" s="220" customFormat="1" ht="13.5" customHeight="1">
      <c r="A7" s="867" t="s">
        <v>1919</v>
      </c>
      <c r="B7" s="221" t="s">
        <v>1920</v>
      </c>
      <c r="C7" s="226">
        <f>ROUND(C6*F7,0)</f>
        <v>3320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1028</v>
      </c>
      <c r="D8" s="228"/>
      <c r="E8" s="226"/>
      <c r="F8" s="227"/>
      <c r="G8" s="1993" t="s">
        <v>3201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3202</v>
      </c>
      <c r="H9" s="1252"/>
      <c r="I9" s="1995" t="s">
        <v>1924</v>
      </c>
    </row>
    <row r="10" spans="1:9" s="220" customFormat="1" ht="13.5" customHeight="1">
      <c r="A10" s="868" t="s">
        <v>620</v>
      </c>
      <c r="B10" s="230" t="s">
        <v>1925</v>
      </c>
      <c r="C10" s="231">
        <f ca="1">ROUND(D10*E10/10000,0)</f>
        <v>1028</v>
      </c>
      <c r="D10" s="935">
        <f ca="1">IF(B1="",'数据-汇总表'!E6,IF(INDIRECT("'数据-取费表'!c"&amp;$G$1)="住宅",INDIRECT("'数据-取费表'!s"&amp;$G$1),INDIRECT("'数据-取费表'!k"&amp;$G$1)+INDIRECT("'数据-取费表'!s"&amp;$G$1)))</f>
        <v>51394.390000000007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51394.390000000007</v>
      </c>
      <c r="E19" s="217">
        <f>'数据-取费表'!B31</f>
        <v>200</v>
      </c>
      <c r="F19" s="237"/>
      <c r="G19" s="1993" t="s">
        <v>3203</v>
      </c>
    </row>
    <row r="20" spans="1:7" s="220" customFormat="1" ht="13.5" customHeight="1">
      <c r="A20" s="261" t="s">
        <v>1938</v>
      </c>
      <c r="B20" s="216" t="s">
        <v>1939</v>
      </c>
      <c r="C20" s="238">
        <f ca="1">ROUND((C5+C19)*F20,0)</f>
        <v>2264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9685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9591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94</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17321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17321</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154383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27881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25697</v>
      </c>
      <c r="D34" s="223"/>
      <c r="E34" s="226"/>
      <c r="F34" s="263">
        <f ca="1">IF('数据-取费表'!B24=0,1,IF(B1="",'数据-取费表'!N16,INDIRECT("'数据-取费表'!n"&amp;$G$1)))</f>
        <v>1</v>
      </c>
      <c r="G34" s="225" t="s">
        <v>1971</v>
      </c>
    </row>
    <row r="35" spans="1:7" ht="13.5" customHeight="1">
      <c r="A35" s="869" t="s">
        <v>615</v>
      </c>
      <c r="B35" s="221" t="s">
        <v>1972</v>
      </c>
      <c r="C35" s="226">
        <f ca="1">ROUND(C34*F35,0)</f>
        <v>771</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1028</v>
      </c>
      <c r="D37" s="223">
        <f ca="1">D19</f>
        <v>51394.390000000007</v>
      </c>
      <c r="E37" s="255">
        <f>'数据-取费表'!B35</f>
        <v>200</v>
      </c>
      <c r="F37" s="265"/>
      <c r="G37" s="267" t="s">
        <v>1977</v>
      </c>
    </row>
    <row r="38" spans="1:7" ht="13.5" customHeight="1">
      <c r="A38" s="869" t="s">
        <v>618</v>
      </c>
      <c r="B38" s="221" t="s">
        <v>1978</v>
      </c>
      <c r="C38" s="226">
        <f ca="1">ROUND(C34*F38,0)</f>
        <v>385</v>
      </c>
      <c r="D38" s="226"/>
      <c r="E38" s="226"/>
      <c r="F38" s="265">
        <f>'数据-取费表'!B36</f>
        <v>1.4999999999999999E-2</v>
      </c>
      <c r="G38" s="225" t="s">
        <v>1973</v>
      </c>
    </row>
    <row r="39" spans="1:7" s="220" customFormat="1" ht="13.5" customHeight="1">
      <c r="A39" s="261" t="s">
        <v>1979</v>
      </c>
      <c r="B39" s="216" t="s">
        <v>1980</v>
      </c>
      <c r="C39" s="238">
        <f ca="1">ROUND(C33*F20,0)</f>
        <v>558</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1180</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1157</v>
      </c>
      <c r="D42" s="244"/>
      <c r="E42" s="244"/>
      <c r="F42" s="245"/>
      <c r="G42" s="3523" t="s">
        <v>1989</v>
      </c>
    </row>
    <row r="43" spans="1:7" ht="13.5" customHeight="1">
      <c r="A43" s="869" t="s">
        <v>611</v>
      </c>
      <c r="B43" s="221" t="s">
        <v>1990</v>
      </c>
      <c r="C43" s="244">
        <f ca="1">ROUND(IF('数据-取费表'!B22&lt;=1,C39*F22*'数据-取费表'!B21/2,C39*(POWER((1+F22),'数据-取费表'!B21/2)-1)),0)</f>
        <v>23</v>
      </c>
      <c r="D43" s="244"/>
      <c r="E43" s="244"/>
      <c r="F43" s="245"/>
      <c r="G43" s="3524"/>
    </row>
    <row r="44" spans="1:7" ht="13.5" customHeight="1">
      <c r="A44" s="869" t="s">
        <v>612</v>
      </c>
      <c r="B44" s="221" t="s">
        <v>1991</v>
      </c>
      <c r="C44" s="244">
        <f ca="1">ROUND(IF('数据-取费表'!B22&lt;=1,C40*F22*'数据-取费表'!B21/2,C40*(POWER((1+F22),'数据-取费表'!B21/2)-1)),4)</f>
        <v>8.0000000000000004E-4</v>
      </c>
      <c r="D44" s="244"/>
      <c r="E44" s="244"/>
      <c r="F44" s="245"/>
      <c r="G44" s="3525"/>
    </row>
    <row r="45" spans="1:7" s="220" customFormat="1" ht="13.5" customHeight="1">
      <c r="A45" s="261" t="s">
        <v>1992</v>
      </c>
      <c r="B45" s="250" t="s">
        <v>1958</v>
      </c>
      <c r="C45" s="251">
        <f ca="1">C46</f>
        <v>4266</v>
      </c>
      <c r="D45" s="241">
        <f ca="1">C47</f>
        <v>3.0000000000000001E-3</v>
      </c>
      <c r="E45" s="242" t="s">
        <v>1984</v>
      </c>
      <c r="F45" s="2487">
        <f ca="1">F27</f>
        <v>0.15</v>
      </c>
      <c r="G45" s="253" t="s">
        <v>1993</v>
      </c>
    </row>
    <row r="46" spans="1:7" s="220" customFormat="1" ht="13.5" customHeight="1">
      <c r="A46" s="869" t="s">
        <v>610</v>
      </c>
      <c r="B46" s="254" t="s">
        <v>1994</v>
      </c>
      <c r="C46" s="255">
        <f ca="1">ROUND((C33+C39)*F27,0)</f>
        <v>4266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36716</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29740</v>
      </c>
      <c r="D51" s="238"/>
      <c r="E51" s="238"/>
      <c r="F51" s="270"/>
      <c r="G51" s="240" t="s">
        <v>2005</v>
      </c>
    </row>
    <row r="52" spans="1:7" s="214" customFormat="1" ht="16.5" thickBot="1">
      <c r="A52" s="271" t="s">
        <v>2006</v>
      </c>
      <c r="B52" s="272"/>
      <c r="C52" s="273">
        <f ca="1">C31+C51</f>
        <v>184123</v>
      </c>
      <c r="D52" s="272"/>
      <c r="E52" s="272"/>
      <c r="F52" s="272"/>
      <c r="G52" s="274"/>
    </row>
    <row r="55" spans="1:7" ht="15">
      <c r="B55" s="276" t="s">
        <v>2007</v>
      </c>
      <c r="C55" s="277"/>
    </row>
    <row r="56" spans="1:7">
      <c r="B56" s="279" t="s">
        <v>1237</v>
      </c>
      <c r="C56" s="281">
        <f ca="1">1-C57</f>
        <v>0.83799999999999997</v>
      </c>
    </row>
    <row r="57" spans="1:7">
      <c r="B57" s="279" t="s">
        <v>1238</v>
      </c>
      <c r="C57" s="280">
        <f ca="1">ROUND(C51/C52,3)</f>
        <v>0.16200000000000001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34" t="str">
        <f>项目基本情况!B1</f>
        <v>北京市房地产抵押价值预评估</v>
      </c>
      <c r="C37" s="3334"/>
      <c r="D37" s="3334"/>
      <c r="E37" s="3334"/>
      <c r="F37" s="3334"/>
      <c r="G37" s="3334"/>
      <c r="H37" s="3334"/>
      <c r="I37" s="33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32543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6332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10278878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10278878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10278878</v>
      </c>
      <c r="D10" s="935">
        <f ca="1">IF(B1="",'数据-汇总表'!E6,IF(INDIRECT("'数据-取费表'!c"&amp;$G$1)="住宅",INDIRECT("'数据-取费表'!s"&amp;$G$1),INDIRECT("'数据-取费表'!k"&amp;$G$1)+INDIRECT("'数据-取费表'!s"&amp;$G$1)))</f>
        <v>51394.390000000007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10278878</v>
      </c>
      <c r="D19" s="939">
        <f ca="1">D9+D10</f>
        <v>51394.390000000007</v>
      </c>
      <c r="E19" s="217">
        <f>'数据-取费表'!B31</f>
        <v>200</v>
      </c>
      <c r="F19" s="237"/>
      <c r="G19" s="1993"/>
    </row>
    <row r="20" spans="1:7" s="220" customFormat="1" ht="13.5" customHeight="1">
      <c r="A20" s="261" t="s">
        <v>2019</v>
      </c>
      <c r="B20" s="216" t="s">
        <v>2020</v>
      </c>
      <c r="C20" s="238">
        <f ca="1">ROUND((C5+C19)*F20,0)</f>
        <v>411155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1758763</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870850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870850</v>
      </c>
      <c r="D24" s="244"/>
      <c r="E24" s="244"/>
      <c r="F24" s="245"/>
      <c r="G24" s="246" t="s">
        <v>2031</v>
      </c>
    </row>
    <row r="25" spans="1:7" s="220" customFormat="1" ht="24">
      <c r="A25" s="869" t="s">
        <v>1921</v>
      </c>
      <c r="B25" s="221" t="s">
        <v>2032</v>
      </c>
      <c r="C25" s="1243">
        <f ca="1">ROUND(IF('数据-取费表'!B22&lt;=1,C20*F22*'数据-取费表'!B22/2,C20*(POWER((1+F22),'数据-取费表'!B22/2)-1)),0)</f>
        <v>17063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3145337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3145337</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28034469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278814566</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256971950</v>
      </c>
      <c r="D34" s="223"/>
      <c r="E34" s="226"/>
      <c r="F34" s="263"/>
      <c r="G34" s="225"/>
    </row>
    <row r="35" spans="1:7" ht="13.5" customHeight="1">
      <c r="A35" s="869" t="s">
        <v>615</v>
      </c>
      <c r="B35" s="221" t="s">
        <v>1972</v>
      </c>
      <c r="C35" s="226">
        <f ca="1">ROUND(C34*F35,0)</f>
        <v>7709159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10278878</v>
      </c>
      <c r="D37" s="223">
        <f ca="1">D19</f>
        <v>51394.390000000007</v>
      </c>
      <c r="E37" s="255">
        <f>'数据-取费表'!B35</f>
        <v>200</v>
      </c>
      <c r="F37" s="265"/>
      <c r="G37" s="267"/>
    </row>
    <row r="38" spans="1:7" ht="13.5" customHeight="1">
      <c r="A38" s="869" t="s">
        <v>618</v>
      </c>
      <c r="B38" s="221" t="s">
        <v>1978</v>
      </c>
      <c r="C38" s="226">
        <f ca="1">ROUND(C34*F38,0)</f>
        <v>3854579</v>
      </c>
      <c r="D38" s="226"/>
      <c r="E38" s="226"/>
      <c r="F38" s="265">
        <f>'数据-取费表'!B36</f>
        <v>1.4999999999999999E-2</v>
      </c>
      <c r="G38" s="225" t="s">
        <v>1973</v>
      </c>
    </row>
    <row r="39" spans="1:7" s="220" customFormat="1" ht="13.5" customHeight="1">
      <c r="A39" s="261" t="s">
        <v>1979</v>
      </c>
      <c r="B39" s="216" t="s">
        <v>1980</v>
      </c>
      <c r="C39" s="238">
        <f ca="1">ROUND(C33*F20,0)</f>
        <v>5576291</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11802220</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11570804</v>
      </c>
      <c r="D42" s="244"/>
      <c r="E42" s="244"/>
      <c r="F42" s="245"/>
      <c r="G42" s="3523" t="s">
        <v>2036</v>
      </c>
    </row>
    <row r="43" spans="1:7" ht="13.5" customHeight="1">
      <c r="A43" s="869" t="s">
        <v>611</v>
      </c>
      <c r="B43" s="221" t="s">
        <v>1990</v>
      </c>
      <c r="C43" s="244">
        <f ca="1">ROUND(IF('数据-取费表'!B22&lt;=1,C39*F22*'数据-取费表'!B20/2,C39*(POWER((1+F22),'数据-取费表'!B20/2)-1)),0)</f>
        <v>231416</v>
      </c>
      <c r="D43" s="244"/>
      <c r="E43" s="244"/>
      <c r="F43" s="245"/>
      <c r="G43" s="3524"/>
    </row>
    <row r="44" spans="1:7" ht="13.5" customHeight="1">
      <c r="A44" s="869" t="s">
        <v>612</v>
      </c>
      <c r="B44" s="221" t="s">
        <v>1991</v>
      </c>
      <c r="C44" s="244">
        <f ca="1">ROUND(IF('数据-取费表'!B22&lt;=1,C40*F22*'数据-取费表'!B20/2,C40*(POWER((1+F22),'数据-取费表'!B20/2)-1)),4)</f>
        <v>8.0000000000000004E-4</v>
      </c>
      <c r="D44" s="244"/>
      <c r="E44" s="244"/>
      <c r="F44" s="245"/>
      <c r="G44" s="3525"/>
    </row>
    <row r="45" spans="1:7" s="220" customFormat="1" ht="13.5" customHeight="1">
      <c r="A45" s="261" t="s">
        <v>1992</v>
      </c>
      <c r="B45" s="250" t="s">
        <v>1958</v>
      </c>
      <c r="C45" s="251">
        <f ca="1">C46</f>
        <v>42658629</v>
      </c>
      <c r="D45" s="241">
        <f ca="1">C47</f>
        <v>3.0000000000000001E-3</v>
      </c>
      <c r="E45" s="242" t="s">
        <v>1984</v>
      </c>
      <c r="F45" s="2487">
        <f ca="1">F27</f>
        <v>0.15</v>
      </c>
      <c r="G45" s="253" t="s">
        <v>1993</v>
      </c>
    </row>
    <row r="46" spans="1:7" s="220" customFormat="1" ht="13.5" customHeight="1">
      <c r="A46" s="869" t="s">
        <v>610</v>
      </c>
      <c r="B46" s="254" t="s">
        <v>1994</v>
      </c>
      <c r="C46" s="255">
        <f ca="1">ROUND((C33+C39)*F27,0)</f>
        <v>42658629</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367159720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297399373</v>
      </c>
      <c r="D51" s="238"/>
      <c r="E51" s="238"/>
      <c r="F51" s="270"/>
      <c r="G51" s="240" t="s">
        <v>2005</v>
      </c>
    </row>
    <row r="52" spans="1:7" s="214" customFormat="1" ht="16.5" thickBot="1">
      <c r="A52" s="271" t="s">
        <v>2006</v>
      </c>
      <c r="B52" s="272"/>
      <c r="C52" s="273">
        <f ca="1">C31+C51</f>
        <v>325433842</v>
      </c>
      <c r="D52" s="272"/>
      <c r="E52" s="272"/>
      <c r="F52" s="272"/>
      <c r="G52" s="274"/>
    </row>
    <row r="55" spans="1:7" ht="15">
      <c r="B55" s="276" t="s">
        <v>2007</v>
      </c>
      <c r="C55" s="277"/>
    </row>
    <row r="56" spans="1:7">
      <c r="B56" s="279" t="s">
        <v>1237</v>
      </c>
      <c r="C56" s="281">
        <f ca="1">1-C57</f>
        <v>8.5999999999999965E-2</v>
      </c>
    </row>
    <row r="57" spans="1:7">
      <c r="B57" s="279" t="s">
        <v>1238</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51394.390000000007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51394.390000000007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1028</v>
      </c>
      <c r="D20" s="936">
        <f ca="1">IF(C1="",'数据-汇总表'!E6,IF(INDIRECT("'数据-取费表'!c"&amp;$K$1)="住宅",INDIRECT("'数据-取费表'!s"&amp;$K$1),INDIRECT("'数据-取费表'!k"&amp;$K$1)+INDIRECT("'数据-取费表'!s"&amp;$K$1)))</f>
        <v>51394.390000000007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49" zoomScale="80" zoomScaleNormal="70" zoomScaleSheetLayoutView="80" workbookViewId="0">
      <selection activeCell="J17" sqref="J1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7.125" style="363" customWidth="1"/>
    <col min="8" max="8" width="12.25" style="363" customWidth="1"/>
    <col min="9" max="9" width="17"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3193</v>
      </c>
      <c r="E1" s="1355"/>
      <c r="F1" s="2016" t="s">
        <v>3365</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269666</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1119</v>
      </c>
      <c r="B3" s="566">
        <f>ROUND(B2/'数据-汇总表'!E31*10000,0)</f>
        <v>52470</v>
      </c>
      <c r="C3" s="360" t="s">
        <v>2224</v>
      </c>
      <c r="D3" s="359">
        <f>'数据-汇总表'!F31</f>
        <v>42113.560000000005</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2115</v>
      </c>
      <c r="B4" s="362"/>
      <c r="C4" s="3559" t="s">
        <v>2116</v>
      </c>
      <c r="D4" s="3560"/>
      <c r="E4" s="3561" t="s">
        <v>2227</v>
      </c>
      <c r="F4" s="3562"/>
      <c r="G4" s="3559" t="s">
        <v>2228</v>
      </c>
      <c r="H4" s="3560"/>
      <c r="I4" s="3559" t="s">
        <v>2229</v>
      </c>
      <c r="J4" s="3560"/>
      <c r="K4" s="567" t="s">
        <v>2230</v>
      </c>
      <c r="L4" s="2893"/>
      <c r="M4" s="2894"/>
      <c r="N4" s="2894"/>
      <c r="O4" s="2894"/>
      <c r="P4" s="3563" t="s">
        <v>2231</v>
      </c>
      <c r="Q4" s="3564"/>
      <c r="R4" s="3545" t="s">
        <v>2227</v>
      </c>
      <c r="S4" s="3546"/>
      <c r="T4" s="3545" t="s">
        <v>2228</v>
      </c>
      <c r="U4" s="3546"/>
      <c r="V4" s="3551" t="s">
        <v>2229</v>
      </c>
      <c r="W4" s="3551"/>
      <c r="X4" s="3310"/>
      <c r="Y4" s="3545" t="s">
        <v>2231</v>
      </c>
      <c r="Z4" s="3546"/>
      <c r="AA4" s="3553" t="s">
        <v>2227</v>
      </c>
      <c r="AB4" s="3553" t="s">
        <v>2228</v>
      </c>
      <c r="AC4" s="3556" t="s">
        <v>2229</v>
      </c>
    </row>
    <row r="5" spans="1:29" ht="15">
      <c r="A5" s="364"/>
      <c r="B5" s="365"/>
      <c r="C5" s="3569" t="s">
        <v>2122</v>
      </c>
      <c r="D5" s="3570"/>
      <c r="E5" s="3571" t="str">
        <f>Sheet1!E74</f>
        <v>兆泰国际中心CDE座（80%股权）</v>
      </c>
      <c r="F5" s="3572"/>
      <c r="G5" s="3569" t="str">
        <f>Sheet3!D10</f>
        <v>博瑞大厦</v>
      </c>
      <c r="H5" s="3570"/>
      <c r="I5" s="3569" t="str">
        <f>Sheet1!E85</f>
        <v>北京来福士中心</v>
      </c>
      <c r="J5" s="3570"/>
      <c r="K5" s="567"/>
      <c r="L5" s="2893"/>
      <c r="M5" s="2894"/>
      <c r="N5" s="2894"/>
      <c r="O5" s="2894"/>
      <c r="P5" s="3565"/>
      <c r="Q5" s="3566"/>
      <c r="R5" s="3547"/>
      <c r="S5" s="3548"/>
      <c r="T5" s="3547"/>
      <c r="U5" s="3548"/>
      <c r="V5" s="3552"/>
      <c r="W5" s="3552"/>
      <c r="X5" s="3311"/>
      <c r="Y5" s="3547"/>
      <c r="Z5" s="3548"/>
      <c r="AA5" s="3554"/>
      <c r="AB5" s="3554"/>
      <c r="AC5" s="3557"/>
    </row>
    <row r="6" spans="1:29" ht="15.75" thickBot="1">
      <c r="A6" s="366"/>
      <c r="B6" s="367"/>
      <c r="C6" s="3573" t="s">
        <v>2126</v>
      </c>
      <c r="D6" s="3574"/>
      <c r="E6" s="3575" t="s">
        <v>2126</v>
      </c>
      <c r="F6" s="3576"/>
      <c r="G6" s="3573" t="s">
        <v>2126</v>
      </c>
      <c r="H6" s="3574"/>
      <c r="I6" s="3573" t="s">
        <v>2126</v>
      </c>
      <c r="J6" s="3574"/>
      <c r="K6" s="567" t="s">
        <v>2127</v>
      </c>
      <c r="L6" s="2893"/>
      <c r="M6" s="2894"/>
      <c r="N6" s="2894"/>
      <c r="O6" s="2894"/>
      <c r="P6" s="3567"/>
      <c r="Q6" s="3568"/>
      <c r="R6" s="3547"/>
      <c r="S6" s="3548"/>
      <c r="T6" s="3549"/>
      <c r="U6" s="3550"/>
      <c r="V6" s="3552"/>
      <c r="W6" s="3552"/>
      <c r="X6" s="3311"/>
      <c r="Y6" s="3549"/>
      <c r="Z6" s="3550"/>
      <c r="AA6" s="3555"/>
      <c r="AB6" s="3555"/>
      <c r="AC6" s="3558"/>
    </row>
    <row r="7" spans="1:29" s="113" customFormat="1" ht="15.75" thickBot="1">
      <c r="A7" s="368" t="s">
        <v>2128</v>
      </c>
      <c r="B7" s="369"/>
      <c r="C7" s="370">
        <f>'数据-取费表'!B2</f>
        <v>44902</v>
      </c>
      <c r="D7" s="371">
        <v>100</v>
      </c>
      <c r="E7" s="372">
        <v>44228</v>
      </c>
      <c r="F7" s="373">
        <f>SUMIF(59:59,YEAR(E7)&amp;"-"&amp;MONTH(E7),60:60)</f>
        <v>97</v>
      </c>
      <c r="G7" s="372">
        <v>44851</v>
      </c>
      <c r="H7" s="371">
        <f>SUMIF(59:59,YEAR(G7)&amp;"-"&amp;MONTH(G7),60:60)</f>
        <v>100</v>
      </c>
      <c r="I7" s="372">
        <v>44348</v>
      </c>
      <c r="J7" s="371">
        <f>SUMIF(59:59,YEAR(I7)&amp;"-"&amp;MONTH(I7),60:60)</f>
        <v>98</v>
      </c>
      <c r="K7" s="568"/>
      <c r="L7" s="2895"/>
      <c r="M7" s="2896"/>
      <c r="N7" s="2896"/>
      <c r="O7" s="2896"/>
      <c r="P7" s="3541" t="s">
        <v>2129</v>
      </c>
      <c r="Q7" s="3542"/>
      <c r="R7" s="710" t="s">
        <v>17</v>
      </c>
      <c r="S7" s="711">
        <f t="shared" ref="S7:S15" si="0">F7</f>
        <v>97</v>
      </c>
      <c r="T7" s="710" t="s">
        <v>17</v>
      </c>
      <c r="U7" s="711">
        <f t="shared" ref="U7:U15" si="1">H7</f>
        <v>100</v>
      </c>
      <c r="V7" s="710" t="s">
        <v>17</v>
      </c>
      <c r="W7" s="711">
        <f t="shared" ref="W7:W15" si="2">J7</f>
        <v>98</v>
      </c>
      <c r="X7" s="712"/>
      <c r="Y7" s="3544" t="s">
        <v>2129</v>
      </c>
      <c r="Z7" s="3543"/>
      <c r="AA7" s="713">
        <f>D7/F7</f>
        <v>1.0309278350515463</v>
      </c>
      <c r="AB7" s="713">
        <f>D7/H7</f>
        <v>1</v>
      </c>
      <c r="AC7" s="2096">
        <f>D7/J7</f>
        <v>1.0204081632653061</v>
      </c>
    </row>
    <row r="8" spans="1:29" s="113" customFormat="1" ht="15.75" thickBot="1">
      <c r="A8" s="368" t="s">
        <v>2130</v>
      </c>
      <c r="B8" s="369"/>
      <c r="C8" s="374" t="s">
        <v>2232</v>
      </c>
      <c r="D8" s="371">
        <v>100</v>
      </c>
      <c r="E8" s="3281" t="s">
        <v>3425</v>
      </c>
      <c r="F8" s="373">
        <f>SUMIF(62:62,E8,63:63)-SUMIF(62:62,C8,63:63)+100</f>
        <v>95</v>
      </c>
      <c r="G8" s="3281" t="s">
        <v>3420</v>
      </c>
      <c r="H8" s="371">
        <f>SUMIF(62:62,G8,63:63)-SUMIF(62:62,C8,63:63)+100</f>
        <v>80</v>
      </c>
      <c r="I8" s="3281" t="s">
        <v>3425</v>
      </c>
      <c r="J8" s="371">
        <f>SUMIF(62:62,I8,63:63)-SUMIF(62:62,C8,63:63)+100</f>
        <v>95</v>
      </c>
      <c r="K8" s="568"/>
      <c r="L8" s="2895"/>
      <c r="M8" s="2896"/>
      <c r="N8" s="2896"/>
      <c r="O8" s="2896"/>
      <c r="P8" s="3541" t="s">
        <v>2132</v>
      </c>
      <c r="Q8" s="3543"/>
      <c r="R8" s="710" t="s">
        <v>17</v>
      </c>
      <c r="S8" s="711">
        <f t="shared" si="0"/>
        <v>95</v>
      </c>
      <c r="T8" s="710" t="s">
        <v>17</v>
      </c>
      <c r="U8" s="711">
        <f t="shared" si="1"/>
        <v>80</v>
      </c>
      <c r="V8" s="710" t="s">
        <v>17</v>
      </c>
      <c r="W8" s="711">
        <f t="shared" si="2"/>
        <v>95</v>
      </c>
      <c r="X8" s="712"/>
      <c r="Y8" s="3544" t="s">
        <v>2132</v>
      </c>
      <c r="Z8" s="3543"/>
      <c r="AA8" s="713">
        <f t="shared" ref="AA8:AA47" si="3">D8/F8</f>
        <v>1.0526315789473684</v>
      </c>
      <c r="AB8" s="713">
        <f t="shared" ref="AB8:AB47" si="4">D8/H8</f>
        <v>1.25</v>
      </c>
      <c r="AC8" s="2096">
        <f t="shared" ref="AC8:AC47" si="5">D8/J8</f>
        <v>1.0526315789473684</v>
      </c>
    </row>
    <row r="9" spans="1:29" s="113" customFormat="1">
      <c r="A9" s="375" t="s">
        <v>2133</v>
      </c>
      <c r="B9" s="67" t="s">
        <v>2134</v>
      </c>
      <c r="C9" s="3282" t="s">
        <v>3368</v>
      </c>
      <c r="D9" s="131">
        <v>100</v>
      </c>
      <c r="E9" s="3283" t="s">
        <v>3368</v>
      </c>
      <c r="F9" s="131">
        <f>SUMIF(64:64,E9,65:65)-SUMIF(64:64,C9,65:65)+100</f>
        <v>100</v>
      </c>
      <c r="G9" s="3300" t="s">
        <v>27</v>
      </c>
      <c r="H9" s="131">
        <f>SUMIF(64:64,G9,65:65)-SUMIF(64:64,C9,65:65)+100</f>
        <v>100</v>
      </c>
      <c r="I9" s="3284" t="s">
        <v>3368</v>
      </c>
      <c r="J9" s="131">
        <f>SUMIF(64:64,I9,65:65)-SUMIF(64:64,C9,65:65)+100</f>
        <v>100</v>
      </c>
      <c r="K9" s="568"/>
      <c r="L9" s="2895"/>
      <c r="M9" s="2896"/>
      <c r="N9" s="2896"/>
      <c r="O9" s="2896"/>
      <c r="P9" s="3526" t="s">
        <v>2135</v>
      </c>
      <c r="Q9" s="3309" t="str">
        <f t="shared" ref="Q9:Q15" si="6">B9</f>
        <v>用途</v>
      </c>
      <c r="R9" s="710" t="s">
        <v>17</v>
      </c>
      <c r="S9" s="711">
        <f t="shared" si="0"/>
        <v>100</v>
      </c>
      <c r="T9" s="710" t="s">
        <v>17</v>
      </c>
      <c r="U9" s="711">
        <f t="shared" si="1"/>
        <v>100</v>
      </c>
      <c r="V9" s="710" t="s">
        <v>17</v>
      </c>
      <c r="W9" s="711">
        <f t="shared" si="2"/>
        <v>100</v>
      </c>
      <c r="X9" s="712"/>
      <c r="Y9" s="3499" t="s">
        <v>2136</v>
      </c>
      <c r="Z9" s="3308" t="str">
        <f t="shared" ref="Z9:Z15" si="7">Q9</f>
        <v>用途</v>
      </c>
      <c r="AA9" s="713">
        <f t="shared" si="3"/>
        <v>1</v>
      </c>
      <c r="AB9" s="713">
        <f t="shared" si="4"/>
        <v>1</v>
      </c>
      <c r="AC9" s="2096">
        <f t="shared" si="5"/>
        <v>1</v>
      </c>
    </row>
    <row r="10" spans="1:29" s="386" customFormat="1" ht="27">
      <c r="A10" s="380"/>
      <c r="B10" s="381" t="s">
        <v>2137</v>
      </c>
      <c r="C10" s="382" t="s">
        <v>3371</v>
      </c>
      <c r="D10" s="132">
        <v>100</v>
      </c>
      <c r="E10" s="3303" t="s">
        <v>3371</v>
      </c>
      <c r="F10" s="132">
        <f>SUMIF(66:66,E10,67:67)-SUMIF(66:66,C10,67:67)+100</f>
        <v>100</v>
      </c>
      <c r="G10" s="383" t="s">
        <v>3371</v>
      </c>
      <c r="H10" s="132">
        <f>SUMIF(66:66,G10,67:67)-SUMIF(66:66,C10,67:67)+100</f>
        <v>100</v>
      </c>
      <c r="I10" s="382" t="s">
        <v>3371</v>
      </c>
      <c r="J10" s="132">
        <f>SUMIF(66:66,I10,67:67)-SUMIF(66:66,C10,67:67)+100</f>
        <v>100</v>
      </c>
      <c r="K10" s="569">
        <v>2</v>
      </c>
      <c r="L10" s="2897"/>
      <c r="M10" s="2898"/>
      <c r="N10" s="2898"/>
      <c r="O10" s="2898"/>
      <c r="P10" s="3526"/>
      <c r="Q10" s="3309" t="str">
        <f t="shared" si="6"/>
        <v>土地使用年限（年）</v>
      </c>
      <c r="R10" s="710" t="s">
        <v>17</v>
      </c>
      <c r="S10" s="711">
        <f t="shared" si="0"/>
        <v>100</v>
      </c>
      <c r="T10" s="710" t="s">
        <v>17</v>
      </c>
      <c r="U10" s="711">
        <f t="shared" si="1"/>
        <v>100</v>
      </c>
      <c r="V10" s="710" t="s">
        <v>17</v>
      </c>
      <c r="W10" s="711">
        <f t="shared" si="2"/>
        <v>100</v>
      </c>
      <c r="X10" s="712"/>
      <c r="Y10" s="3499"/>
      <c r="Z10" s="3308" t="str">
        <f t="shared" si="7"/>
        <v>土地使用年限（年）</v>
      </c>
      <c r="AA10" s="713">
        <f t="shared" si="3"/>
        <v>1</v>
      </c>
      <c r="AB10" s="713">
        <f t="shared" si="4"/>
        <v>1</v>
      </c>
      <c r="AC10" s="2096">
        <f t="shared" si="5"/>
        <v>1</v>
      </c>
    </row>
    <row r="11" spans="1:29" ht="15">
      <c r="A11" s="387"/>
      <c r="B11" s="381" t="s">
        <v>2138</v>
      </c>
      <c r="C11" s="388">
        <f>'数据-汇总表'!I6</f>
        <v>5.79</v>
      </c>
      <c r="D11" s="132">
        <v>100</v>
      </c>
      <c r="E11" s="388">
        <v>5</v>
      </c>
      <c r="F11" s="132">
        <f>LOOKUP(E11,69:69,70:70)-LOOKUP(C11,69:69,70:70)+100</f>
        <v>100</v>
      </c>
      <c r="G11" s="389">
        <v>5</v>
      </c>
      <c r="H11" s="132">
        <f>LOOKUP(G11,69:69,70:70)-LOOKUP(C11,69:69,70:70)+100</f>
        <v>100</v>
      </c>
      <c r="I11" s="388">
        <v>5</v>
      </c>
      <c r="J11" s="132">
        <f>LOOKUP(I11,69:69,70:70)-LOOKUP(C11,69:69,70:70)+100</f>
        <v>100</v>
      </c>
      <c r="K11" s="569">
        <v>2</v>
      </c>
      <c r="L11" s="2899"/>
      <c r="M11" s="2894"/>
      <c r="N11" s="2894"/>
      <c r="O11" s="2894"/>
      <c r="P11" s="3526"/>
      <c r="Q11" s="3309" t="str">
        <f t="shared" si="6"/>
        <v>容积率</v>
      </c>
      <c r="R11" s="710" t="s">
        <v>17</v>
      </c>
      <c r="S11" s="711">
        <f t="shared" si="0"/>
        <v>100</v>
      </c>
      <c r="T11" s="710" t="s">
        <v>17</v>
      </c>
      <c r="U11" s="711">
        <f t="shared" si="1"/>
        <v>100</v>
      </c>
      <c r="V11" s="710" t="s">
        <v>17</v>
      </c>
      <c r="W11" s="711">
        <f t="shared" si="2"/>
        <v>100</v>
      </c>
      <c r="X11" s="712"/>
      <c r="Y11" s="3499"/>
      <c r="Z11" s="3308"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526"/>
      <c r="Q12" s="3309">
        <f t="shared" si="6"/>
        <v>111</v>
      </c>
      <c r="R12" s="710" t="s">
        <v>17</v>
      </c>
      <c r="S12" s="711">
        <f t="shared" si="0"/>
        <v>100</v>
      </c>
      <c r="T12" s="710" t="s">
        <v>17</v>
      </c>
      <c r="U12" s="711">
        <f t="shared" si="1"/>
        <v>100</v>
      </c>
      <c r="V12" s="710" t="s">
        <v>17</v>
      </c>
      <c r="W12" s="711">
        <f t="shared" si="2"/>
        <v>100</v>
      </c>
      <c r="X12" s="712"/>
      <c r="Y12" s="3499"/>
      <c r="Z12" s="3308">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526"/>
      <c r="Q13" s="3309">
        <f t="shared" si="6"/>
        <v>111</v>
      </c>
      <c r="R13" s="710" t="s">
        <v>17</v>
      </c>
      <c r="S13" s="711">
        <f t="shared" si="0"/>
        <v>100</v>
      </c>
      <c r="T13" s="710" t="s">
        <v>17</v>
      </c>
      <c r="U13" s="711">
        <f t="shared" si="1"/>
        <v>100</v>
      </c>
      <c r="V13" s="710" t="s">
        <v>17</v>
      </c>
      <c r="W13" s="711">
        <f t="shared" si="2"/>
        <v>100</v>
      </c>
      <c r="X13" s="712"/>
      <c r="Y13" s="3499"/>
      <c r="Z13" s="3308">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526"/>
      <c r="Q14" s="3309">
        <f t="shared" si="6"/>
        <v>111</v>
      </c>
      <c r="R14" s="710" t="s">
        <v>17</v>
      </c>
      <c r="S14" s="711">
        <f t="shared" si="0"/>
        <v>100</v>
      </c>
      <c r="T14" s="710" t="s">
        <v>17</v>
      </c>
      <c r="U14" s="711">
        <f t="shared" si="1"/>
        <v>100</v>
      </c>
      <c r="V14" s="710" t="s">
        <v>17</v>
      </c>
      <c r="W14" s="711">
        <f t="shared" si="2"/>
        <v>100</v>
      </c>
      <c r="X14" s="712"/>
      <c r="Y14" s="3499"/>
      <c r="Z14" s="3308">
        <f t="shared" si="7"/>
        <v>111</v>
      </c>
      <c r="AA14" s="713">
        <f t="shared" si="3"/>
        <v>1</v>
      </c>
      <c r="AB14" s="713">
        <f t="shared" si="4"/>
        <v>1</v>
      </c>
      <c r="AC14" s="2096">
        <f t="shared" si="5"/>
        <v>1</v>
      </c>
    </row>
    <row r="15" spans="1:29" ht="71.25">
      <c r="A15" s="3301"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5</v>
      </c>
      <c r="L15" s="2900"/>
      <c r="M15" s="2894"/>
      <c r="N15" s="2894"/>
      <c r="O15" s="2894"/>
      <c r="P15" s="3532" t="s">
        <v>2140</v>
      </c>
      <c r="Q15" s="3313" t="str">
        <f t="shared" si="6"/>
        <v>办公集聚程度</v>
      </c>
      <c r="R15" s="714" t="s">
        <v>17</v>
      </c>
      <c r="S15" s="715">
        <f t="shared" si="0"/>
        <v>100</v>
      </c>
      <c r="T15" s="714" t="s">
        <v>17</v>
      </c>
      <c r="U15" s="715">
        <f t="shared" si="1"/>
        <v>100</v>
      </c>
      <c r="V15" s="714" t="s">
        <v>17</v>
      </c>
      <c r="W15" s="715">
        <f t="shared" si="2"/>
        <v>100</v>
      </c>
      <c r="X15" s="3311"/>
      <c r="Y15" s="3534" t="s">
        <v>2140</v>
      </c>
      <c r="Z15" s="3312" t="str">
        <f t="shared" si="7"/>
        <v>办公集聚程度</v>
      </c>
      <c r="AA15" s="3314">
        <f t="shared" si="3"/>
        <v>1</v>
      </c>
      <c r="AB15" s="3314">
        <f t="shared" si="4"/>
        <v>1</v>
      </c>
      <c r="AC15" s="2099">
        <f t="shared" si="5"/>
        <v>1</v>
      </c>
    </row>
    <row r="16" spans="1:29" ht="15">
      <c r="A16" s="387"/>
      <c r="B16" s="586"/>
      <c r="C16" s="3285" t="s">
        <v>3373</v>
      </c>
      <c r="D16" s="407"/>
      <c r="E16" s="3286" t="s">
        <v>3373</v>
      </c>
      <c r="F16" s="407"/>
      <c r="G16" s="3285" t="s">
        <v>3419</v>
      </c>
      <c r="H16" s="409"/>
      <c r="I16" s="3286" t="s">
        <v>3373</v>
      </c>
      <c r="J16" s="407"/>
      <c r="K16" s="572"/>
      <c r="L16" s="2900"/>
      <c r="M16" s="2894"/>
      <c r="N16" s="2894"/>
      <c r="O16" s="2894"/>
      <c r="P16" s="3533"/>
      <c r="Q16" s="3313"/>
      <c r="R16" s="714"/>
      <c r="S16" s="715"/>
      <c r="T16" s="714"/>
      <c r="U16" s="715"/>
      <c r="V16" s="714"/>
      <c r="W16" s="715"/>
      <c r="X16" s="3311"/>
      <c r="Y16" s="3535"/>
      <c r="Z16" s="3312"/>
      <c r="AA16" s="3314">
        <v>1</v>
      </c>
      <c r="AB16" s="3314">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103</v>
      </c>
      <c r="K17" s="571">
        <v>3</v>
      </c>
      <c r="L17" s="2900"/>
      <c r="M17" s="2894"/>
      <c r="N17" s="2894"/>
      <c r="O17" s="2894"/>
      <c r="P17" s="3533"/>
      <c r="Q17" s="3313" t="str">
        <f>B17</f>
        <v>交通便捷度</v>
      </c>
      <c r="R17" s="714" t="s">
        <v>17</v>
      </c>
      <c r="S17" s="715">
        <f>F17</f>
        <v>100</v>
      </c>
      <c r="T17" s="714" t="s">
        <v>17</v>
      </c>
      <c r="U17" s="715">
        <f>H17</f>
        <v>100</v>
      </c>
      <c r="V17" s="714" t="s">
        <v>17</v>
      </c>
      <c r="W17" s="715">
        <f>J17</f>
        <v>103</v>
      </c>
      <c r="X17" s="3311"/>
      <c r="Y17" s="3535"/>
      <c r="Z17" s="3312" t="str">
        <f>Q17</f>
        <v>交通便捷度</v>
      </c>
      <c r="AA17" s="3314">
        <f t="shared" si="3"/>
        <v>1</v>
      </c>
      <c r="AB17" s="3314">
        <f t="shared" si="4"/>
        <v>1</v>
      </c>
      <c r="AC17" s="2099">
        <f t="shared" si="5"/>
        <v>0.970873786407767</v>
      </c>
    </row>
    <row r="18" spans="1:29" ht="15">
      <c r="A18" s="387"/>
      <c r="B18" s="588"/>
      <c r="C18" s="3287" t="s">
        <v>3373</v>
      </c>
      <c r="D18" s="409"/>
      <c r="E18" s="3288" t="s">
        <v>3373</v>
      </c>
      <c r="F18" s="409"/>
      <c r="G18" s="3289" t="s">
        <v>3373</v>
      </c>
      <c r="H18" s="407"/>
      <c r="I18" s="3289" t="s">
        <v>3418</v>
      </c>
      <c r="J18" s="407"/>
      <c r="K18" s="572"/>
      <c r="L18" s="3290"/>
      <c r="M18" s="2894"/>
      <c r="N18" s="2894"/>
      <c r="O18" s="2894"/>
      <c r="P18" s="3533"/>
      <c r="Q18" s="3313"/>
      <c r="R18" s="714"/>
      <c r="S18" s="715"/>
      <c r="T18" s="714"/>
      <c r="U18" s="715"/>
      <c r="V18" s="714"/>
      <c r="W18" s="715"/>
      <c r="X18" s="3311"/>
      <c r="Y18" s="3535"/>
      <c r="Z18" s="3312"/>
      <c r="AA18" s="3314">
        <v>1</v>
      </c>
      <c r="AB18" s="3314">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33"/>
      <c r="Q19" s="3313" t="str">
        <f>B19</f>
        <v>公共配套设施</v>
      </c>
      <c r="R19" s="714" t="s">
        <v>17</v>
      </c>
      <c r="S19" s="715">
        <f>F19</f>
        <v>100</v>
      </c>
      <c r="T19" s="714" t="s">
        <v>17</v>
      </c>
      <c r="U19" s="715">
        <f>H19</f>
        <v>100</v>
      </c>
      <c r="V19" s="714" t="s">
        <v>17</v>
      </c>
      <c r="W19" s="715">
        <f>J19</f>
        <v>100</v>
      </c>
      <c r="X19" s="3311"/>
      <c r="Y19" s="3535"/>
      <c r="Z19" s="3312" t="str">
        <f>Q19</f>
        <v>公共配套设施</v>
      </c>
      <c r="AA19" s="3314">
        <f t="shared" si="3"/>
        <v>1</v>
      </c>
      <c r="AB19" s="3314">
        <f t="shared" si="4"/>
        <v>1</v>
      </c>
      <c r="AC19" s="2099">
        <f t="shared" si="5"/>
        <v>1</v>
      </c>
    </row>
    <row r="20" spans="1:29" ht="15">
      <c r="A20" s="387"/>
      <c r="B20" s="588"/>
      <c r="C20" s="3285" t="s">
        <v>3375</v>
      </c>
      <c r="D20" s="407"/>
      <c r="E20" s="3291" t="s">
        <v>3373</v>
      </c>
      <c r="F20" s="407"/>
      <c r="G20" s="3292" t="s">
        <v>3373</v>
      </c>
      <c r="H20" s="407"/>
      <c r="I20" s="3292" t="s">
        <v>3373</v>
      </c>
      <c r="J20" s="407"/>
      <c r="K20" s="572"/>
      <c r="L20" s="2900"/>
      <c r="M20" s="2894"/>
      <c r="N20" s="2894"/>
      <c r="O20" s="2894"/>
      <c r="P20" s="3533"/>
      <c r="Q20" s="3313"/>
      <c r="R20" s="714"/>
      <c r="S20" s="715"/>
      <c r="T20" s="714"/>
      <c r="U20" s="715"/>
      <c r="V20" s="714"/>
      <c r="W20" s="715"/>
      <c r="X20" s="3311"/>
      <c r="Y20" s="3535"/>
      <c r="Z20" s="3312"/>
      <c r="AA20" s="3314">
        <v>1</v>
      </c>
      <c r="AB20" s="3314">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33"/>
      <c r="Q21" s="3313" t="str">
        <f>B21</f>
        <v>基础设施水平</v>
      </c>
      <c r="R21" s="714" t="s">
        <v>17</v>
      </c>
      <c r="S21" s="715">
        <f>F21</f>
        <v>100</v>
      </c>
      <c r="T21" s="714" t="s">
        <v>17</v>
      </c>
      <c r="U21" s="715">
        <f>H21</f>
        <v>100</v>
      </c>
      <c r="V21" s="714" t="s">
        <v>17</v>
      </c>
      <c r="W21" s="715">
        <f>J21</f>
        <v>100</v>
      </c>
      <c r="X21" s="3311"/>
      <c r="Y21" s="3535"/>
      <c r="Z21" s="3312" t="str">
        <f>Q21</f>
        <v>基础设施水平</v>
      </c>
      <c r="AA21" s="3314">
        <f t="shared" ref="AA21" si="8">D21/F21</f>
        <v>1</v>
      </c>
      <c r="AB21" s="3314">
        <f t="shared" ref="AB21" si="9">D21/H21</f>
        <v>1</v>
      </c>
      <c r="AC21" s="2099">
        <f t="shared" ref="AC21" si="10">D21/J21</f>
        <v>1</v>
      </c>
    </row>
    <row r="22" spans="1:29" ht="15">
      <c r="A22" s="387"/>
      <c r="B22" s="589"/>
      <c r="C22" s="3287" t="s">
        <v>3376</v>
      </c>
      <c r="D22" s="407"/>
      <c r="E22" s="3286" t="s">
        <v>3377</v>
      </c>
      <c r="F22" s="407"/>
      <c r="G22" s="3285" t="s">
        <v>3378</v>
      </c>
      <c r="H22" s="407"/>
      <c r="I22" s="3285" t="s">
        <v>3378</v>
      </c>
      <c r="J22" s="407"/>
      <c r="K22" s="1245"/>
      <c r="L22" s="2900"/>
      <c r="M22" s="2894"/>
      <c r="N22" s="2894"/>
      <c r="O22" s="2894"/>
      <c r="P22" s="3533"/>
      <c r="Q22" s="3313"/>
      <c r="R22" s="714"/>
      <c r="S22" s="715"/>
      <c r="T22" s="714"/>
      <c r="U22" s="715"/>
      <c r="V22" s="714"/>
      <c r="W22" s="715"/>
      <c r="X22" s="3311"/>
      <c r="Y22" s="3535"/>
      <c r="Z22" s="3312"/>
      <c r="AA22" s="3314">
        <v>1</v>
      </c>
      <c r="AB22" s="3314">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33"/>
      <c r="Q23" s="3313" t="str">
        <f>B23</f>
        <v>环境质量</v>
      </c>
      <c r="R23" s="714" t="s">
        <v>17</v>
      </c>
      <c r="S23" s="715">
        <f>F23</f>
        <v>100</v>
      </c>
      <c r="T23" s="714" t="s">
        <v>17</v>
      </c>
      <c r="U23" s="715">
        <f>H23</f>
        <v>100</v>
      </c>
      <c r="V23" s="714" t="s">
        <v>17</v>
      </c>
      <c r="W23" s="715">
        <f>J23</f>
        <v>100</v>
      </c>
      <c r="X23" s="3311"/>
      <c r="Y23" s="3535"/>
      <c r="Z23" s="3312" t="str">
        <f>Q23</f>
        <v>环境质量</v>
      </c>
      <c r="AA23" s="3314">
        <f t="shared" si="3"/>
        <v>1</v>
      </c>
      <c r="AB23" s="3314">
        <f t="shared" si="4"/>
        <v>1</v>
      </c>
      <c r="AC23" s="2099">
        <f t="shared" si="5"/>
        <v>1</v>
      </c>
    </row>
    <row r="24" spans="1:29" ht="15">
      <c r="A24" s="387"/>
      <c r="B24" s="589"/>
      <c r="C24" s="3285" t="s">
        <v>3373</v>
      </c>
      <c r="D24" s="407"/>
      <c r="E24" s="3291" t="s">
        <v>3373</v>
      </c>
      <c r="F24" s="407"/>
      <c r="G24" s="3292" t="s">
        <v>3373</v>
      </c>
      <c r="H24" s="407"/>
      <c r="I24" s="3292" t="s">
        <v>3373</v>
      </c>
      <c r="J24" s="407"/>
      <c r="K24" s="572"/>
      <c r="L24" s="2900"/>
      <c r="M24" s="2894"/>
      <c r="N24" s="2894"/>
      <c r="O24" s="2894"/>
      <c r="P24" s="3533"/>
      <c r="Q24" s="3313"/>
      <c r="R24" s="714"/>
      <c r="S24" s="715"/>
      <c r="T24" s="714"/>
      <c r="U24" s="715"/>
      <c r="V24" s="714"/>
      <c r="W24" s="715"/>
      <c r="X24" s="3311"/>
      <c r="Y24" s="3535"/>
      <c r="Z24" s="3312"/>
      <c r="AA24" s="3314">
        <v>1</v>
      </c>
      <c r="AB24" s="3314">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33"/>
      <c r="Q25" s="3313" t="str">
        <f>B25</f>
        <v>毗邻道路的类型与等级</v>
      </c>
      <c r="R25" s="714" t="s">
        <v>17</v>
      </c>
      <c r="S25" s="715">
        <f>F25</f>
        <v>100</v>
      </c>
      <c r="T25" s="714" t="s">
        <v>17</v>
      </c>
      <c r="U25" s="715">
        <f>H25</f>
        <v>100</v>
      </c>
      <c r="V25" s="714" t="s">
        <v>17</v>
      </c>
      <c r="W25" s="715">
        <f>J25</f>
        <v>100</v>
      </c>
      <c r="X25" s="3311"/>
      <c r="Y25" s="3535"/>
      <c r="Z25" s="3312" t="str">
        <f>Q25</f>
        <v>毗邻道路的类型与等级</v>
      </c>
      <c r="AA25" s="3314">
        <f t="shared" si="3"/>
        <v>1</v>
      </c>
      <c r="AB25" s="3314">
        <f t="shared" si="4"/>
        <v>1</v>
      </c>
      <c r="AC25" s="2099">
        <f t="shared" si="5"/>
        <v>1</v>
      </c>
    </row>
    <row r="26" spans="1:29" ht="15">
      <c r="A26" s="364"/>
      <c r="B26" s="588"/>
      <c r="C26" s="590"/>
      <c r="D26" s="394"/>
      <c r="E26" s="573"/>
      <c r="F26" s="394"/>
      <c r="G26" s="590"/>
      <c r="H26" s="394"/>
      <c r="I26" s="573"/>
      <c r="J26" s="394"/>
      <c r="K26" s="572"/>
      <c r="L26" s="2900"/>
      <c r="M26" s="2894"/>
      <c r="N26" s="2894"/>
      <c r="O26" s="2894"/>
      <c r="P26" s="3533"/>
      <c r="Q26" s="3313"/>
      <c r="R26" s="714"/>
      <c r="S26" s="715"/>
      <c r="T26" s="714"/>
      <c r="U26" s="715"/>
      <c r="V26" s="714"/>
      <c r="W26" s="715"/>
      <c r="X26" s="3311"/>
      <c r="Y26" s="3535"/>
      <c r="Z26" s="3312"/>
      <c r="AA26" s="3314">
        <v>1</v>
      </c>
      <c r="AB26" s="3314">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33"/>
      <c r="Q27" s="3313" t="str">
        <f t="shared" ref="Q27:Q47" si="11">B27</f>
        <v>楼层</v>
      </c>
      <c r="R27" s="714" t="s">
        <v>17</v>
      </c>
      <c r="S27" s="715">
        <f>F27</f>
        <v>100</v>
      </c>
      <c r="T27" s="714" t="s">
        <v>17</v>
      </c>
      <c r="U27" s="715">
        <f>H27</f>
        <v>100</v>
      </c>
      <c r="V27" s="714" t="s">
        <v>17</v>
      </c>
      <c r="W27" s="715">
        <f>J27</f>
        <v>100</v>
      </c>
      <c r="X27" s="3311"/>
      <c r="Y27" s="3535"/>
      <c r="Z27" s="3312" t="str">
        <f>Q27</f>
        <v>楼层</v>
      </c>
      <c r="AA27" s="3314">
        <f t="shared" si="3"/>
        <v>1</v>
      </c>
      <c r="AB27" s="3314">
        <f t="shared" si="4"/>
        <v>1</v>
      </c>
      <c r="AC27" s="2099">
        <f t="shared" si="5"/>
        <v>1</v>
      </c>
    </row>
    <row r="28" spans="1:29" s="113" customFormat="1" ht="15">
      <c r="A28" s="390"/>
      <c r="B28" s="587" t="s">
        <v>2272</v>
      </c>
      <c r="C28" s="2101"/>
      <c r="D28" s="421">
        <v>100</v>
      </c>
      <c r="E28" s="2093"/>
      <c r="F28" s="421">
        <f>SUMIF(91:91,E28,92:92)-SUMIF(91:91,C28,92:92)+100</f>
        <v>100</v>
      </c>
      <c r="G28" s="2101"/>
      <c r="H28" s="421">
        <f>SUMIF(91:91,G28,92:92)-SUMIF(91:91,C28,92:92)+100</f>
        <v>100</v>
      </c>
      <c r="I28" s="2093"/>
      <c r="J28" s="421">
        <f>SUMIF(91:91,I28,92:92)-SUMIF(91:91,C28,92:92)+100</f>
        <v>100</v>
      </c>
      <c r="K28" s="569"/>
      <c r="L28" s="2895"/>
      <c r="M28" s="2896"/>
      <c r="N28" s="2896"/>
      <c r="O28" s="2896"/>
      <c r="P28" s="3533"/>
      <c r="Q28" s="3309" t="str">
        <f t="shared" si="11"/>
        <v>朝向</v>
      </c>
      <c r="R28" s="710" t="s">
        <v>17</v>
      </c>
      <c r="S28" s="711">
        <f>F28</f>
        <v>100</v>
      </c>
      <c r="T28" s="710" t="s">
        <v>17</v>
      </c>
      <c r="U28" s="711">
        <f>H28</f>
        <v>100</v>
      </c>
      <c r="V28" s="710" t="s">
        <v>17</v>
      </c>
      <c r="W28" s="711">
        <f>J28</f>
        <v>100</v>
      </c>
      <c r="X28" s="712"/>
      <c r="Y28" s="3535"/>
      <c r="Z28" s="3308" t="str">
        <f>Q28</f>
        <v>朝向</v>
      </c>
      <c r="AA28" s="3314">
        <f>D28/F28</f>
        <v>1</v>
      </c>
      <c r="AB28" s="3314">
        <f>D28/H28</f>
        <v>1</v>
      </c>
      <c r="AC28" s="2099">
        <f>D28/J28</f>
        <v>1</v>
      </c>
    </row>
    <row r="29" spans="1:29" ht="15">
      <c r="A29" s="387"/>
      <c r="B29" s="2102">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33"/>
      <c r="Q29" s="3313">
        <f t="shared" si="11"/>
        <v>111</v>
      </c>
      <c r="R29" s="714" t="s">
        <v>17</v>
      </c>
      <c r="S29" s="715">
        <f t="shared" ref="S29:S47" si="12">F29</f>
        <v>100</v>
      </c>
      <c r="T29" s="714" t="s">
        <v>17</v>
      </c>
      <c r="U29" s="715">
        <f t="shared" ref="U29:U47" si="13">H29</f>
        <v>100</v>
      </c>
      <c r="V29" s="714" t="s">
        <v>17</v>
      </c>
      <c r="W29" s="715">
        <f t="shared" ref="W29:W47" si="14">J29</f>
        <v>100</v>
      </c>
      <c r="X29" s="3311"/>
      <c r="Y29" s="3535"/>
      <c r="Z29" s="3312">
        <f t="shared" ref="Z29:Z47" si="15">Q29</f>
        <v>111</v>
      </c>
      <c r="AA29" s="3314">
        <f t="shared" si="3"/>
        <v>1</v>
      </c>
      <c r="AB29" s="3314">
        <f t="shared" si="4"/>
        <v>1</v>
      </c>
      <c r="AC29" s="2099">
        <f t="shared" si="5"/>
        <v>1</v>
      </c>
    </row>
    <row r="30" spans="1:29" ht="15">
      <c r="A30" s="387"/>
      <c r="B30" s="2102">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33"/>
      <c r="Q30" s="3313">
        <f t="shared" si="11"/>
        <v>111</v>
      </c>
      <c r="R30" s="714" t="s">
        <v>17</v>
      </c>
      <c r="S30" s="715">
        <f t="shared" si="12"/>
        <v>100</v>
      </c>
      <c r="T30" s="714" t="s">
        <v>17</v>
      </c>
      <c r="U30" s="715">
        <f t="shared" si="13"/>
        <v>100</v>
      </c>
      <c r="V30" s="714" t="s">
        <v>17</v>
      </c>
      <c r="W30" s="715">
        <f t="shared" si="14"/>
        <v>100</v>
      </c>
      <c r="X30" s="3311"/>
      <c r="Y30" s="3535"/>
      <c r="Z30" s="3312">
        <f t="shared" si="15"/>
        <v>111</v>
      </c>
      <c r="AA30" s="3314">
        <f t="shared" si="3"/>
        <v>1</v>
      </c>
      <c r="AB30" s="3314">
        <f t="shared" si="4"/>
        <v>1</v>
      </c>
      <c r="AC30" s="2099">
        <f t="shared" si="5"/>
        <v>1</v>
      </c>
    </row>
    <row r="31" spans="1:29" ht="15">
      <c r="A31" s="387"/>
      <c r="B31" s="2102">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33"/>
      <c r="Q31" s="3313">
        <f t="shared" si="11"/>
        <v>111</v>
      </c>
      <c r="R31" s="714" t="s">
        <v>17</v>
      </c>
      <c r="S31" s="715">
        <f t="shared" si="12"/>
        <v>100</v>
      </c>
      <c r="T31" s="714" t="s">
        <v>17</v>
      </c>
      <c r="U31" s="715">
        <f t="shared" si="13"/>
        <v>100</v>
      </c>
      <c r="V31" s="714" t="s">
        <v>17</v>
      </c>
      <c r="W31" s="715">
        <f t="shared" si="14"/>
        <v>100</v>
      </c>
      <c r="X31" s="3311"/>
      <c r="Y31" s="3535"/>
      <c r="Z31" s="3312">
        <f t="shared" si="15"/>
        <v>111</v>
      </c>
      <c r="AA31" s="3314">
        <f t="shared" si="3"/>
        <v>1</v>
      </c>
      <c r="AB31" s="3314">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33"/>
      <c r="Q32" s="3313">
        <f t="shared" si="11"/>
        <v>111</v>
      </c>
      <c r="R32" s="714" t="s">
        <v>17</v>
      </c>
      <c r="S32" s="715">
        <f t="shared" si="12"/>
        <v>100</v>
      </c>
      <c r="T32" s="714" t="s">
        <v>17</v>
      </c>
      <c r="U32" s="715">
        <f t="shared" si="13"/>
        <v>100</v>
      </c>
      <c r="V32" s="714" t="s">
        <v>17</v>
      </c>
      <c r="W32" s="715">
        <f t="shared" si="14"/>
        <v>100</v>
      </c>
      <c r="X32" s="3311"/>
      <c r="Y32" s="3535"/>
      <c r="Z32" s="3312">
        <f t="shared" si="15"/>
        <v>111</v>
      </c>
      <c r="AA32" s="3314">
        <f t="shared" si="3"/>
        <v>1</v>
      </c>
      <c r="AB32" s="3314">
        <f t="shared" si="4"/>
        <v>1</v>
      </c>
      <c r="AC32" s="2099">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36" t="s">
        <v>2145</v>
      </c>
      <c r="Q33" s="3313" t="str">
        <f t="shared" si="11"/>
        <v>建筑类型</v>
      </c>
      <c r="R33" s="714" t="s">
        <v>17</v>
      </c>
      <c r="S33" s="715">
        <f t="shared" si="12"/>
        <v>100</v>
      </c>
      <c r="T33" s="714" t="s">
        <v>17</v>
      </c>
      <c r="U33" s="715">
        <f t="shared" si="13"/>
        <v>100</v>
      </c>
      <c r="V33" s="714" t="s">
        <v>17</v>
      </c>
      <c r="W33" s="715">
        <f t="shared" si="14"/>
        <v>100</v>
      </c>
      <c r="X33" s="3311"/>
      <c r="Y33" s="3539" t="s">
        <v>2145</v>
      </c>
      <c r="Z33" s="3312" t="str">
        <f t="shared" si="15"/>
        <v>建筑类型</v>
      </c>
      <c r="AA33" s="3314">
        <f t="shared" si="3"/>
        <v>1</v>
      </c>
      <c r="AB33" s="3314">
        <f t="shared" si="4"/>
        <v>1</v>
      </c>
      <c r="AC33" s="2099">
        <f t="shared" si="5"/>
        <v>1</v>
      </c>
    </row>
    <row r="34" spans="1:29" s="430" customFormat="1" ht="15">
      <c r="A34" s="427"/>
      <c r="B34" s="381" t="s">
        <v>2146</v>
      </c>
      <c r="C34" s="428">
        <f>'数据-汇总表'!F31</f>
        <v>42113.560000000005</v>
      </c>
      <c r="D34" s="132">
        <v>100</v>
      </c>
      <c r="E34" s="389">
        <v>52838</v>
      </c>
      <c r="F34" s="384">
        <f>LOOKUP(E34,104:104,105:105)-LOOKUP(C34,104:104,105:105)+100</f>
        <v>98</v>
      </c>
      <c r="G34" s="388">
        <f>Sheet3!G10</f>
        <v>44759.39</v>
      </c>
      <c r="H34" s="132">
        <f>LOOKUP(G34,104:104,105:105)-LOOKUP(C34,104:104,105:105)+100</f>
        <v>100</v>
      </c>
      <c r="I34" s="388">
        <v>110996</v>
      </c>
      <c r="J34" s="132">
        <f>LOOKUP(I34,104:104,105:105)-LOOKUP(C34,104:104,105:105)+100</f>
        <v>96</v>
      </c>
      <c r="K34" s="570"/>
      <c r="L34" s="2899"/>
      <c r="M34" s="2901"/>
      <c r="N34" s="2901"/>
      <c r="O34" s="2901"/>
      <c r="P34" s="3537"/>
      <c r="Q34" s="716" t="str">
        <f t="shared" si="11"/>
        <v>项目建筑规模</v>
      </c>
      <c r="R34" s="717" t="s">
        <v>17</v>
      </c>
      <c r="S34" s="718">
        <f t="shared" si="12"/>
        <v>98</v>
      </c>
      <c r="T34" s="717" t="s">
        <v>17</v>
      </c>
      <c r="U34" s="718">
        <f t="shared" si="13"/>
        <v>100</v>
      </c>
      <c r="V34" s="717" t="s">
        <v>17</v>
      </c>
      <c r="W34" s="718">
        <f t="shared" si="14"/>
        <v>96</v>
      </c>
      <c r="X34" s="719"/>
      <c r="Y34" s="3539"/>
      <c r="Z34" s="720" t="str">
        <f t="shared" si="15"/>
        <v>项目建筑规模</v>
      </c>
      <c r="AA34" s="3314">
        <f t="shared" si="3"/>
        <v>1.0204081632653061</v>
      </c>
      <c r="AB34" s="3314">
        <f t="shared" si="4"/>
        <v>1</v>
      </c>
      <c r="AC34" s="2099">
        <f t="shared" si="5"/>
        <v>1.0416666666666667</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37"/>
      <c r="Q35" s="3313" t="str">
        <f t="shared" si="11"/>
        <v>建筑结构</v>
      </c>
      <c r="R35" s="714" t="s">
        <v>17</v>
      </c>
      <c r="S35" s="715">
        <f t="shared" si="12"/>
        <v>100</v>
      </c>
      <c r="T35" s="714" t="s">
        <v>17</v>
      </c>
      <c r="U35" s="715">
        <f t="shared" si="13"/>
        <v>100</v>
      </c>
      <c r="V35" s="714" t="s">
        <v>17</v>
      </c>
      <c r="W35" s="715">
        <f t="shared" si="14"/>
        <v>100</v>
      </c>
      <c r="X35" s="3311"/>
      <c r="Y35" s="3539"/>
      <c r="Z35" s="3312" t="str">
        <f t="shared" si="15"/>
        <v>建筑结构</v>
      </c>
      <c r="AA35" s="3314">
        <f t="shared" si="3"/>
        <v>1</v>
      </c>
      <c r="AB35" s="3314">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37"/>
      <c r="Q36" s="3313" t="str">
        <f t="shared" si="11"/>
        <v>公共部分装修</v>
      </c>
      <c r="R36" s="714" t="s">
        <v>17</v>
      </c>
      <c r="S36" s="715">
        <f t="shared" si="12"/>
        <v>100</v>
      </c>
      <c r="T36" s="714" t="s">
        <v>17</v>
      </c>
      <c r="U36" s="715">
        <f t="shared" si="13"/>
        <v>100</v>
      </c>
      <c r="V36" s="714" t="s">
        <v>17</v>
      </c>
      <c r="W36" s="715">
        <f t="shared" si="14"/>
        <v>100</v>
      </c>
      <c r="X36" s="3311"/>
      <c r="Y36" s="3539"/>
      <c r="Z36" s="3312" t="str">
        <f t="shared" si="15"/>
        <v>公共部分装修</v>
      </c>
      <c r="AA36" s="3314">
        <f t="shared" si="3"/>
        <v>1</v>
      </c>
      <c r="AB36" s="3314">
        <f t="shared" si="4"/>
        <v>1</v>
      </c>
      <c r="AC36" s="2099">
        <f t="shared" si="5"/>
        <v>1</v>
      </c>
    </row>
    <row r="37" spans="1:29" ht="15">
      <c r="A37" s="431"/>
      <c r="B37" s="3316" t="s">
        <v>2242</v>
      </c>
      <c r="C37" s="3317">
        <f>1-(2022-C52)/60</f>
        <v>0.76666666666666661</v>
      </c>
      <c r="D37" s="394">
        <v>100</v>
      </c>
      <c r="E37" s="3317">
        <f>1-(2022-E52)/60</f>
        <v>0.8666666666666667</v>
      </c>
      <c r="F37" s="420">
        <f>LOOKUP(E37,111:111,112:112)-LOOKUP(C37,111:111,112:112)+100</f>
        <v>101</v>
      </c>
      <c r="G37" s="3317">
        <f>1-(2022-G52)/60</f>
        <v>0.83333333333333337</v>
      </c>
      <c r="H37" s="420">
        <f>LOOKUP(G37,111:111,112:112)-LOOKUP(C37,111:111,112:112)+100</f>
        <v>101</v>
      </c>
      <c r="I37" s="3317">
        <f>1-(2022-I52)/60</f>
        <v>0.76666666666666661</v>
      </c>
      <c r="J37" s="394">
        <f>LOOKUP(I37,111:111,112:112)-LOOKUP(C37,111:111,112:112)+100</f>
        <v>100</v>
      </c>
      <c r="K37" s="3318">
        <v>1</v>
      </c>
      <c r="L37" s="2900"/>
      <c r="M37" s="2894"/>
      <c r="N37" s="2894"/>
      <c r="O37" s="2894"/>
      <c r="P37" s="3537"/>
      <c r="Q37" s="3313" t="str">
        <f t="shared" si="11"/>
        <v>成新度</v>
      </c>
      <c r="R37" s="714" t="s">
        <v>17</v>
      </c>
      <c r="S37" s="715">
        <f t="shared" si="12"/>
        <v>101</v>
      </c>
      <c r="T37" s="714" t="s">
        <v>17</v>
      </c>
      <c r="U37" s="715">
        <f t="shared" si="13"/>
        <v>101</v>
      </c>
      <c r="V37" s="714" t="s">
        <v>17</v>
      </c>
      <c r="W37" s="715">
        <f t="shared" si="14"/>
        <v>100</v>
      </c>
      <c r="X37" s="3311"/>
      <c r="Y37" s="3539"/>
      <c r="Z37" s="3312" t="str">
        <f t="shared" si="15"/>
        <v>成新度</v>
      </c>
      <c r="AA37" s="3314">
        <f t="shared" si="3"/>
        <v>0.99009900990099009</v>
      </c>
      <c r="AB37" s="3314">
        <f t="shared" si="4"/>
        <v>0.99009900990099009</v>
      </c>
      <c r="AC37" s="2099">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37"/>
      <c r="Q38" s="3309" t="str">
        <f t="shared" si="11"/>
        <v>写字楼等级</v>
      </c>
      <c r="R38" s="710" t="s">
        <v>17</v>
      </c>
      <c r="S38" s="711">
        <f t="shared" si="12"/>
        <v>100</v>
      </c>
      <c r="T38" s="710" t="s">
        <v>17</v>
      </c>
      <c r="U38" s="711">
        <f t="shared" si="13"/>
        <v>100</v>
      </c>
      <c r="V38" s="710" t="s">
        <v>17</v>
      </c>
      <c r="W38" s="711">
        <f t="shared" si="14"/>
        <v>100</v>
      </c>
      <c r="X38" s="712"/>
      <c r="Y38" s="3539"/>
      <c r="Z38" s="3308"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37" t="s">
        <v>2145</v>
      </c>
      <c r="Q39" s="3313" t="str">
        <f t="shared" si="11"/>
        <v>物业管理</v>
      </c>
      <c r="R39" s="714" t="s">
        <v>17</v>
      </c>
      <c r="S39" s="715">
        <f t="shared" si="12"/>
        <v>100</v>
      </c>
      <c r="T39" s="714" t="s">
        <v>17</v>
      </c>
      <c r="U39" s="715">
        <f t="shared" si="13"/>
        <v>100</v>
      </c>
      <c r="V39" s="714" t="s">
        <v>17</v>
      </c>
      <c r="W39" s="715">
        <f t="shared" si="14"/>
        <v>100</v>
      </c>
      <c r="X39" s="3311"/>
      <c r="Y39" s="3539" t="s">
        <v>2145</v>
      </c>
      <c r="Z39" s="3312" t="str">
        <f t="shared" si="15"/>
        <v>物业管理</v>
      </c>
      <c r="AA39" s="3314">
        <f t="shared" si="3"/>
        <v>1</v>
      </c>
      <c r="AB39" s="3314">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37"/>
      <c r="Q40" s="3313" t="str">
        <f t="shared" si="11"/>
        <v>市政基础设施</v>
      </c>
      <c r="R40" s="714" t="s">
        <v>17</v>
      </c>
      <c r="S40" s="715">
        <f t="shared" si="12"/>
        <v>100</v>
      </c>
      <c r="T40" s="714" t="s">
        <v>17</v>
      </c>
      <c r="U40" s="715">
        <f t="shared" si="13"/>
        <v>100</v>
      </c>
      <c r="V40" s="714" t="s">
        <v>17</v>
      </c>
      <c r="W40" s="715">
        <f t="shared" si="14"/>
        <v>100</v>
      </c>
      <c r="X40" s="3311"/>
      <c r="Y40" s="3539"/>
      <c r="Z40" s="3312" t="str">
        <f t="shared" si="15"/>
        <v>市政基础设施</v>
      </c>
      <c r="AA40" s="3314">
        <f t="shared" si="3"/>
        <v>1</v>
      </c>
      <c r="AB40" s="3314">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37"/>
      <c r="Q41" s="3313" t="str">
        <f t="shared" si="11"/>
        <v>层高</v>
      </c>
      <c r="R41" s="714" t="s">
        <v>17</v>
      </c>
      <c r="S41" s="715">
        <f t="shared" si="12"/>
        <v>100</v>
      </c>
      <c r="T41" s="714" t="s">
        <v>17</v>
      </c>
      <c r="U41" s="715">
        <f t="shared" si="13"/>
        <v>100</v>
      </c>
      <c r="V41" s="714" t="s">
        <v>17</v>
      </c>
      <c r="W41" s="715">
        <f t="shared" si="14"/>
        <v>100</v>
      </c>
      <c r="X41" s="3311"/>
      <c r="Y41" s="3539"/>
      <c r="Z41" s="3312" t="str">
        <f t="shared" si="15"/>
        <v>层高</v>
      </c>
      <c r="AA41" s="3314">
        <f t="shared" si="3"/>
        <v>1</v>
      </c>
      <c r="AB41" s="3314">
        <f t="shared" si="4"/>
        <v>1</v>
      </c>
      <c r="AC41" s="2099">
        <f t="shared" si="5"/>
        <v>1</v>
      </c>
    </row>
    <row r="42" spans="1:29" s="430" customFormat="1" ht="15">
      <c r="A42" s="427"/>
      <c r="B42" s="3315"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37"/>
      <c r="Q42" s="716" t="str">
        <f t="shared" si="11"/>
        <v>单套建筑面积</v>
      </c>
      <c r="R42" s="717" t="s">
        <v>17</v>
      </c>
      <c r="S42" s="718">
        <f t="shared" si="12"/>
        <v>100</v>
      </c>
      <c r="T42" s="717" t="s">
        <v>17</v>
      </c>
      <c r="U42" s="718">
        <f t="shared" si="13"/>
        <v>100</v>
      </c>
      <c r="V42" s="717" t="s">
        <v>17</v>
      </c>
      <c r="W42" s="718">
        <f t="shared" si="14"/>
        <v>100</v>
      </c>
      <c r="X42" s="719"/>
      <c r="Y42" s="3539"/>
      <c r="Z42" s="720" t="str">
        <f t="shared" si="15"/>
        <v>单套建筑面积</v>
      </c>
      <c r="AA42" s="3314">
        <f t="shared" si="3"/>
        <v>1</v>
      </c>
      <c r="AB42" s="3314">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37"/>
      <c r="Q43" s="3313" t="str">
        <f t="shared" si="11"/>
        <v>内部装修</v>
      </c>
      <c r="R43" s="714" t="s">
        <v>17</v>
      </c>
      <c r="S43" s="715">
        <f t="shared" si="12"/>
        <v>100</v>
      </c>
      <c r="T43" s="714" t="s">
        <v>17</v>
      </c>
      <c r="U43" s="715">
        <f t="shared" si="13"/>
        <v>100</v>
      </c>
      <c r="V43" s="714" t="s">
        <v>17</v>
      </c>
      <c r="W43" s="715">
        <f t="shared" si="14"/>
        <v>100</v>
      </c>
      <c r="X43" s="3311"/>
      <c r="Y43" s="3539"/>
      <c r="Z43" s="3312" t="str">
        <f t="shared" si="15"/>
        <v>内部装修</v>
      </c>
      <c r="AA43" s="3314">
        <f t="shared" si="3"/>
        <v>1</v>
      </c>
      <c r="AB43" s="3314">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537"/>
      <c r="Q44" s="3313" t="str">
        <f t="shared" si="11"/>
        <v>内部装修维护情况</v>
      </c>
      <c r="R44" s="714" t="s">
        <v>17</v>
      </c>
      <c r="S44" s="715">
        <f t="shared" si="12"/>
        <v>100</v>
      </c>
      <c r="T44" s="714" t="s">
        <v>17</v>
      </c>
      <c r="U44" s="715">
        <f t="shared" si="13"/>
        <v>100</v>
      </c>
      <c r="V44" s="714" t="s">
        <v>17</v>
      </c>
      <c r="W44" s="715">
        <f t="shared" si="14"/>
        <v>100</v>
      </c>
      <c r="X44" s="3311"/>
      <c r="Y44" s="3539"/>
      <c r="Z44" s="3312" t="str">
        <f t="shared" si="15"/>
        <v>内部装修维护情况</v>
      </c>
      <c r="AA44" s="3314">
        <f t="shared" si="3"/>
        <v>1</v>
      </c>
      <c r="AB44" s="3314">
        <f t="shared" si="4"/>
        <v>1</v>
      </c>
      <c r="AC44" s="2099">
        <f t="shared" si="5"/>
        <v>1</v>
      </c>
    </row>
    <row r="45" spans="1:29" s="113" customFormat="1" ht="15">
      <c r="A45" s="432"/>
      <c r="B45" s="3304" t="s">
        <v>3379</v>
      </c>
      <c r="C45" s="3294" t="str">
        <f>C127</f>
        <v>小（0-20%）</v>
      </c>
      <c r="D45" s="132">
        <v>100</v>
      </c>
      <c r="E45" s="3295" t="str">
        <f>C127</f>
        <v>小（0-20%）</v>
      </c>
      <c r="F45" s="384">
        <f>SUMIF(127:127,E45,128:128)-SUMIF(127:127,C45,128:128)+100</f>
        <v>100</v>
      </c>
      <c r="G45" s="3322" t="str">
        <f>D127</f>
        <v>中（20%-30%）</v>
      </c>
      <c r="H45" s="3307">
        <f>SUMIF(127:127,G45,128:128)-SUMIF(127:127,C45,128:128)+100</f>
        <v>90</v>
      </c>
      <c r="I45" s="3302" t="str">
        <f>D127</f>
        <v>中（20%-30%）</v>
      </c>
      <c r="J45" s="132">
        <f>SUMIF(127:127,I45,128:128)-SUMIF(127:127,C45,128:128)+100</f>
        <v>90</v>
      </c>
      <c r="K45" s="570"/>
      <c r="L45" s="2895"/>
      <c r="M45" s="2896"/>
      <c r="N45" s="2896"/>
      <c r="O45" s="2896"/>
      <c r="P45" s="3537"/>
      <c r="Q45" s="3309" t="str">
        <f t="shared" si="11"/>
        <v>地下面积占比</v>
      </c>
      <c r="R45" s="710" t="s">
        <v>17</v>
      </c>
      <c r="S45" s="711">
        <f t="shared" si="12"/>
        <v>100</v>
      </c>
      <c r="T45" s="710" t="s">
        <v>17</v>
      </c>
      <c r="U45" s="711">
        <f t="shared" si="13"/>
        <v>90</v>
      </c>
      <c r="V45" s="710" t="s">
        <v>17</v>
      </c>
      <c r="W45" s="711">
        <f t="shared" si="14"/>
        <v>90</v>
      </c>
      <c r="X45" s="712"/>
      <c r="Y45" s="3539"/>
      <c r="Z45" s="3308" t="str">
        <f t="shared" si="15"/>
        <v>地下面积占比</v>
      </c>
      <c r="AA45" s="713">
        <f t="shared" si="3"/>
        <v>1</v>
      </c>
      <c r="AB45" s="713">
        <f t="shared" si="4"/>
        <v>1.1111111111111112</v>
      </c>
      <c r="AC45" s="2096">
        <f t="shared" si="5"/>
        <v>1.1111111111111112</v>
      </c>
    </row>
    <row r="46" spans="1:29" ht="15">
      <c r="A46" s="431"/>
      <c r="B46" s="3323"/>
      <c r="C46" s="3324"/>
      <c r="D46" s="394">
        <v>100</v>
      </c>
      <c r="E46" s="3324"/>
      <c r="F46" s="420">
        <f>SUMIF(129:129,E46,130:130)-SUMIF(129:129,C46,130:130)+100</f>
        <v>100</v>
      </c>
      <c r="G46" s="3324"/>
      <c r="H46" s="394">
        <f>SUMIF(129:129,G46,130:130)-SUMIF(129:129,C46,130:130)+100</f>
        <v>100</v>
      </c>
      <c r="I46" s="3324"/>
      <c r="J46" s="394">
        <f>SUMIF(129:129,I46,130:130)-SUMIF(129:129,C46,130:130)+100</f>
        <v>100</v>
      </c>
      <c r="K46" s="570"/>
      <c r="L46" s="2900"/>
      <c r="M46" s="2894"/>
      <c r="N46" s="2894"/>
      <c r="O46" s="2894"/>
      <c r="P46" s="3537"/>
      <c r="Q46" s="3313">
        <f t="shared" si="11"/>
        <v>0</v>
      </c>
      <c r="R46" s="714" t="s">
        <v>17</v>
      </c>
      <c r="S46" s="715">
        <f t="shared" si="12"/>
        <v>100</v>
      </c>
      <c r="T46" s="714" t="s">
        <v>17</v>
      </c>
      <c r="U46" s="715">
        <f t="shared" si="13"/>
        <v>100</v>
      </c>
      <c r="V46" s="714" t="s">
        <v>17</v>
      </c>
      <c r="W46" s="715">
        <f t="shared" si="14"/>
        <v>100</v>
      </c>
      <c r="X46" s="3311"/>
      <c r="Y46" s="3539"/>
      <c r="Z46" s="3312">
        <f t="shared" si="15"/>
        <v>0</v>
      </c>
      <c r="AA46" s="3314">
        <f t="shared" si="3"/>
        <v>1</v>
      </c>
      <c r="AB46" s="3314">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38"/>
      <c r="Q47" s="3313">
        <f t="shared" si="11"/>
        <v>111</v>
      </c>
      <c r="R47" s="714" t="s">
        <v>17</v>
      </c>
      <c r="S47" s="715">
        <f t="shared" si="12"/>
        <v>100</v>
      </c>
      <c r="T47" s="714" t="s">
        <v>17</v>
      </c>
      <c r="U47" s="715">
        <f t="shared" si="13"/>
        <v>100</v>
      </c>
      <c r="V47" s="714" t="s">
        <v>17</v>
      </c>
      <c r="W47" s="715">
        <f t="shared" si="14"/>
        <v>100</v>
      </c>
      <c r="X47" s="3311"/>
      <c r="Y47" s="3540"/>
      <c r="Z47" s="3312">
        <f t="shared" si="15"/>
        <v>111</v>
      </c>
      <c r="AA47" s="3314">
        <f t="shared" si="3"/>
        <v>1</v>
      </c>
      <c r="AB47" s="3314">
        <f t="shared" si="4"/>
        <v>1</v>
      </c>
      <c r="AC47" s="2099">
        <f t="shared" si="5"/>
        <v>1</v>
      </c>
    </row>
    <row r="48" spans="1:29" ht="15">
      <c r="A48" s="438" t="s">
        <v>2157</v>
      </c>
      <c r="B48" s="439"/>
      <c r="C48" s="1269" t="s">
        <v>1</v>
      </c>
      <c r="D48" s="1270"/>
      <c r="E48" s="3327">
        <f>Sheet1!I74</f>
        <v>56777</v>
      </c>
      <c r="F48" s="1272"/>
      <c r="G48" s="3328">
        <f>Sheet3!H10</f>
        <v>45510</v>
      </c>
      <c r="H48" s="1274"/>
      <c r="I48" s="3327">
        <f>Sheet1!I85</f>
        <v>55732</v>
      </c>
      <c r="J48" s="444"/>
      <c r="K48" s="723"/>
      <c r="L48" s="2902"/>
      <c r="M48" s="2894"/>
      <c r="N48" s="2894"/>
      <c r="O48" s="2894"/>
      <c r="P48" s="3526" t="str">
        <f>A48</f>
        <v>成交单价（元/平方米）</v>
      </c>
      <c r="Q48" s="3527"/>
      <c r="R48" s="3528">
        <f>E48</f>
        <v>56777</v>
      </c>
      <c r="S48" s="3528"/>
      <c r="T48" s="3528">
        <f>G48</f>
        <v>45510</v>
      </c>
      <c r="U48" s="3528"/>
      <c r="V48" s="3528">
        <f>I48</f>
        <v>55732</v>
      </c>
      <c r="W48" s="3528"/>
      <c r="X48" s="405"/>
      <c r="Y48" s="721"/>
      <c r="Z48" s="405"/>
      <c r="AA48" s="405"/>
      <c r="AB48" s="405"/>
      <c r="AC48" s="586"/>
    </row>
    <row r="49" spans="1:29" ht="15.75" thickBot="1">
      <c r="A49" s="445" t="s">
        <v>2249</v>
      </c>
      <c r="B49" s="446"/>
      <c r="C49" s="1275">
        <f>R50</f>
        <v>64033</v>
      </c>
      <c r="D49" s="2488" t="s">
        <v>2639</v>
      </c>
      <c r="E49" s="1276">
        <f>R49</f>
        <v>62249</v>
      </c>
      <c r="F49" s="2489"/>
      <c r="G49" s="1275">
        <f>T49</f>
        <v>62583</v>
      </c>
      <c r="H49" s="2489"/>
      <c r="I49" s="1276">
        <f>V49</f>
        <v>67267</v>
      </c>
      <c r="J49" s="2489"/>
      <c r="K49" s="2491">
        <f>F49+H49+J49</f>
        <v>0</v>
      </c>
      <c r="L49" s="2902"/>
      <c r="M49" s="2894"/>
      <c r="N49" s="2894"/>
      <c r="O49" s="2894"/>
      <c r="P49" s="3526" t="str">
        <f>A49</f>
        <v>比较价值（元/平方米）</v>
      </c>
      <c r="Q49" s="3527"/>
      <c r="R49" s="3528">
        <f>IF(F1="售价",ROUND(PRODUCT(R48,AA7:AA47),0),ROUND(PRODUCT(R48,AA7:AA47),1))</f>
        <v>62249</v>
      </c>
      <c r="S49" s="3528"/>
      <c r="T49" s="3528">
        <f>IF(F1="售价",ROUND(PRODUCT(T48,AB7:AB47),0),ROUND(PRODUCT(T48,AB7:AB47),1))</f>
        <v>62583</v>
      </c>
      <c r="U49" s="3528"/>
      <c r="V49" s="3528">
        <f>IF(F1="售价",ROUND(PRODUCT(V48,AC7:AC47),0),ROUND(PRODUCT(V48,AC7:AC47),1))</f>
        <v>67267</v>
      </c>
      <c r="W49" s="3528"/>
      <c r="X49" s="405"/>
      <c r="Y49" s="405"/>
      <c r="Z49" s="405"/>
      <c r="AA49" s="405"/>
      <c r="AB49" s="405"/>
      <c r="AC49" s="586"/>
    </row>
    <row r="50" spans="1:29" ht="15.75" thickBot="1">
      <c r="A50" s="449" t="s">
        <v>2159</v>
      </c>
      <c r="B50" s="450"/>
      <c r="C50" s="1278">
        <f>R50</f>
        <v>64033</v>
      </c>
      <c r="D50" s="1278"/>
      <c r="E50" s="1278"/>
      <c r="F50" s="1278"/>
      <c r="G50" s="1278"/>
      <c r="H50" s="1278"/>
      <c r="I50" s="1278"/>
      <c r="J50" s="451"/>
      <c r="K50" s="724"/>
      <c r="L50" s="2902"/>
      <c r="M50" s="2894"/>
      <c r="N50" s="2894"/>
      <c r="O50" s="2894"/>
      <c r="P50" s="3529" t="str">
        <f>A50</f>
        <v>估价对象XX用房的比较价值（楼面单价，元/平方米）</v>
      </c>
      <c r="Q50" s="3530"/>
      <c r="R50" s="3531">
        <f>IF(F1="售价",ROUND(IF(D49="简单平均",AVERAGE(R49:V49),R49*F49+T49*H49+V49*J49),0),ROUND(IF(D49="简单平均",AVERAGE(R49:V49),R49*F49+T49*H49+V49*J49),1))</f>
        <v>64033</v>
      </c>
      <c r="S50" s="3531"/>
      <c r="T50" s="3531"/>
      <c r="U50" s="3531"/>
      <c r="V50" s="3531"/>
      <c r="W50" s="3531"/>
      <c r="X50" s="2083"/>
      <c r="Y50" s="2083"/>
      <c r="Z50" s="2083"/>
      <c r="AA50" s="2083"/>
      <c r="AB50" s="2083"/>
      <c r="AC50" s="2084"/>
    </row>
    <row r="51" spans="1:29" ht="111.75">
      <c r="A51" s="2903"/>
      <c r="B51" s="2903"/>
      <c r="C51" s="2903"/>
      <c r="D51" s="2903"/>
      <c r="E51" s="3325" t="s">
        <v>3390</v>
      </c>
      <c r="F51" s="2903"/>
      <c r="G51" s="3331" t="s">
        <v>3415</v>
      </c>
      <c r="H51" s="2903"/>
      <c r="I51" s="2903" t="s">
        <v>3392</v>
      </c>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v>2008</v>
      </c>
      <c r="D52" s="2903"/>
      <c r="E52" s="2903">
        <v>2014</v>
      </c>
      <c r="F52" s="2903"/>
      <c r="G52" s="2903">
        <v>2012</v>
      </c>
      <c r="H52" s="2903"/>
      <c r="I52" s="2903">
        <v>2008</v>
      </c>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9.6377054088803593E-2</v>
      </c>
      <c r="F53" s="457" t="str">
        <f>IF(OR(E53&gt;=0.3,E53&lt;=-0.3),"超过30%","")</f>
        <v/>
      </c>
      <c r="G53" s="456">
        <f>IF(G48&lt;G49,G49/G48-1,G48/G49-1)</f>
        <v>0.37514831905075807</v>
      </c>
      <c r="H53" s="457" t="str">
        <f>IF(OR(G53&gt;=0.3,G53&lt;=-0.3),"超过30%","")</f>
        <v>超过30%</v>
      </c>
      <c r="I53" s="456">
        <f>IF(I48&lt;I49,I49/I48-1,I48/I49-1)</f>
        <v>0.20697265484820204</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2161</v>
      </c>
      <c r="D54" s="458"/>
      <c r="E54" s="456">
        <f>IF(E49&lt;G49,G49/E49-1,E49/G49-1)</f>
        <v>5.3655480409324774E-3</v>
      </c>
      <c r="F54" s="457" t="str">
        <f>IF(OR(E54&gt;=0.2,E54&lt;=-0.2),"超过20%","")</f>
        <v/>
      </c>
      <c r="G54" s="456">
        <f>IF(G49&lt;I49,I49/G49-1,G49/I49-1)</f>
        <v>7.4844606362750365E-2</v>
      </c>
      <c r="H54" s="457" t="str">
        <f>IF(OR(G54&gt;=0.2,G54&lt;=-0.2),"超过20%","")</f>
        <v/>
      </c>
      <c r="I54" s="456">
        <f>IF(I49&lt;E49,E49/I49-1,I49/E49-1)</f>
        <v>8.0611736734726769E-2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0.24757196220610855</v>
      </c>
      <c r="F55" s="457" t="str">
        <f>IF(OR(E55&gt;=0.3,E55&lt;=-0.3),"超过30%","")</f>
        <v/>
      </c>
      <c r="G55" s="456">
        <f>IF(G48&lt;I48,I48/G48-1,G48/I48-1)</f>
        <v>0.22460997582948794</v>
      </c>
      <c r="H55" s="457" t="str">
        <f>IF(OR(G55&gt;=0.3,G55&lt;=-0.3),"超过30%","")</f>
        <v/>
      </c>
      <c r="I55" s="456">
        <f>IF(I48&lt;E48,E48/I48-1,I48/E48-1)</f>
        <v>1.8750448575324707E-2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2022-12</v>
      </c>
      <c r="D59" s="1300">
        <f>EDATE(C59,-1)</f>
        <v>44866</v>
      </c>
      <c r="E59" s="1300">
        <f>EDATE(D59,-1)</f>
        <v>44835</v>
      </c>
      <c r="F59" s="1300">
        <f t="shared" ref="F59:AA59" si="16">EDATE(E59,-1)</f>
        <v>44805</v>
      </c>
      <c r="G59" s="1300">
        <f t="shared" si="16"/>
        <v>44774</v>
      </c>
      <c r="H59" s="1300">
        <f t="shared" si="16"/>
        <v>44743</v>
      </c>
      <c r="I59" s="1300">
        <f t="shared" si="16"/>
        <v>44713</v>
      </c>
      <c r="J59" s="1300">
        <f t="shared" si="16"/>
        <v>44682</v>
      </c>
      <c r="K59" s="1300">
        <f t="shared" si="16"/>
        <v>44652</v>
      </c>
      <c r="L59" s="1300">
        <f t="shared" si="16"/>
        <v>44621</v>
      </c>
      <c r="M59" s="1300">
        <f t="shared" si="16"/>
        <v>44593</v>
      </c>
      <c r="N59" s="1300">
        <f t="shared" si="16"/>
        <v>44562</v>
      </c>
      <c r="O59" s="1300">
        <f t="shared" si="16"/>
        <v>44531</v>
      </c>
      <c r="P59" s="3280">
        <f t="shared" si="16"/>
        <v>44501</v>
      </c>
      <c r="Q59" s="3280">
        <f t="shared" si="16"/>
        <v>44470</v>
      </c>
      <c r="R59" s="3280">
        <f t="shared" si="16"/>
        <v>44440</v>
      </c>
      <c r="S59" s="3280">
        <f t="shared" si="16"/>
        <v>44409</v>
      </c>
      <c r="T59" s="3280">
        <f t="shared" si="16"/>
        <v>44378</v>
      </c>
      <c r="U59" s="3280">
        <f t="shared" si="16"/>
        <v>44348</v>
      </c>
      <c r="V59" s="3280">
        <f t="shared" si="16"/>
        <v>44317</v>
      </c>
      <c r="W59" s="3280">
        <f t="shared" si="16"/>
        <v>44287</v>
      </c>
      <c r="X59" s="3280">
        <f t="shared" si="16"/>
        <v>44256</v>
      </c>
      <c r="Y59" s="3280">
        <f t="shared" si="16"/>
        <v>44228</v>
      </c>
      <c r="Z59" s="3280">
        <f t="shared" si="16"/>
        <v>44197</v>
      </c>
      <c r="AA59" s="3280">
        <f t="shared" si="16"/>
        <v>44166</v>
      </c>
      <c r="AB59" s="2919"/>
      <c r="AC59" s="2919"/>
    </row>
    <row r="60" spans="1:29" s="113" customFormat="1" ht="15">
      <c r="A60" s="466"/>
      <c r="B60" s="467"/>
      <c r="C60" s="1298">
        <v>100</v>
      </c>
      <c r="D60" s="469">
        <v>100</v>
      </c>
      <c r="E60" s="469">
        <v>100</v>
      </c>
      <c r="F60" s="469">
        <v>100</v>
      </c>
      <c r="G60" s="469">
        <v>100</v>
      </c>
      <c r="H60" s="469">
        <v>100</v>
      </c>
      <c r="I60" s="469">
        <v>100</v>
      </c>
      <c r="J60" s="469">
        <v>99</v>
      </c>
      <c r="K60" s="469">
        <v>99</v>
      </c>
      <c r="L60" s="469">
        <v>99</v>
      </c>
      <c r="M60" s="470">
        <v>99</v>
      </c>
      <c r="N60" s="469">
        <v>99</v>
      </c>
      <c r="O60" s="470">
        <v>99</v>
      </c>
      <c r="P60" s="3279">
        <v>98</v>
      </c>
      <c r="Q60" s="2837">
        <v>98</v>
      </c>
      <c r="R60" s="2837">
        <v>98</v>
      </c>
      <c r="S60" s="2837">
        <v>98</v>
      </c>
      <c r="T60" s="2837">
        <v>98</v>
      </c>
      <c r="U60" s="2837">
        <v>98</v>
      </c>
      <c r="V60" s="2837">
        <v>97</v>
      </c>
      <c r="W60" s="2837">
        <v>97</v>
      </c>
      <c r="X60" s="2837">
        <v>97</v>
      </c>
      <c r="Y60" s="2837">
        <v>97</v>
      </c>
      <c r="Z60" s="2837">
        <v>97</v>
      </c>
      <c r="AA60" s="2837">
        <v>97</v>
      </c>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3332" t="s">
        <v>3426</v>
      </c>
      <c r="E62" s="3332" t="s">
        <v>3421</v>
      </c>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v>95</v>
      </c>
      <c r="E63" s="469">
        <v>80</v>
      </c>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t="str">
        <f>C9</f>
        <v>办公</v>
      </c>
      <c r="D64" s="3296" t="s">
        <v>3370</v>
      </c>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v>110</v>
      </c>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5（含）-6</v>
      </c>
      <c r="I68" s="504" t="str">
        <f t="shared" si="17"/>
        <v>6（含）-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v>2</v>
      </c>
      <c r="F69" s="506">
        <v>3</v>
      </c>
      <c r="G69" s="506">
        <v>4</v>
      </c>
      <c r="H69" s="506">
        <v>5</v>
      </c>
      <c r="I69" s="506">
        <v>6</v>
      </c>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95</v>
      </c>
      <c r="E78" s="501">
        <f>D78-$K15</f>
        <v>90</v>
      </c>
      <c r="F78" s="501">
        <f>E78-$K15</f>
        <v>85</v>
      </c>
      <c r="G78" s="501">
        <f>F78-$K15</f>
        <v>80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97</v>
      </c>
      <c r="E80" s="501">
        <f>D80-$K17</f>
        <v>94</v>
      </c>
      <c r="F80" s="501">
        <f>E80-$K17</f>
        <v>91</v>
      </c>
      <c r="G80" s="501">
        <f>F80-$K17</f>
        <v>88</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1"/>
      <c r="B103" s="495" t="s">
        <v>2193</v>
      </c>
      <c r="C103" s="535" t="str">
        <f>C104&amp;"(含)"&amp;"-"&amp;D104</f>
        <v>0(含)-50000</v>
      </c>
      <c r="D103" s="535" t="str">
        <f t="shared" ref="D103:L103" si="23">D104&amp;"(含)"&amp;"-"&amp;E104</f>
        <v>50000(含)-100000</v>
      </c>
      <c r="E103" s="535" t="str">
        <f t="shared" si="23"/>
        <v>100000(含)-150000</v>
      </c>
      <c r="F103" s="535" t="str">
        <f t="shared" si="23"/>
        <v>150000(含)-200000</v>
      </c>
      <c r="G103" s="535" t="str">
        <f t="shared" si="23"/>
        <v>200000(含)-250000</v>
      </c>
      <c r="H103" s="535" t="str">
        <f t="shared" si="23"/>
        <v>250000(含)-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50000</v>
      </c>
      <c r="E104" s="552">
        <v>100000</v>
      </c>
      <c r="F104" s="552">
        <v>150000</v>
      </c>
      <c r="G104" s="552">
        <v>200000</v>
      </c>
      <c r="H104" s="552">
        <v>250000</v>
      </c>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100</v>
      </c>
      <c r="D105" s="493">
        <v>98</v>
      </c>
      <c r="E105" s="493">
        <v>96</v>
      </c>
      <c r="F105" s="493">
        <v>94</v>
      </c>
      <c r="G105" s="493">
        <v>92</v>
      </c>
      <c r="H105" s="493">
        <v>90</v>
      </c>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28.5" thickTop="1">
      <c r="A127" s="550"/>
      <c r="B127" s="495" t="str">
        <f>B45</f>
        <v>地下面积占比</v>
      </c>
      <c r="C127" s="3293" t="s">
        <v>3388</v>
      </c>
      <c r="D127" s="3293" t="s">
        <v>3389</v>
      </c>
      <c r="E127" s="3293" t="s">
        <v>3394</v>
      </c>
      <c r="F127" s="511" t="s">
        <v>3395</v>
      </c>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v>100</v>
      </c>
      <c r="D128" s="493">
        <v>90</v>
      </c>
      <c r="E128" s="493">
        <v>80</v>
      </c>
      <c r="F128" s="493">
        <v>70</v>
      </c>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0</v>
      </c>
      <c r="C129" s="3324" t="s">
        <v>3423</v>
      </c>
      <c r="D129" s="3324" t="s">
        <v>3422</v>
      </c>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v>100</v>
      </c>
      <c r="D130" s="517">
        <v>85</v>
      </c>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O46" sqref="O46:R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3193</v>
      </c>
      <c r="D1" s="1497" t="s">
        <v>70</v>
      </c>
      <c r="E1" s="1498" t="s">
        <v>1111</v>
      </c>
      <c r="F1" s="1174">
        <f ca="1">J53</f>
        <v>33.1</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184420</v>
      </c>
      <c r="C2" s="1522" t="s">
        <v>1240</v>
      </c>
      <c r="D2" s="1522"/>
      <c r="E2" s="1523"/>
      <c r="F2" s="1524"/>
      <c r="G2" s="2884"/>
      <c r="H2" s="2873"/>
      <c r="I2" s="2873"/>
      <c r="J2" s="2873"/>
      <c r="K2" s="2874"/>
      <c r="L2" s="2873"/>
      <c r="M2" s="2873"/>
    </row>
    <row r="3" spans="1:37" ht="18" customHeight="1" thickBot="1">
      <c r="A3" s="1525" t="s">
        <v>1241</v>
      </c>
      <c r="B3" s="1526">
        <f ca="1">IF(ISERROR(B2*10000/F43),0,ROUND(B2*10000/F43,0))</f>
        <v>35883</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10493</v>
      </c>
      <c r="D5" s="1499" t="s">
        <v>1126</v>
      </c>
      <c r="E5" s="1184"/>
      <c r="F5" s="1185"/>
      <c r="G5" s="1519"/>
      <c r="H5" s="305">
        <v>1</v>
      </c>
      <c r="I5" s="306" t="s">
        <v>1125</v>
      </c>
      <c r="J5" s="1183">
        <f ca="1">J6+J10+J12</f>
        <v>0</v>
      </c>
      <c r="K5" s="1499" t="s">
        <v>1126</v>
      </c>
      <c r="L5" s="1184"/>
      <c r="M5" s="1185"/>
    </row>
    <row r="6" spans="1:37" ht="18" customHeight="1">
      <c r="A6" s="1182" t="s">
        <v>822</v>
      </c>
      <c r="B6" s="3579" t="s">
        <v>1127</v>
      </c>
      <c r="C6" s="1187">
        <f ca="1">ROUND(F6*F8*F7*(1-F9)/10000,0)</f>
        <v>10467</v>
      </c>
      <c r="D6" s="160" t="s">
        <v>2609</v>
      </c>
      <c r="E6" s="308" t="s">
        <v>1129</v>
      </c>
      <c r="F6" s="309">
        <f ca="1">INDIRECT("'数据-取费表'!u"&amp;$G$1)</f>
        <v>6.2</v>
      </c>
      <c r="G6" s="1519"/>
      <c r="H6" s="1182" t="s">
        <v>822</v>
      </c>
      <c r="I6" s="3579" t="s">
        <v>1127</v>
      </c>
      <c r="J6" s="307">
        <f ca="1">ROUND(M6*M8*M7*(1-M9)/10000,0)</f>
        <v>0</v>
      </c>
      <c r="K6" s="160" t="s">
        <v>2608</v>
      </c>
      <c r="L6" s="308" t="s">
        <v>1129</v>
      </c>
      <c r="M6" s="309">
        <f ca="1">INDIRECT("'数据-取费表'!z"&amp;$G$1)</f>
        <v>0</v>
      </c>
    </row>
    <row r="7" spans="1:37" ht="18" customHeight="1">
      <c r="A7" s="1186"/>
      <c r="B7" s="3580"/>
      <c r="C7" s="1188"/>
      <c r="D7" s="313"/>
      <c r="E7" s="1189" t="s">
        <v>1130</v>
      </c>
      <c r="F7" s="309">
        <f ca="1">IF(INDIRECT("'数据-取费表'!ah"&amp;$G$1)="",INDIRECT("'数据-取费表'!k"&amp;$G$1),INDIRECT("'数据-取费表'!ah"&amp;$G$1))</f>
        <v>51394.390000000007</v>
      </c>
      <c r="G7" s="1519"/>
      <c r="H7" s="310"/>
      <c r="I7" s="3580"/>
      <c r="J7" s="312"/>
      <c r="K7" s="313"/>
      <c r="L7" s="308" t="s">
        <v>1130</v>
      </c>
      <c r="M7" s="309">
        <f ca="1">F7</f>
        <v>51394.390000000007</v>
      </c>
    </row>
    <row r="8" spans="1:37" ht="18" customHeight="1">
      <c r="A8" s="310"/>
      <c r="B8" s="3580"/>
      <c r="C8" s="312"/>
      <c r="D8" s="313"/>
      <c r="E8" s="308" t="s">
        <v>1131</v>
      </c>
      <c r="F8" s="309">
        <f ca="1">INDIRECT("'数据-取费表'!ai"&amp;$G$1)</f>
        <v>365</v>
      </c>
      <c r="G8" s="1519"/>
      <c r="H8" s="310"/>
      <c r="I8" s="3580"/>
      <c r="J8" s="312"/>
      <c r="K8" s="313"/>
      <c r="L8" s="308" t="s">
        <v>1131</v>
      </c>
      <c r="M8" s="309">
        <f ca="1">INDIRECT("'数据-取费表'!ai"&amp;$G$1)</f>
        <v>365</v>
      </c>
    </row>
    <row r="9" spans="1:37" ht="18" customHeight="1">
      <c r="A9" s="310"/>
      <c r="B9" s="3581"/>
      <c r="C9" s="312"/>
      <c r="D9" s="313"/>
      <c r="E9" s="308" t="s">
        <v>1132</v>
      </c>
      <c r="F9" s="318">
        <f ca="1">INDIRECT("'数据-取费表'!w"&amp;$G$1)</f>
        <v>0.1</v>
      </c>
      <c r="G9" s="1519"/>
      <c r="H9" s="310"/>
      <c r="I9" s="3581"/>
      <c r="J9" s="312"/>
      <c r="K9" s="313"/>
      <c r="L9" s="319" t="s">
        <v>1132</v>
      </c>
      <c r="M9" s="320">
        <f ca="1">INDIRECT("'数据-取费表'!ab"&amp;$G$1)</f>
        <v>0</v>
      </c>
    </row>
    <row r="10" spans="1:37" ht="18" customHeight="1">
      <c r="A10" s="1182" t="s">
        <v>826</v>
      </c>
      <c r="B10" s="1500" t="s">
        <v>1133</v>
      </c>
      <c r="C10" s="322">
        <f ca="1">ROUND(IF(F10="押一",C6/12*F11,IF(F10="押二",C6/12*2*F11,IF(F10="押三",C6/12*3*F11,C11*F11))),0)</f>
        <v>26</v>
      </c>
      <c r="D10" s="1501" t="s">
        <v>2617</v>
      </c>
      <c r="E10" s="319" t="s">
        <v>1134</v>
      </c>
      <c r="F10" s="1229" t="s">
        <v>3382</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29740</v>
      </c>
      <c r="D13" s="1194" t="s">
        <v>1139</v>
      </c>
      <c r="E13" s="1194" t="s">
        <v>1140</v>
      </c>
      <c r="F13" s="1195">
        <f ca="1">INDIRECT("'数据-取费表'!y"&amp;$G$1)</f>
        <v>0.81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25697</v>
      </c>
      <c r="D14" s="1480" t="s">
        <v>1142</v>
      </c>
      <c r="E14" s="1477"/>
      <c r="F14" s="325"/>
      <c r="G14" s="1519"/>
      <c r="H14" s="1094" t="s">
        <v>822</v>
      </c>
      <c r="I14" s="308" t="s">
        <v>1143</v>
      </c>
      <c r="J14" s="24">
        <f ca="1">C29</f>
        <v>36716</v>
      </c>
      <c r="K14" s="15"/>
      <c r="L14" s="897"/>
      <c r="M14" s="898"/>
    </row>
    <row r="15" spans="1:37" s="1532" customFormat="1" ht="18" customHeight="1" thickBot="1">
      <c r="A15" s="1094" t="s">
        <v>823</v>
      </c>
      <c r="B15" s="308" t="s">
        <v>1144</v>
      </c>
      <c r="C15" s="24">
        <f ca="1">ROUND(C14*F15,0)</f>
        <v>771</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505</v>
      </c>
      <c r="K16" s="1200" t="s">
        <v>1149</v>
      </c>
      <c r="L16" s="1201"/>
      <c r="M16" s="1185"/>
    </row>
    <row r="17" spans="1:37" s="1532" customFormat="1" ht="18" customHeight="1">
      <c r="A17" s="1094" t="s">
        <v>1114</v>
      </c>
      <c r="B17" s="308" t="s">
        <v>1150</v>
      </c>
      <c r="C17" s="24">
        <f ca="1">ROUND(F17*(F43+INDIRECT("'数据-取费表'!S"&amp;$G$1))/10000,0)</f>
        <v>1028</v>
      </c>
      <c r="D17" s="308" t="s">
        <v>1151</v>
      </c>
      <c r="E17" s="308" t="s">
        <v>1152</v>
      </c>
      <c r="F17" s="26">
        <f>'数据-取费表'!B35</f>
        <v>200</v>
      </c>
      <c r="G17" s="1531"/>
      <c r="H17" s="1094" t="s">
        <v>822</v>
      </c>
      <c r="I17" s="308" t="s">
        <v>1153</v>
      </c>
      <c r="J17" s="2484">
        <f ca="1">ROUND(IF(AND(项目基本情况!B11="自然人",项目基本情况!B10="北京市"),J6*M17/(1+'数据-取费表'!C42),J18+J19+J20),0)</f>
        <v>321</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385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27881</v>
      </c>
      <c r="D19" s="136" t="s">
        <v>1160</v>
      </c>
      <c r="E19" s="1495"/>
      <c r="F19" s="26"/>
      <c r="G19" s="1519"/>
      <c r="H19" s="1094" t="s">
        <v>823</v>
      </c>
      <c r="I19" s="308" t="s">
        <v>1161</v>
      </c>
      <c r="J19" s="24">
        <f ca="1">IF(K19="按租金收入计税",ROUND(J6*M19/(1+'数据-取费表'!C42),2),ROUND(C29*M19*0.7,2))</f>
        <v>308.41000000000003</v>
      </c>
      <c r="K19" s="1505" t="s">
        <v>1162</v>
      </c>
      <c r="L19" s="308" t="s">
        <v>1146</v>
      </c>
      <c r="M19" s="328">
        <f>IF(K19="按租金收入计税",'数据-取费表'!B51,'数据-取费表'!B50)</f>
        <v>1.2E-2</v>
      </c>
    </row>
    <row r="20" spans="1:37" s="1532" customFormat="1" ht="18" customHeight="1">
      <c r="A20" s="1094" t="s">
        <v>826</v>
      </c>
      <c r="B20" s="308" t="s">
        <v>1163</v>
      </c>
      <c r="C20" s="24">
        <f ca="1">ROUND(C19*F20,0)</f>
        <v>558</v>
      </c>
      <c r="D20" s="329" t="s">
        <v>1164</v>
      </c>
      <c r="E20" s="308" t="s">
        <v>1146</v>
      </c>
      <c r="F20" s="328">
        <f>'数据-取费表'!B37</f>
        <v>0.02</v>
      </c>
      <c r="G20" s="1531"/>
      <c r="H20" s="1094" t="s">
        <v>1113</v>
      </c>
      <c r="I20" s="160" t="s">
        <v>1165</v>
      </c>
      <c r="J20" s="25">
        <f ca="1">ROUND(M20*M21/10000,2)</f>
        <v>13.08</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7268.84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183.6</v>
      </c>
      <c r="K22" s="1479" t="s">
        <v>1174</v>
      </c>
      <c r="L22" s="308" t="s">
        <v>1146</v>
      </c>
      <c r="M22" s="334">
        <f ca="1">INDIRECT("'数据-取费表'!Ak"&amp;$G$1)</f>
        <v>5.0000000000000001E-3</v>
      </c>
    </row>
    <row r="23" spans="1:37" s="1532" customFormat="1" ht="18" customHeight="1">
      <c r="A23" s="1094" t="s">
        <v>821</v>
      </c>
      <c r="B23" s="308" t="s">
        <v>1175</v>
      </c>
      <c r="C23" s="24">
        <f ca="1">IF('数据-取费表'!B22&lt;=1,ROUND(C19*F24*F23/2,0)+ROUND(C20*F24*F23/2,0),ROUND(C19*(POWER((1+F24),F23/2)-1),0)+ROUND(C20*(POWER((1+F24),F23/2)-1),0))</f>
        <v>1180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-505</v>
      </c>
      <c r="K25" s="1208" t="s">
        <v>1188</v>
      </c>
      <c r="L25" s="1209"/>
      <c r="M25" s="1210"/>
    </row>
    <row r="26" spans="1:37">
      <c r="A26" s="1094" t="s">
        <v>821</v>
      </c>
      <c r="B26" s="308" t="s">
        <v>1189</v>
      </c>
      <c r="C26" s="24">
        <f ca="1">ROUND((C19+C20)*F26,0)</f>
        <v>4266</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36716</v>
      </c>
      <c r="D29" s="1205"/>
      <c r="E29" s="1203"/>
      <c r="F29" s="1206"/>
      <c r="G29" s="1531"/>
      <c r="H29" s="340" t="s">
        <v>820</v>
      </c>
      <c r="I29" s="341" t="s">
        <v>1203</v>
      </c>
      <c r="J29" s="342">
        <f ca="1">ROUND(J26/(1+F40)^F41,0)</f>
        <v>0</v>
      </c>
      <c r="K29" s="343" t="s">
        <v>1204</v>
      </c>
      <c r="L29" s="344"/>
      <c r="M29" s="345">
        <f ca="1">INDIRECT("'数据-取费表'!k"&amp;$G$1)</f>
        <v>51394.390000000007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2139</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1768</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558.24</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1196.23</v>
      </c>
      <c r="D33" s="1505" t="s">
        <v>3197</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13.08</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7268.84</v>
      </c>
      <c r="G35" s="1519"/>
      <c r="H35" s="2875"/>
      <c r="I35" s="1533"/>
      <c r="J35" s="1534"/>
      <c r="K35" s="2879"/>
      <c r="L35" s="2878"/>
      <c r="M35" s="2878"/>
    </row>
    <row r="36" spans="1:18" ht="18" customHeight="1">
      <c r="A36" s="1215" t="s">
        <v>826</v>
      </c>
      <c r="B36" s="308" t="s">
        <v>1173</v>
      </c>
      <c r="C36" s="24">
        <f ca="1">ROUND(C29*F36,1)</f>
        <v>183.6</v>
      </c>
      <c r="D36" s="1479" t="s">
        <v>1206</v>
      </c>
      <c r="E36" s="308" t="s">
        <v>1146</v>
      </c>
      <c r="F36" s="334">
        <f ca="1">INDIRECT("'数据-取费表'!Ak"&amp;$G$1)</f>
        <v>5.0000000000000001E-3</v>
      </c>
      <c r="G36" s="1519"/>
      <c r="H36" s="2878"/>
      <c r="I36" s="1533">
        <f ca="1">C36+C37+C38</f>
        <v>370.7</v>
      </c>
      <c r="J36" s="1534"/>
      <c r="K36" s="2719"/>
      <c r="L36" s="2878"/>
      <c r="M36" s="2878"/>
    </row>
    <row r="37" spans="1:18" ht="18" customHeight="1">
      <c r="A37" s="1094" t="s">
        <v>862</v>
      </c>
      <c r="B37" s="308" t="s">
        <v>1177</v>
      </c>
      <c r="C37" s="24">
        <f ca="1">ROUND(C13*F37,1)</f>
        <v>29.7</v>
      </c>
      <c r="D37" s="1479" t="s">
        <v>1178</v>
      </c>
      <c r="E37" s="308" t="s">
        <v>1179</v>
      </c>
      <c r="F37" s="336">
        <f ca="1">INDIRECT("'数据-取费表'!Al"&amp;$G$1)</f>
        <v>1E-3</v>
      </c>
      <c r="G37" s="1519"/>
      <c r="H37" s="2878"/>
      <c r="I37" s="1533">
        <f ca="1">I36*10000/12/F43</f>
        <v>6.0107079131918217</v>
      </c>
      <c r="J37" s="1534"/>
      <c r="K37" s="2719"/>
      <c r="L37" s="2878"/>
      <c r="M37" s="2878"/>
    </row>
    <row r="38" spans="1:18" ht="18" customHeight="1" thickBot="1">
      <c r="A38" s="1202" t="s">
        <v>1117</v>
      </c>
      <c r="B38" s="1203" t="s">
        <v>1163</v>
      </c>
      <c r="C38" s="1204">
        <f ca="1">ROUND(C5*F38,1)</f>
        <v>157.4</v>
      </c>
      <c r="D38" s="1205" t="s">
        <v>1183</v>
      </c>
      <c r="E38" s="1203" t="s">
        <v>1179</v>
      </c>
      <c r="F38" s="1199">
        <f ca="1">INDIRECT("'数据-取费表'!Am"&amp;$G$1)</f>
        <v>1.4999999999999999E-2</v>
      </c>
      <c r="G38" s="1519"/>
      <c r="H38" s="2878"/>
      <c r="I38" s="1533"/>
      <c r="J38" s="1534"/>
      <c r="K38" s="2882"/>
      <c r="L38" s="2878"/>
      <c r="M38" s="2878"/>
    </row>
    <row r="39" spans="1:18" ht="24.6" customHeight="1" thickTop="1">
      <c r="A39" s="1192" t="s">
        <v>818</v>
      </c>
      <c r="B39" s="1207" t="s">
        <v>1207</v>
      </c>
      <c r="C39" s="316">
        <f ca="1">C5-C30</f>
        <v>8354</v>
      </c>
      <c r="D39" s="1208" t="s">
        <v>1208</v>
      </c>
      <c r="E39" s="1209"/>
      <c r="F39" s="1210"/>
      <c r="G39" s="1519"/>
      <c r="H39" s="2878"/>
      <c r="I39" s="1533">
        <f ca="1">C39/C6</f>
        <v>0.79812744817044046</v>
      </c>
      <c r="J39" s="1534"/>
      <c r="K39" s="2882"/>
      <c r="L39" s="2878"/>
      <c r="M39" s="2878"/>
    </row>
    <row r="40" spans="1:18" ht="18" customHeight="1">
      <c r="A40" s="305" t="s">
        <v>819</v>
      </c>
      <c r="B40" s="306" t="s">
        <v>1209</v>
      </c>
      <c r="C40" s="307">
        <f ca="1">ROUND(C39*(1-((1+F42)/(1+F40))^F41)/(F40-F42),0)</f>
        <v>183079</v>
      </c>
      <c r="D40" s="330" t="s">
        <v>1193</v>
      </c>
      <c r="E40" s="308" t="s">
        <v>1194</v>
      </c>
      <c r="F40" s="318">
        <f ca="1">INDIRECT("'数据-取费表'!I"&amp;$G$1)</f>
        <v>5.5E-2</v>
      </c>
      <c r="G40" s="1519"/>
      <c r="H40" s="1596"/>
      <c r="I40" s="1533">
        <f ca="1">F6/365/F43</f>
        <v>3.3050886234592943E-7</v>
      </c>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33.1</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f>6*365/0.06</f>
        <v>36500</v>
      </c>
      <c r="J42" s="1534"/>
      <c r="K42" s="2719"/>
      <c r="L42" s="1306"/>
      <c r="M42" s="1306"/>
    </row>
    <row r="43" spans="1:18" ht="18" customHeight="1" thickBot="1">
      <c r="A43" s="340" t="s">
        <v>820</v>
      </c>
      <c r="B43" s="341" t="s">
        <v>1211</v>
      </c>
      <c r="C43" s="342">
        <f ca="1">ROUND(C40*10000/F43,0)</f>
        <v>35622</v>
      </c>
      <c r="D43" s="343" t="s">
        <v>1212</v>
      </c>
      <c r="E43" s="344" t="s">
        <v>1213</v>
      </c>
      <c r="F43" s="345">
        <f ca="1">INDIRECT("'数据-取费表'!k"&amp;$G$1)</f>
        <v>51394.390000000007</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-233032</v>
      </c>
      <c r="D46" s="1541" t="str">
        <f>C2</f>
        <v>万元</v>
      </c>
      <c r="E46" s="1535"/>
      <c r="F46" s="1535"/>
      <c r="I46" s="1542" t="s">
        <v>1245</v>
      </c>
      <c r="J46" s="1543"/>
      <c r="K46" s="1544"/>
      <c r="L46" s="1545">
        <f ca="1">IF(M47="住宅",0,IF(L48&gt;J51,L60,J60))</f>
        <v>1341</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3198</v>
      </c>
      <c r="K47" s="1551" t="s">
        <v>1251</v>
      </c>
      <c r="L47" s="1552">
        <f ca="1">INDIRECT("'数据-取费表'!d"&amp;$G$1)</f>
        <v>50</v>
      </c>
      <c r="M47" s="1515" t="str">
        <f>IF(ISNUMBER(FIND("住宅",C1)),"住宅","非住宅")</f>
        <v>非住宅</v>
      </c>
      <c r="O47" s="1553" t="s">
        <v>827</v>
      </c>
      <c r="P47" s="1554" t="s">
        <v>1252</v>
      </c>
      <c r="Q47" s="1555">
        <f ca="1">C40+J29</f>
        <v>183079</v>
      </c>
      <c r="R47" s="1555" t="s">
        <v>1253</v>
      </c>
    </row>
    <row r="48" spans="1:18" s="1519" customFormat="1" ht="28.5" thickBot="1">
      <c r="A48" s="1223" t="s">
        <v>863</v>
      </c>
      <c r="B48" s="306" t="s">
        <v>1125</v>
      </c>
      <c r="C48" s="1494">
        <f ca="1">C49+C53+C55</f>
        <v>0</v>
      </c>
      <c r="D48" s="1225"/>
      <c r="E48" s="1226"/>
      <c r="F48" s="1074"/>
      <c r="G48" s="731"/>
      <c r="H48" s="732"/>
      <c r="I48" s="1556" t="s">
        <v>1254</v>
      </c>
      <c r="J48" s="1557" t="s">
        <v>3199</v>
      </c>
      <c r="K48" s="1558" t="s">
        <v>1255</v>
      </c>
      <c r="L48" s="1559">
        <f ca="1">INDIRECT("'数据-取费表'!f"&amp;$G$1)</f>
        <v>33.1</v>
      </c>
      <c r="O48" s="1553" t="s">
        <v>828</v>
      </c>
      <c r="P48" s="1554" t="s">
        <v>1256</v>
      </c>
      <c r="Q48" s="1555">
        <f ca="1">J60</f>
        <v>1341</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36716</v>
      </c>
      <c r="R49" s="1555" t="s">
        <v>1253</v>
      </c>
    </row>
    <row r="50" spans="1:18" s="1519" customFormat="1" ht="13.5" thickBot="1">
      <c r="A50" s="1088"/>
      <c r="B50" s="1091"/>
      <c r="C50" s="1231"/>
      <c r="D50" s="1065"/>
      <c r="E50" s="1168" t="s">
        <v>1130</v>
      </c>
      <c r="F50" s="1169">
        <f ca="1">F7</f>
        <v>51394.390000000007</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112147</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33.1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33.1</v>
      </c>
      <c r="K53" s="3577" t="s">
        <v>1272</v>
      </c>
      <c r="L53" s="3578"/>
      <c r="O53" s="1553" t="s">
        <v>833</v>
      </c>
      <c r="P53" s="1554" t="s">
        <v>1273</v>
      </c>
      <c r="Q53" s="1555">
        <f ca="1">Q47+Q48</f>
        <v>184420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0.215</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29740</v>
      </c>
      <c r="D56" s="1582"/>
      <c r="E56" s="1583"/>
      <c r="F56" s="1575"/>
      <c r="I56" s="1584" t="s">
        <v>1278</v>
      </c>
      <c r="J56" s="1585" t="s">
        <v>3381</v>
      </c>
      <c r="K56" s="1556" t="s">
        <v>1279</v>
      </c>
      <c r="L56" s="1559" t="str">
        <f ca="1">IF(L48&lt;J51,"——",L48-J53)</f>
        <v>——</v>
      </c>
      <c r="O56" s="1553" t="s">
        <v>827</v>
      </c>
      <c r="P56" s="1554" t="s">
        <v>1252</v>
      </c>
      <c r="Q56" s="1555">
        <f ca="1">C40+J29</f>
        <v>183079</v>
      </c>
      <c r="R56" s="1555" t="s">
        <v>1253</v>
      </c>
    </row>
    <row r="57" spans="1:18" s="1519" customFormat="1" ht="24.75" thickBot="1">
      <c r="A57" s="1586"/>
      <c r="B57" s="1062" t="s">
        <v>1202</v>
      </c>
      <c r="C57" s="244">
        <f ca="1">C29</f>
        <v>36716</v>
      </c>
      <c r="D57" s="1587"/>
      <c r="E57" s="1588"/>
      <c r="F57" s="1589"/>
      <c r="I57" s="1590" t="s">
        <v>1280</v>
      </c>
      <c r="J57" s="1591">
        <f ca="1">IF(OR(M47="住宅",J51&lt;L48,J56="是"),"——",J51-L48)</f>
        <v>12.899999999999999</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3310</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3097</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14686</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1341</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3084.14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13.08</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183079</v>
      </c>
      <c r="R62" s="1555" t="s">
        <v>834</v>
      </c>
    </row>
    <row r="63" spans="1:18" s="1519" customFormat="1" ht="13.5" thickBot="1">
      <c r="A63" s="332"/>
      <c r="B63" s="1068"/>
      <c r="C63" s="29"/>
      <c r="D63" s="1078"/>
      <c r="E63" s="1062" t="s">
        <v>1223</v>
      </c>
      <c r="F63" s="309">
        <f t="shared" ca="1" si="0"/>
        <v>7268.84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183.6</v>
      </c>
      <c r="D64" s="1076" t="s">
        <v>1226</v>
      </c>
      <c r="E64" s="1062" t="s">
        <v>1218</v>
      </c>
      <c r="F64" s="334">
        <f t="shared" ca="1" si="0"/>
        <v>5.0000000000000001E-3</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29.7</v>
      </c>
      <c r="D65" s="1076" t="s">
        <v>1178</v>
      </c>
      <c r="E65" s="1062" t="s">
        <v>1179</v>
      </c>
      <c r="F65" s="336">
        <f t="shared" ca="1" si="0"/>
        <v>1E-3</v>
      </c>
      <c r="I65" s="1597" t="s">
        <v>1303</v>
      </c>
      <c r="J65" s="1598">
        <v>40</v>
      </c>
      <c r="K65" s="1598">
        <v>30</v>
      </c>
      <c r="L65" s="1598">
        <v>50</v>
      </c>
      <c r="M65" s="1600">
        <v>0.02</v>
      </c>
      <c r="O65" s="1553" t="s">
        <v>827</v>
      </c>
      <c r="P65" s="1554" t="s">
        <v>1304</v>
      </c>
      <c r="Q65" s="1555">
        <f ca="1">C40+J29</f>
        <v>183079</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-3310</v>
      </c>
      <c r="D67" s="1075" t="s">
        <v>1188</v>
      </c>
      <c r="E67" s="1080"/>
      <c r="F67" s="1081"/>
      <c r="O67" s="1563" t="s">
        <v>829</v>
      </c>
      <c r="P67" s="1554" t="s">
        <v>1286</v>
      </c>
      <c r="Q67" s="1601">
        <f ca="1">L51</f>
        <v>112147</v>
      </c>
      <c r="R67" s="1555" t="s">
        <v>1306</v>
      </c>
    </row>
    <row r="68" spans="1:18" s="1519" customFormat="1" ht="16.5" thickBot="1">
      <c r="A68" s="1059" t="s">
        <v>819</v>
      </c>
      <c r="B68" s="1060" t="s">
        <v>1209</v>
      </c>
      <c r="C68" s="307">
        <f ca="1">ROUND(C67*(1-((1+F70)/(1+F68))^F69)/(F68-F70),0)</f>
        <v>-49953</v>
      </c>
      <c r="D68" s="1077" t="s">
        <v>1193</v>
      </c>
      <c r="E68" s="1062" t="s">
        <v>1194</v>
      </c>
      <c r="F68" s="318">
        <f ca="1">F40</f>
        <v>5.5E-2</v>
      </c>
      <c r="O68" s="1563" t="s">
        <v>830</v>
      </c>
      <c r="P68" s="1602" t="s">
        <v>1307</v>
      </c>
      <c r="Q68" s="1555">
        <f ca="1">ROUND(Q69-Q70*Q71,0)</f>
        <v>6272</v>
      </c>
      <c r="R68" s="1555" t="s">
        <v>838</v>
      </c>
    </row>
    <row r="69" spans="1:18" s="1519" customFormat="1" ht="13.5" thickBot="1">
      <c r="A69" s="1063"/>
      <c r="B69" s="1064"/>
      <c r="C69" s="312"/>
      <c r="D69" s="1082" t="s">
        <v>1197</v>
      </c>
      <c r="E69" s="1062" t="s">
        <v>1198</v>
      </c>
      <c r="F69" s="339">
        <f ca="1">F41</f>
        <v>33.1</v>
      </c>
      <c r="O69" s="1563" t="s">
        <v>835</v>
      </c>
      <c r="P69" s="1602" t="s">
        <v>1308</v>
      </c>
      <c r="Q69" s="1555">
        <f ca="1">C39</f>
        <v>8354</v>
      </c>
      <c r="R69" s="1555" t="s">
        <v>1253</v>
      </c>
    </row>
    <row r="70" spans="1:18" s="1519" customFormat="1" ht="13.5" thickBot="1">
      <c r="A70" s="1066"/>
      <c r="B70" s="1067"/>
      <c r="C70" s="316"/>
      <c r="D70" s="1078"/>
      <c r="E70" s="1062" t="s">
        <v>1201</v>
      </c>
      <c r="F70" s="1166"/>
      <c r="O70" s="1563" t="s">
        <v>836</v>
      </c>
      <c r="P70" s="1602" t="s">
        <v>1309</v>
      </c>
      <c r="Q70" s="1555">
        <f ca="1">C13</f>
        <v>29740</v>
      </c>
      <c r="R70" s="1555" t="s">
        <v>1253</v>
      </c>
    </row>
    <row r="71" spans="1:18" s="1519" customFormat="1" ht="13.5" thickBot="1">
      <c r="A71" s="1083" t="s">
        <v>820</v>
      </c>
      <c r="B71" s="1084" t="s">
        <v>1211</v>
      </c>
      <c r="C71" s="342">
        <f ca="1">ROUND(C68*10000/F71,0)</f>
        <v>-9720</v>
      </c>
      <c r="D71" s="1085" t="s">
        <v>1212</v>
      </c>
      <c r="E71" s="1086" t="s">
        <v>1213</v>
      </c>
      <c r="F71" s="345">
        <f ca="1">F43</f>
        <v>51394.390000000007</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2082</v>
      </c>
      <c r="D75" s="1519"/>
      <c r="E75" s="1519"/>
      <c r="F75" s="1519"/>
      <c r="K75" s="1537"/>
      <c r="L75" s="1519"/>
      <c r="O75" s="1553" t="s">
        <v>833</v>
      </c>
      <c r="P75" s="1554" t="s">
        <v>1273</v>
      </c>
      <c r="Q75" s="1555">
        <f ca="1">Q65+Q66</f>
        <v>183079</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0.751</v>
      </c>
    </row>
    <row r="80" spans="1:18">
      <c r="B80" s="346" t="s">
        <v>1235</v>
      </c>
      <c r="C80" s="280">
        <f ca="1">ROUND(C75/C39,3)</f>
        <v>0.249</v>
      </c>
    </row>
    <row r="81" spans="2:3">
      <c r="B81" s="276" t="s">
        <v>1236</v>
      </c>
      <c r="C81" s="244"/>
    </row>
    <row r="82" spans="2:3">
      <c r="B82" s="279" t="s">
        <v>1237</v>
      </c>
      <c r="C82" s="281">
        <f ca="1">1-C83</f>
        <v>0.83799999999999997</v>
      </c>
    </row>
    <row r="83" spans="2:3">
      <c r="B83" s="279" t="s">
        <v>1238</v>
      </c>
      <c r="C83" s="280">
        <f ca="1">ROUND(C13/C40,3)</f>
        <v>0.16200000000000001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79" t="s">
        <v>1127</v>
      </c>
      <c r="C6" s="1187">
        <f ca="1">ROUND(F6*F8*F7*(1-F9),0)</f>
        <v>0</v>
      </c>
      <c r="D6" s="160" t="s">
        <v>2606</v>
      </c>
      <c r="E6" s="308" t="s">
        <v>1129</v>
      </c>
      <c r="F6" s="309">
        <f ca="1">INDIRECT("'数据-取费表'!u"&amp;$G$1)</f>
        <v>0</v>
      </c>
      <c r="G6" s="1519"/>
      <c r="H6" s="1182" t="s">
        <v>822</v>
      </c>
      <c r="I6" s="3579" t="s">
        <v>1127</v>
      </c>
      <c r="J6" s="307">
        <f ca="1">ROUND(M6*M8*M7*(1-M9),0)</f>
        <v>0</v>
      </c>
      <c r="K6" s="1511" t="s">
        <v>2607</v>
      </c>
      <c r="L6" s="308" t="s">
        <v>1129</v>
      </c>
      <c r="M6" s="309">
        <f ca="1">INDIRECT("'数据-取费表'!z"&amp;$G$1)</f>
        <v>0</v>
      </c>
    </row>
    <row r="7" spans="1:37" ht="18" customHeight="1">
      <c r="A7" s="1186"/>
      <c r="B7" s="3580"/>
      <c r="C7" s="1188"/>
      <c r="D7" s="313"/>
      <c r="E7" s="1189" t="s">
        <v>1130</v>
      </c>
      <c r="F7" s="309">
        <f ca="1">IF(INDIRECT("'数据-取费表'!ah"&amp;$G$1)="",INDIRECT("'数据-取费表'!k"&amp;$G$1),INDIRECT("'数据-取费表'!ah"&amp;$G$1))</f>
        <v>0</v>
      </c>
      <c r="G7" s="1519"/>
      <c r="H7" s="310"/>
      <c r="I7" s="3580"/>
      <c r="J7" s="312"/>
      <c r="K7" s="313"/>
      <c r="L7" s="308" t="s">
        <v>1130</v>
      </c>
      <c r="M7" s="309">
        <f ca="1">F7</f>
        <v>0</v>
      </c>
    </row>
    <row r="8" spans="1:37" ht="18" customHeight="1">
      <c r="A8" s="310"/>
      <c r="B8" s="3580"/>
      <c r="C8" s="312"/>
      <c r="D8" s="313"/>
      <c r="E8" s="308" t="s">
        <v>1131</v>
      </c>
      <c r="F8" s="309">
        <f ca="1">INDIRECT("'数据-取费表'!ai"&amp;$G$1)</f>
        <v>0</v>
      </c>
      <c r="G8" s="1519"/>
      <c r="H8" s="310"/>
      <c r="I8" s="3580"/>
      <c r="J8" s="312"/>
      <c r="K8" s="313"/>
      <c r="L8" s="308" t="s">
        <v>1131</v>
      </c>
      <c r="M8" s="309">
        <f ca="1">INDIRECT("'数据-取费表'!ai"&amp;$G$1)</f>
        <v>0</v>
      </c>
    </row>
    <row r="9" spans="1:37" ht="18" customHeight="1">
      <c r="A9" s="310"/>
      <c r="B9" s="3581"/>
      <c r="C9" s="312"/>
      <c r="D9" s="313"/>
      <c r="E9" s="308" t="s">
        <v>1132</v>
      </c>
      <c r="F9" s="318">
        <f ca="1">INDIRECT("'数据-取费表'!w"&amp;$G$1)</f>
        <v>0</v>
      </c>
      <c r="G9" s="1519"/>
      <c r="H9" s="310"/>
      <c r="I9" s="358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77" t="s">
        <v>1272</v>
      </c>
      <c r="L53" s="357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582" t="s">
        <v>2822</v>
      </c>
      <c r="K2" s="3583"/>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584" t="s">
        <v>2832</v>
      </c>
      <c r="K3" s="3585"/>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584" t="s">
        <v>2834</v>
      </c>
      <c r="K4" s="3585"/>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586" t="s">
        <v>2838</v>
      </c>
      <c r="B6" s="3587"/>
      <c r="C6" s="3588"/>
      <c r="D6" s="3050"/>
      <c r="E6" s="3051"/>
      <c r="F6" s="3052"/>
      <c r="G6" s="3053"/>
      <c r="H6" s="3028"/>
      <c r="I6" s="3029"/>
      <c r="J6" s="3589">
        <v>1</v>
      </c>
      <c r="K6" s="3590"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589"/>
      <c r="K7" s="3591"/>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593" t="s">
        <v>2852</v>
      </c>
      <c r="C8" s="3594"/>
      <c r="D8" s="3069" t="s">
        <v>2853</v>
      </c>
      <c r="E8" s="3070" t="s">
        <v>2854</v>
      </c>
      <c r="F8" s="3071" t="s">
        <v>2855</v>
      </c>
      <c r="G8" s="3072"/>
      <c r="H8" s="3028"/>
      <c r="I8" s="3029"/>
      <c r="J8" s="3589"/>
      <c r="K8" s="3591"/>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593" t="s">
        <v>2858</v>
      </c>
      <c r="C9" s="3594"/>
      <c r="D9" s="3069">
        <f>ROUND(D6*E9,0)</f>
        <v>0</v>
      </c>
      <c r="E9" s="3073"/>
      <c r="F9" s="3074" t="s">
        <v>2859</v>
      </c>
      <c r="G9" s="3053"/>
      <c r="H9" s="3028"/>
      <c r="I9" s="3029"/>
      <c r="J9" s="3589"/>
      <c r="K9" s="3591"/>
      <c r="L9" s="3063" t="s">
        <v>2860</v>
      </c>
      <c r="M9" s="3064"/>
      <c r="N9" s="3040"/>
      <c r="O9" s="3065"/>
      <c r="P9" s="3065"/>
      <c r="Q9" s="3066">
        <v>365</v>
      </c>
      <c r="R9" s="3067">
        <f t="shared" si="0"/>
        <v>0</v>
      </c>
      <c r="S9" s="3021"/>
      <c r="T9" s="3021"/>
      <c r="U9" s="3021"/>
      <c r="V9" s="3029"/>
    </row>
    <row r="10" spans="1:22" s="3033" customFormat="1" ht="13.15" customHeight="1">
      <c r="A10" s="3068">
        <v>2</v>
      </c>
      <c r="B10" s="3593" t="s">
        <v>2861</v>
      </c>
      <c r="C10" s="3594"/>
      <c r="D10" s="3069">
        <f>ROUND(D6*E10,0)</f>
        <v>0</v>
      </c>
      <c r="E10" s="3073"/>
      <c r="F10" s="3074" t="s">
        <v>2862</v>
      </c>
      <c r="G10" s="3053"/>
      <c r="H10" s="3028"/>
      <c r="I10" s="3029"/>
      <c r="J10" s="3589"/>
      <c r="K10" s="3591"/>
      <c r="L10" s="3063" t="s">
        <v>2863</v>
      </c>
      <c r="M10" s="3064"/>
      <c r="N10" s="3040"/>
      <c r="O10" s="3065"/>
      <c r="P10" s="3065"/>
      <c r="Q10" s="3066">
        <v>365</v>
      </c>
      <c r="R10" s="3067">
        <f t="shared" si="0"/>
        <v>0</v>
      </c>
      <c r="S10" s="3021"/>
      <c r="T10" s="3021"/>
      <c r="U10" s="3021"/>
      <c r="V10" s="3029"/>
    </row>
    <row r="11" spans="1:22" s="3033" customFormat="1" ht="13.15" customHeight="1">
      <c r="A11" s="3068">
        <v>3</v>
      </c>
      <c r="B11" s="3593" t="s">
        <v>2864</v>
      </c>
      <c r="C11" s="3594"/>
      <c r="D11" s="3069">
        <f>D12+D14+D15+D16</f>
        <v>0</v>
      </c>
      <c r="E11" s="3075" t="e">
        <f>D11/D6</f>
        <v>#DIV/0!</v>
      </c>
      <c r="F11" s="3071"/>
      <c r="G11" s="3072"/>
      <c r="H11" s="3028"/>
      <c r="I11" s="3029"/>
      <c r="J11" s="3589"/>
      <c r="K11" s="3591"/>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595" t="s">
        <v>2867</v>
      </c>
      <c r="C12" s="3596"/>
      <c r="D12" s="3077">
        <f>ROUND(D13*1.2%*(1-30%),0)</f>
        <v>0</v>
      </c>
      <c r="E12" s="3078">
        <v>1.2E-2</v>
      </c>
      <c r="F12" s="3071" t="s">
        <v>2868</v>
      </c>
      <c r="G12" s="3072"/>
      <c r="H12" s="3028"/>
      <c r="I12" s="3029"/>
      <c r="J12" s="3589"/>
      <c r="K12" s="3591"/>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589"/>
      <c r="K13" s="3591"/>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595" t="s">
        <v>2873</v>
      </c>
      <c r="C14" s="3596"/>
      <c r="D14" s="3077">
        <f>ROUND(E14*B5/10000,0)</f>
        <v>0</v>
      </c>
      <c r="E14" s="3066"/>
      <c r="F14" s="3071" t="s">
        <v>2874</v>
      </c>
      <c r="G14" s="3072"/>
      <c r="H14" s="3028"/>
      <c r="I14" s="3029"/>
      <c r="J14" s="3589"/>
      <c r="K14" s="3592"/>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595" t="s">
        <v>2877</v>
      </c>
      <c r="C15" s="3596"/>
      <c r="D15" s="3077">
        <f>ROUND(D6*E15,0)</f>
        <v>0</v>
      </c>
      <c r="E15" s="3078">
        <v>5.5E-2</v>
      </c>
      <c r="F15" s="3071" t="s">
        <v>2878</v>
      </c>
      <c r="G15" s="3053"/>
      <c r="H15" s="3028"/>
      <c r="I15" s="3029"/>
      <c r="J15" s="3589">
        <v>2</v>
      </c>
      <c r="K15" s="3590"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595" t="s">
        <v>2886</v>
      </c>
      <c r="C16" s="3596"/>
      <c r="D16" s="3088">
        <f>D6*E16</f>
        <v>0</v>
      </c>
      <c r="E16" s="3089"/>
      <c r="F16" s="3074" t="s">
        <v>2887</v>
      </c>
      <c r="G16" s="3053"/>
      <c r="H16" s="3028"/>
      <c r="I16" s="3029"/>
      <c r="J16" s="3589"/>
      <c r="K16" s="3591"/>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597" t="s">
        <v>2889</v>
      </c>
      <c r="C17" s="3598"/>
      <c r="D17" s="3091">
        <f>ROUND(D6*E17,0)</f>
        <v>0</v>
      </c>
      <c r="E17" s="3092"/>
      <c r="F17" s="3093" t="s">
        <v>2890</v>
      </c>
      <c r="G17" s="3053"/>
      <c r="H17" s="3028"/>
      <c r="I17" s="3029"/>
      <c r="J17" s="3589"/>
      <c r="K17" s="3591"/>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589"/>
      <c r="K18" s="3591"/>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589"/>
      <c r="K19" s="3592"/>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89">
        <v>3</v>
      </c>
      <c r="K20" s="3590"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589"/>
      <c r="K21" s="3591"/>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589"/>
      <c r="K22" s="3591"/>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589"/>
      <c r="K23" s="3591"/>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589"/>
      <c r="K24" s="3592"/>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599">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600"/>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582" t="s">
        <v>2822</v>
      </c>
      <c r="K32" s="3583"/>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584" t="s">
        <v>2832</v>
      </c>
      <c r="K33" s="3585"/>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584" t="s">
        <v>2834</v>
      </c>
      <c r="K34" s="3585"/>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589">
        <v>1</v>
      </c>
      <c r="K36" s="3590"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589"/>
      <c r="K37" s="3591"/>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589"/>
      <c r="K38" s="3591"/>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589"/>
      <c r="K39" s="3591"/>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589"/>
      <c r="K40" s="3592"/>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599">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600"/>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184420</v>
      </c>
      <c r="C2" s="2009" t="s">
        <v>2099</v>
      </c>
      <c r="D2" s="2010" t="s">
        <v>2100</v>
      </c>
      <c r="E2" s="2782">
        <f>SUM(E6:E13)</f>
        <v>51394.390000000007</v>
      </c>
      <c r="F2" s="2885"/>
      <c r="G2" s="1625"/>
      <c r="H2" s="1625"/>
      <c r="I2" s="1625"/>
      <c r="J2" s="1625"/>
      <c r="K2" s="1625"/>
      <c r="L2" s="1625"/>
      <c r="M2" s="1625"/>
      <c r="N2" s="1625"/>
      <c r="O2" s="1625"/>
      <c r="P2" s="1625"/>
      <c r="Q2" s="1625"/>
      <c r="R2" s="1625"/>
      <c r="S2" s="1625"/>
    </row>
    <row r="3" spans="1:22" ht="15.75">
      <c r="A3" s="2007" t="s">
        <v>1119</v>
      </c>
      <c r="B3" s="2776">
        <f ca="1">ROUND(B2*10000/E2,0)</f>
        <v>35883</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601" t="s">
        <v>2102</v>
      </c>
      <c r="C5" s="3602"/>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184420</v>
      </c>
      <c r="C6" s="2009" t="s">
        <v>2099</v>
      </c>
      <c r="D6" s="2887"/>
      <c r="E6" s="2781">
        <f>IF(OR(A6=0,F6="否"),0,'数据-取费表'!K6+'数据-取费表'!S6)</f>
        <v>51394.390000000007</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4"/>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51394.390000000007</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559" t="s">
        <v>2116</v>
      </c>
      <c r="D4" s="3560"/>
      <c r="E4" s="3561" t="s">
        <v>2117</v>
      </c>
      <c r="F4" s="3562"/>
      <c r="G4" s="3559" t="s">
        <v>2118</v>
      </c>
      <c r="H4" s="3560"/>
      <c r="I4" s="3559" t="s">
        <v>2119</v>
      </c>
      <c r="J4" s="3560"/>
      <c r="K4" s="2026" t="s">
        <v>2120</v>
      </c>
      <c r="L4" s="2893"/>
      <c r="M4" s="2894"/>
      <c r="N4" s="2894"/>
      <c r="O4" s="2894"/>
      <c r="P4" s="3606" t="s">
        <v>2121</v>
      </c>
      <c r="Q4" s="3607"/>
      <c r="R4" s="3604" t="s">
        <v>2117</v>
      </c>
      <c r="S4" s="3605"/>
      <c r="T4" s="3604" t="s">
        <v>2118</v>
      </c>
      <c r="U4" s="3605"/>
      <c r="V4" s="3552" t="s">
        <v>2119</v>
      </c>
      <c r="W4" s="3552"/>
      <c r="X4" s="1490"/>
      <c r="Y4" s="3604" t="s">
        <v>2121</v>
      </c>
      <c r="Z4" s="3605"/>
      <c r="AA4" s="3603" t="s">
        <v>2117</v>
      </c>
      <c r="AB4" s="3603" t="s">
        <v>2118</v>
      </c>
      <c r="AC4" s="3603" t="s">
        <v>2119</v>
      </c>
    </row>
    <row r="5" spans="1:29" ht="15">
      <c r="A5" s="364"/>
      <c r="B5" s="365"/>
      <c r="C5" s="3569" t="s">
        <v>2122</v>
      </c>
      <c r="D5" s="3570"/>
      <c r="E5" s="3571" t="s">
        <v>2123</v>
      </c>
      <c r="F5" s="3572"/>
      <c r="G5" s="3569" t="s">
        <v>2124</v>
      </c>
      <c r="H5" s="3570"/>
      <c r="I5" s="3569" t="s">
        <v>2125</v>
      </c>
      <c r="J5" s="3570"/>
      <c r="K5" s="2027"/>
      <c r="L5" s="2893"/>
      <c r="M5" s="2894"/>
      <c r="N5" s="2894"/>
      <c r="O5" s="2894"/>
      <c r="P5" s="3608"/>
      <c r="Q5" s="3566"/>
      <c r="R5" s="3547"/>
      <c r="S5" s="3548"/>
      <c r="T5" s="3547"/>
      <c r="U5" s="3548"/>
      <c r="V5" s="3552"/>
      <c r="W5" s="3552"/>
      <c r="X5" s="1490"/>
      <c r="Y5" s="3547"/>
      <c r="Z5" s="3548"/>
      <c r="AA5" s="3554"/>
      <c r="AB5" s="3554"/>
      <c r="AC5" s="3554"/>
    </row>
    <row r="6" spans="1:29" ht="15.75" thickBot="1">
      <c r="A6" s="366"/>
      <c r="B6" s="367"/>
      <c r="C6" s="3573" t="s">
        <v>2126</v>
      </c>
      <c r="D6" s="3574"/>
      <c r="E6" s="3575" t="s">
        <v>2126</v>
      </c>
      <c r="F6" s="3576"/>
      <c r="G6" s="3573" t="s">
        <v>2126</v>
      </c>
      <c r="H6" s="3574"/>
      <c r="I6" s="3573" t="s">
        <v>2126</v>
      </c>
      <c r="J6" s="3574"/>
      <c r="K6" s="2027" t="s">
        <v>2127</v>
      </c>
      <c r="L6" s="2893"/>
      <c r="M6" s="2894"/>
      <c r="N6" s="2894"/>
      <c r="O6" s="2894"/>
      <c r="P6" s="3609"/>
      <c r="Q6" s="3568"/>
      <c r="R6" s="3547"/>
      <c r="S6" s="3548"/>
      <c r="T6" s="3549"/>
      <c r="U6" s="3550"/>
      <c r="V6" s="3552"/>
      <c r="W6" s="3552"/>
      <c r="X6" s="1490"/>
      <c r="Y6" s="3549"/>
      <c r="Z6" s="3550"/>
      <c r="AA6" s="3555"/>
      <c r="AB6" s="3555"/>
      <c r="AC6" s="3555"/>
    </row>
    <row r="7" spans="1:29" s="113" customFormat="1" ht="15.75" thickBot="1">
      <c r="A7" s="368" t="s">
        <v>2128</v>
      </c>
      <c r="B7" s="369"/>
      <c r="C7" s="370">
        <f>'数据-取费表'!B2</f>
        <v>44902</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544" t="s">
        <v>2129</v>
      </c>
      <c r="Q7" s="3542"/>
      <c r="R7" s="710" t="s">
        <v>23</v>
      </c>
      <c r="S7" s="711">
        <f t="shared" ref="S7:S15" si="0">F7</f>
        <v>0</v>
      </c>
      <c r="T7" s="710" t="s">
        <v>23</v>
      </c>
      <c r="U7" s="711">
        <f t="shared" ref="U7:U15" si="1">H7</f>
        <v>0</v>
      </c>
      <c r="V7" s="710" t="s">
        <v>23</v>
      </c>
      <c r="W7" s="711">
        <f t="shared" ref="W7:W15" si="2">J7</f>
        <v>0</v>
      </c>
      <c r="X7" s="712"/>
      <c r="Y7" s="3544" t="s">
        <v>2129</v>
      </c>
      <c r="Z7" s="354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544" t="s">
        <v>2132</v>
      </c>
      <c r="Q8" s="3543"/>
      <c r="R8" s="710" t="s">
        <v>23</v>
      </c>
      <c r="S8" s="711">
        <f t="shared" si="0"/>
        <v>0</v>
      </c>
      <c r="T8" s="710" t="s">
        <v>23</v>
      </c>
      <c r="U8" s="711">
        <f t="shared" si="1"/>
        <v>0</v>
      </c>
      <c r="V8" s="710" t="s">
        <v>23</v>
      </c>
      <c r="W8" s="711">
        <f t="shared" si="2"/>
        <v>0</v>
      </c>
      <c r="X8" s="712"/>
      <c r="Y8" s="3544" t="s">
        <v>2132</v>
      </c>
      <c r="Z8" s="354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526" t="s">
        <v>2135</v>
      </c>
      <c r="Q9" s="1478" t="str">
        <f t="shared" ref="Q9:Q15" si="6">B9</f>
        <v>用途</v>
      </c>
      <c r="R9" s="710" t="s">
        <v>17</v>
      </c>
      <c r="S9" s="711">
        <f t="shared" si="0"/>
        <v>100</v>
      </c>
      <c r="T9" s="710" t="s">
        <v>17</v>
      </c>
      <c r="U9" s="711">
        <f t="shared" si="1"/>
        <v>100</v>
      </c>
      <c r="V9" s="710" t="s">
        <v>17</v>
      </c>
      <c r="W9" s="711">
        <f t="shared" si="2"/>
        <v>100</v>
      </c>
      <c r="X9" s="712"/>
      <c r="Y9" s="349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26"/>
      <c r="Q10" s="1478" t="str">
        <f t="shared" si="6"/>
        <v>土地使用年限（年）</v>
      </c>
      <c r="R10" s="710" t="s">
        <v>17</v>
      </c>
      <c r="S10" s="711">
        <f t="shared" si="0"/>
        <v>100</v>
      </c>
      <c r="T10" s="710" t="s">
        <v>17</v>
      </c>
      <c r="U10" s="711">
        <f t="shared" si="1"/>
        <v>100</v>
      </c>
      <c r="V10" s="710" t="s">
        <v>17</v>
      </c>
      <c r="W10" s="711">
        <f t="shared" si="2"/>
        <v>100</v>
      </c>
      <c r="X10" s="712"/>
      <c r="Y10" s="349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26"/>
      <c r="Q11" s="1478" t="str">
        <f t="shared" si="6"/>
        <v>容积率</v>
      </c>
      <c r="R11" s="710" t="s">
        <v>21</v>
      </c>
      <c r="S11" s="711" t="e">
        <f t="shared" si="0"/>
        <v>#N/A</v>
      </c>
      <c r="T11" s="710" t="s">
        <v>21</v>
      </c>
      <c r="U11" s="711" t="e">
        <f t="shared" si="1"/>
        <v>#N/A</v>
      </c>
      <c r="V11" s="710" t="s">
        <v>21</v>
      </c>
      <c r="W11" s="711" t="e">
        <f t="shared" si="2"/>
        <v>#N/A</v>
      </c>
      <c r="X11" s="712"/>
      <c r="Y11" s="349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526"/>
      <c r="Q12" s="1478">
        <f t="shared" si="6"/>
        <v>111</v>
      </c>
      <c r="R12" s="710" t="s">
        <v>21</v>
      </c>
      <c r="S12" s="711">
        <f t="shared" si="0"/>
        <v>100</v>
      </c>
      <c r="T12" s="710" t="s">
        <v>21</v>
      </c>
      <c r="U12" s="711">
        <f t="shared" si="1"/>
        <v>100</v>
      </c>
      <c r="V12" s="710" t="s">
        <v>21</v>
      </c>
      <c r="W12" s="711">
        <f t="shared" si="2"/>
        <v>100</v>
      </c>
      <c r="X12" s="712"/>
      <c r="Y12" s="34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526"/>
      <c r="Q13" s="1478">
        <f t="shared" si="6"/>
        <v>111</v>
      </c>
      <c r="R13" s="710" t="s">
        <v>21</v>
      </c>
      <c r="S13" s="711">
        <f t="shared" si="0"/>
        <v>100</v>
      </c>
      <c r="T13" s="710" t="s">
        <v>21</v>
      </c>
      <c r="U13" s="711">
        <f t="shared" si="1"/>
        <v>100</v>
      </c>
      <c r="V13" s="710" t="s">
        <v>21</v>
      </c>
      <c r="W13" s="711">
        <f t="shared" si="2"/>
        <v>100</v>
      </c>
      <c r="X13" s="712"/>
      <c r="Y13" s="349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526"/>
      <c r="Q14" s="1478">
        <f t="shared" si="6"/>
        <v>111</v>
      </c>
      <c r="R14" s="710" t="s">
        <v>21</v>
      </c>
      <c r="S14" s="711">
        <f t="shared" si="0"/>
        <v>100</v>
      </c>
      <c r="T14" s="710" t="s">
        <v>21</v>
      </c>
      <c r="U14" s="711">
        <f t="shared" si="1"/>
        <v>100</v>
      </c>
      <c r="V14" s="710" t="s">
        <v>21</v>
      </c>
      <c r="W14" s="711">
        <f t="shared" si="2"/>
        <v>100</v>
      </c>
      <c r="X14" s="712"/>
      <c r="Y14" s="3499"/>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32" t="s">
        <v>2140</v>
      </c>
      <c r="Q15" s="1487" t="str">
        <f t="shared" si="6"/>
        <v>居住社区成熟度</v>
      </c>
      <c r="R15" s="714" t="s">
        <v>21</v>
      </c>
      <c r="S15" s="715">
        <f t="shared" si="0"/>
        <v>100</v>
      </c>
      <c r="T15" s="714" t="s">
        <v>21</v>
      </c>
      <c r="U15" s="715">
        <f t="shared" si="1"/>
        <v>100</v>
      </c>
      <c r="V15" s="714" t="s">
        <v>21</v>
      </c>
      <c r="W15" s="715">
        <f t="shared" si="2"/>
        <v>100</v>
      </c>
      <c r="X15" s="1490"/>
      <c r="Y15" s="353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533"/>
      <c r="Q16" s="1487"/>
      <c r="R16" s="714"/>
      <c r="S16" s="715"/>
      <c r="T16" s="714"/>
      <c r="U16" s="715"/>
      <c r="V16" s="714"/>
      <c r="W16" s="715"/>
      <c r="X16" s="1490"/>
      <c r="Y16" s="353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33"/>
      <c r="Q17" s="1487" t="str">
        <f>B17</f>
        <v>交通便捷度</v>
      </c>
      <c r="R17" s="714" t="s">
        <v>21</v>
      </c>
      <c r="S17" s="715">
        <f>F17</f>
        <v>100</v>
      </c>
      <c r="T17" s="714" t="s">
        <v>21</v>
      </c>
      <c r="U17" s="715">
        <f>H17</f>
        <v>100</v>
      </c>
      <c r="V17" s="714" t="s">
        <v>21</v>
      </c>
      <c r="W17" s="715">
        <f>J17</f>
        <v>100</v>
      </c>
      <c r="X17" s="1490"/>
      <c r="Y17" s="353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533"/>
      <c r="Q18" s="1487"/>
      <c r="R18" s="714"/>
      <c r="S18" s="715"/>
      <c r="T18" s="714"/>
      <c r="U18" s="715"/>
      <c r="V18" s="714"/>
      <c r="W18" s="715"/>
      <c r="X18" s="1490"/>
      <c r="Y18" s="353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33"/>
      <c r="Q19" s="1487" t="str">
        <f>B19</f>
        <v>公共配套设施</v>
      </c>
      <c r="R19" s="714" t="s">
        <v>21</v>
      </c>
      <c r="S19" s="715">
        <f>F19</f>
        <v>100</v>
      </c>
      <c r="T19" s="714" t="s">
        <v>21</v>
      </c>
      <c r="U19" s="715">
        <f>H19</f>
        <v>100</v>
      </c>
      <c r="V19" s="714" t="s">
        <v>21</v>
      </c>
      <c r="W19" s="715">
        <f>J19</f>
        <v>100</v>
      </c>
      <c r="X19" s="1490"/>
      <c r="Y19" s="353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533"/>
      <c r="Q20" s="1487"/>
      <c r="R20" s="714"/>
      <c r="S20" s="715"/>
      <c r="T20" s="714"/>
      <c r="U20" s="715"/>
      <c r="V20" s="714"/>
      <c r="W20" s="715"/>
      <c r="X20" s="1490"/>
      <c r="Y20" s="353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33"/>
      <c r="Q21" s="1487" t="str">
        <f>B21</f>
        <v>基础设施水平</v>
      </c>
      <c r="R21" s="714" t="s">
        <v>17</v>
      </c>
      <c r="S21" s="715">
        <f>F21</f>
        <v>100</v>
      </c>
      <c r="T21" s="714" t="s">
        <v>17</v>
      </c>
      <c r="U21" s="715">
        <f>H21</f>
        <v>100</v>
      </c>
      <c r="V21" s="714" t="s">
        <v>17</v>
      </c>
      <c r="W21" s="715">
        <f>J21</f>
        <v>100</v>
      </c>
      <c r="X21" s="1490"/>
      <c r="Y21" s="353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533"/>
      <c r="Q22" s="1487"/>
      <c r="R22" s="714"/>
      <c r="S22" s="715"/>
      <c r="T22" s="714"/>
      <c r="U22" s="715"/>
      <c r="V22" s="714"/>
      <c r="W22" s="715"/>
      <c r="X22" s="1490"/>
      <c r="Y22" s="353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33"/>
      <c r="Q23" s="1487" t="str">
        <f>B23</f>
        <v>自然及人文环境</v>
      </c>
      <c r="R23" s="714" t="s">
        <v>21</v>
      </c>
      <c r="S23" s="715">
        <f>F23</f>
        <v>100</v>
      </c>
      <c r="T23" s="714" t="s">
        <v>21</v>
      </c>
      <c r="U23" s="715">
        <f>H23</f>
        <v>100</v>
      </c>
      <c r="V23" s="714" t="s">
        <v>21</v>
      </c>
      <c r="W23" s="715">
        <f>J23</f>
        <v>100</v>
      </c>
      <c r="X23" s="1490"/>
      <c r="Y23" s="353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533"/>
      <c r="Q24" s="1487"/>
      <c r="R24" s="714"/>
      <c r="S24" s="715"/>
      <c r="T24" s="714"/>
      <c r="U24" s="715"/>
      <c r="V24" s="714"/>
      <c r="W24" s="715"/>
      <c r="X24" s="1490"/>
      <c r="Y24" s="353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53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3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533"/>
      <c r="Q26" s="1487" t="str">
        <f t="shared" si="11"/>
        <v>朝向</v>
      </c>
      <c r="R26" s="714" t="s">
        <v>21</v>
      </c>
      <c r="S26" s="715">
        <f t="shared" si="12"/>
        <v>100</v>
      </c>
      <c r="T26" s="714" t="s">
        <v>21</v>
      </c>
      <c r="U26" s="715">
        <f t="shared" si="13"/>
        <v>100</v>
      </c>
      <c r="V26" s="714" t="s">
        <v>21</v>
      </c>
      <c r="W26" s="715">
        <f t="shared" si="14"/>
        <v>100</v>
      </c>
      <c r="X26" s="1490"/>
      <c r="Y26" s="353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533"/>
      <c r="Q27" s="1478">
        <f t="shared" si="11"/>
        <v>111</v>
      </c>
      <c r="R27" s="710" t="s">
        <v>21</v>
      </c>
      <c r="S27" s="711">
        <f t="shared" si="12"/>
        <v>100</v>
      </c>
      <c r="T27" s="710" t="s">
        <v>21</v>
      </c>
      <c r="U27" s="711">
        <f t="shared" si="13"/>
        <v>100</v>
      </c>
      <c r="V27" s="710" t="s">
        <v>21</v>
      </c>
      <c r="W27" s="711">
        <f t="shared" si="14"/>
        <v>100</v>
      </c>
      <c r="X27" s="712"/>
      <c r="Y27" s="353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533"/>
      <c r="Q28" s="1487">
        <f t="shared" si="11"/>
        <v>111</v>
      </c>
      <c r="R28" s="714" t="s">
        <v>21</v>
      </c>
      <c r="S28" s="715">
        <f t="shared" si="12"/>
        <v>100</v>
      </c>
      <c r="T28" s="714" t="s">
        <v>21</v>
      </c>
      <c r="U28" s="715">
        <f t="shared" si="13"/>
        <v>100</v>
      </c>
      <c r="V28" s="714" t="s">
        <v>21</v>
      </c>
      <c r="W28" s="715">
        <f t="shared" si="14"/>
        <v>100</v>
      </c>
      <c r="X28" s="1490"/>
      <c r="Y28" s="353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533"/>
      <c r="Q29" s="1487">
        <f t="shared" si="11"/>
        <v>111</v>
      </c>
      <c r="R29" s="714" t="s">
        <v>21</v>
      </c>
      <c r="S29" s="715">
        <f t="shared" si="12"/>
        <v>100</v>
      </c>
      <c r="T29" s="714" t="s">
        <v>21</v>
      </c>
      <c r="U29" s="715">
        <f t="shared" si="13"/>
        <v>100</v>
      </c>
      <c r="V29" s="714" t="s">
        <v>21</v>
      </c>
      <c r="W29" s="715">
        <f t="shared" si="14"/>
        <v>100</v>
      </c>
      <c r="X29" s="1490"/>
      <c r="Y29" s="353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533"/>
      <c r="Q30" s="1487">
        <f t="shared" si="11"/>
        <v>111</v>
      </c>
      <c r="R30" s="714" t="s">
        <v>21</v>
      </c>
      <c r="S30" s="715">
        <f t="shared" si="12"/>
        <v>100</v>
      </c>
      <c r="T30" s="714" t="s">
        <v>21</v>
      </c>
      <c r="U30" s="715">
        <f t="shared" si="13"/>
        <v>100</v>
      </c>
      <c r="V30" s="714" t="s">
        <v>21</v>
      </c>
      <c r="W30" s="715">
        <f t="shared" si="14"/>
        <v>100</v>
      </c>
      <c r="X30" s="1490"/>
      <c r="Y30" s="353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533"/>
      <c r="Q31" s="1487">
        <f t="shared" si="11"/>
        <v>111</v>
      </c>
      <c r="R31" s="714" t="s">
        <v>21</v>
      </c>
      <c r="S31" s="715">
        <f t="shared" si="12"/>
        <v>100</v>
      </c>
      <c r="T31" s="714" t="s">
        <v>21</v>
      </c>
      <c r="U31" s="715">
        <f t="shared" si="13"/>
        <v>100</v>
      </c>
      <c r="V31" s="714" t="s">
        <v>21</v>
      </c>
      <c r="W31" s="715">
        <f t="shared" si="14"/>
        <v>100</v>
      </c>
      <c r="X31" s="1490"/>
      <c r="Y31" s="353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536" t="s">
        <v>2145</v>
      </c>
      <c r="Q32" s="1487" t="str">
        <f t="shared" si="11"/>
        <v>建筑类型</v>
      </c>
      <c r="R32" s="714" t="s">
        <v>21</v>
      </c>
      <c r="S32" s="715">
        <f t="shared" si="12"/>
        <v>100</v>
      </c>
      <c r="T32" s="714" t="s">
        <v>21</v>
      </c>
      <c r="U32" s="715">
        <f t="shared" si="13"/>
        <v>100</v>
      </c>
      <c r="V32" s="714" t="s">
        <v>21</v>
      </c>
      <c r="W32" s="715">
        <f t="shared" si="14"/>
        <v>100</v>
      </c>
      <c r="X32" s="1490"/>
      <c r="Y32" s="353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537"/>
      <c r="Q33" s="716" t="str">
        <f t="shared" si="11"/>
        <v>项目建筑规模</v>
      </c>
      <c r="R33" s="717" t="s">
        <v>21</v>
      </c>
      <c r="S33" s="718" t="e">
        <f t="shared" si="12"/>
        <v>#N/A</v>
      </c>
      <c r="T33" s="717" t="s">
        <v>21</v>
      </c>
      <c r="U33" s="718" t="e">
        <f t="shared" si="13"/>
        <v>#N/A</v>
      </c>
      <c r="V33" s="717" t="s">
        <v>21</v>
      </c>
      <c r="W33" s="718" t="e">
        <f t="shared" si="14"/>
        <v>#N/A</v>
      </c>
      <c r="X33" s="719"/>
      <c r="Y33" s="353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537"/>
      <c r="Q34" s="1487" t="str">
        <f t="shared" si="11"/>
        <v>建筑结构</v>
      </c>
      <c r="R34" s="714" t="s">
        <v>21</v>
      </c>
      <c r="S34" s="715">
        <f t="shared" si="12"/>
        <v>100</v>
      </c>
      <c r="T34" s="714" t="s">
        <v>21</v>
      </c>
      <c r="U34" s="715">
        <f t="shared" si="13"/>
        <v>100</v>
      </c>
      <c r="V34" s="714" t="s">
        <v>21</v>
      </c>
      <c r="W34" s="715">
        <f t="shared" si="14"/>
        <v>100</v>
      </c>
      <c r="X34" s="1490"/>
      <c r="Y34" s="353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537"/>
      <c r="Q35" s="1487" t="str">
        <f t="shared" si="11"/>
        <v>建筑品质</v>
      </c>
      <c r="R35" s="714" t="s">
        <v>21</v>
      </c>
      <c r="S35" s="715">
        <f t="shared" si="12"/>
        <v>100</v>
      </c>
      <c r="T35" s="714" t="s">
        <v>21</v>
      </c>
      <c r="U35" s="715">
        <f t="shared" si="13"/>
        <v>100</v>
      </c>
      <c r="V35" s="714" t="s">
        <v>21</v>
      </c>
      <c r="W35" s="715">
        <f t="shared" si="14"/>
        <v>100</v>
      </c>
      <c r="X35" s="1490"/>
      <c r="Y35" s="353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537"/>
      <c r="Q36" s="1487" t="str">
        <f t="shared" si="11"/>
        <v>公共部分装修</v>
      </c>
      <c r="R36" s="714" t="s">
        <v>21</v>
      </c>
      <c r="S36" s="715">
        <f t="shared" si="12"/>
        <v>100</v>
      </c>
      <c r="T36" s="714" t="s">
        <v>21</v>
      </c>
      <c r="U36" s="715">
        <f t="shared" si="13"/>
        <v>100</v>
      </c>
      <c r="V36" s="714" t="s">
        <v>21</v>
      </c>
      <c r="W36" s="715">
        <f t="shared" si="14"/>
        <v>100</v>
      </c>
      <c r="X36" s="1490"/>
      <c r="Y36" s="353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37"/>
      <c r="Q37" s="1478" t="str">
        <f t="shared" si="11"/>
        <v>成新度</v>
      </c>
      <c r="R37" s="710" t="s">
        <v>21</v>
      </c>
      <c r="S37" s="711" t="e">
        <f t="shared" si="12"/>
        <v>#N/A</v>
      </c>
      <c r="T37" s="710" t="s">
        <v>21</v>
      </c>
      <c r="U37" s="711" t="e">
        <f t="shared" si="13"/>
        <v>#N/A</v>
      </c>
      <c r="V37" s="710" t="s">
        <v>21</v>
      </c>
      <c r="W37" s="711" t="e">
        <f t="shared" si="14"/>
        <v>#N/A</v>
      </c>
      <c r="X37" s="712"/>
      <c r="Y37" s="353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537" t="s">
        <v>2145</v>
      </c>
      <c r="Q38" s="1487" t="str">
        <f t="shared" si="11"/>
        <v>物业管理</v>
      </c>
      <c r="R38" s="714" t="s">
        <v>21</v>
      </c>
      <c r="S38" s="715">
        <f t="shared" si="12"/>
        <v>100</v>
      </c>
      <c r="T38" s="714" t="s">
        <v>21</v>
      </c>
      <c r="U38" s="715">
        <f t="shared" si="13"/>
        <v>100</v>
      </c>
      <c r="V38" s="714" t="s">
        <v>21</v>
      </c>
      <c r="W38" s="715">
        <f t="shared" si="14"/>
        <v>100</v>
      </c>
      <c r="X38" s="1490"/>
      <c r="Y38" s="353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537"/>
      <c r="Q39" s="1487" t="str">
        <f t="shared" si="11"/>
        <v>市政基础设施</v>
      </c>
      <c r="R39" s="714" t="s">
        <v>21</v>
      </c>
      <c r="S39" s="715">
        <f t="shared" si="12"/>
        <v>100</v>
      </c>
      <c r="T39" s="714" t="s">
        <v>21</v>
      </c>
      <c r="U39" s="715">
        <f t="shared" si="13"/>
        <v>100</v>
      </c>
      <c r="V39" s="714" t="s">
        <v>21</v>
      </c>
      <c r="W39" s="715">
        <f t="shared" si="14"/>
        <v>100</v>
      </c>
      <c r="X39" s="1490"/>
      <c r="Y39" s="353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537"/>
      <c r="Q40" s="1487" t="str">
        <f t="shared" si="11"/>
        <v>房型</v>
      </c>
      <c r="R40" s="714" t="s">
        <v>21</v>
      </c>
      <c r="S40" s="715">
        <f t="shared" si="12"/>
        <v>100</v>
      </c>
      <c r="T40" s="714" t="s">
        <v>21</v>
      </c>
      <c r="U40" s="715">
        <f t="shared" si="13"/>
        <v>100</v>
      </c>
      <c r="V40" s="714" t="s">
        <v>21</v>
      </c>
      <c r="W40" s="715">
        <f t="shared" si="14"/>
        <v>100</v>
      </c>
      <c r="X40" s="1490"/>
      <c r="Y40" s="353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537"/>
      <c r="Q41" s="716" t="str">
        <f t="shared" si="11"/>
        <v>单套/主力户型建筑面积</v>
      </c>
      <c r="R41" s="717" t="s">
        <v>21</v>
      </c>
      <c r="S41" s="718">
        <f t="shared" si="12"/>
        <v>100</v>
      </c>
      <c r="T41" s="717" t="s">
        <v>21</v>
      </c>
      <c r="U41" s="718">
        <f t="shared" si="13"/>
        <v>100</v>
      </c>
      <c r="V41" s="717" t="s">
        <v>21</v>
      </c>
      <c r="W41" s="718">
        <f t="shared" si="14"/>
        <v>100</v>
      </c>
      <c r="X41" s="719"/>
      <c r="Y41" s="353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537"/>
      <c r="Q42" s="1487" t="str">
        <f t="shared" si="11"/>
        <v>内部装修</v>
      </c>
      <c r="R42" s="714" t="s">
        <v>21</v>
      </c>
      <c r="S42" s="715">
        <f t="shared" si="12"/>
        <v>100</v>
      </c>
      <c r="T42" s="714" t="s">
        <v>21</v>
      </c>
      <c r="U42" s="715">
        <f t="shared" si="13"/>
        <v>100</v>
      </c>
      <c r="V42" s="714" t="s">
        <v>21</v>
      </c>
      <c r="W42" s="715">
        <f t="shared" si="14"/>
        <v>100</v>
      </c>
      <c r="X42" s="1490"/>
      <c r="Y42" s="353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537"/>
      <c r="Q43" s="1487" t="str">
        <f t="shared" si="11"/>
        <v>内部装修维护情况</v>
      </c>
      <c r="R43" s="714" t="s">
        <v>21</v>
      </c>
      <c r="S43" s="715">
        <f t="shared" si="12"/>
        <v>100</v>
      </c>
      <c r="T43" s="714" t="s">
        <v>21</v>
      </c>
      <c r="U43" s="715">
        <f t="shared" si="13"/>
        <v>100</v>
      </c>
      <c r="V43" s="714" t="s">
        <v>21</v>
      </c>
      <c r="W43" s="715">
        <f t="shared" si="14"/>
        <v>100</v>
      </c>
      <c r="X43" s="1490"/>
      <c r="Y43" s="353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537"/>
      <c r="Q44" s="1478">
        <f t="shared" si="11"/>
        <v>111</v>
      </c>
      <c r="R44" s="710" t="s">
        <v>21</v>
      </c>
      <c r="S44" s="711">
        <f t="shared" si="12"/>
        <v>100</v>
      </c>
      <c r="T44" s="710" t="s">
        <v>21</v>
      </c>
      <c r="U44" s="711">
        <f t="shared" si="13"/>
        <v>100</v>
      </c>
      <c r="V44" s="710" t="s">
        <v>21</v>
      </c>
      <c r="W44" s="711">
        <f t="shared" si="14"/>
        <v>100</v>
      </c>
      <c r="X44" s="712"/>
      <c r="Y44" s="353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537"/>
      <c r="Q45" s="1487">
        <f t="shared" si="11"/>
        <v>111</v>
      </c>
      <c r="R45" s="714" t="s">
        <v>21</v>
      </c>
      <c r="S45" s="715">
        <f t="shared" si="12"/>
        <v>100</v>
      </c>
      <c r="T45" s="714" t="s">
        <v>21</v>
      </c>
      <c r="U45" s="715">
        <f t="shared" si="13"/>
        <v>100</v>
      </c>
      <c r="V45" s="714" t="s">
        <v>21</v>
      </c>
      <c r="W45" s="715">
        <f t="shared" si="14"/>
        <v>100</v>
      </c>
      <c r="X45" s="1490"/>
      <c r="Y45" s="353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538"/>
      <c r="Q46" s="1487">
        <f t="shared" si="11"/>
        <v>111</v>
      </c>
      <c r="R46" s="714" t="s">
        <v>20</v>
      </c>
      <c r="S46" s="715">
        <f t="shared" si="12"/>
        <v>100</v>
      </c>
      <c r="T46" s="714" t="s">
        <v>20</v>
      </c>
      <c r="U46" s="715">
        <f t="shared" si="13"/>
        <v>100</v>
      </c>
      <c r="V46" s="714" t="s">
        <v>20</v>
      </c>
      <c r="W46" s="715">
        <f t="shared" si="14"/>
        <v>100</v>
      </c>
      <c r="X46" s="1490"/>
      <c r="Y46" s="354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527" t="str">
        <f>A47</f>
        <v>成交单价（元/平方米）</v>
      </c>
      <c r="Q47" s="3527"/>
      <c r="R47" s="3528">
        <f>E47</f>
        <v>0</v>
      </c>
      <c r="S47" s="3528"/>
      <c r="T47" s="3528">
        <f>G47</f>
        <v>0</v>
      </c>
      <c r="U47" s="3528"/>
      <c r="V47" s="3528">
        <f>I47</f>
        <v>0</v>
      </c>
      <c r="W47" s="3528"/>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902"/>
      <c r="M48" s="2903"/>
      <c r="N48" s="2903"/>
      <c r="O48" s="2903"/>
      <c r="P48" s="3527" t="str">
        <f>A48</f>
        <v>比较价值（元/平方米）</v>
      </c>
      <c r="Q48" s="3527"/>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610" t="str">
        <f>A49</f>
        <v>估价对象XX用房的比较价值（楼面单价，元/平方米）</v>
      </c>
      <c r="Q49" s="3611"/>
      <c r="R49" s="3612" t="e">
        <f>IF(F1="售价",ROUND(IF(D48="简单平均",AVERAGE(R48:V48),R48*F48+T48*H48+V48*J48),0),ROUND(IF(D48="简单平均",AVERAGE(R48:V48),R48*F48+T48*H48+V48*J48),1))</f>
        <v>#DIV/0!</v>
      </c>
      <c r="S49" s="3612"/>
      <c r="T49" s="3612"/>
      <c r="U49" s="3612"/>
      <c r="V49" s="3612"/>
      <c r="W49" s="3612"/>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2022-12</v>
      </c>
      <c r="D58" s="1300">
        <f>EDATE(C58,-1)</f>
        <v>44866</v>
      </c>
      <c r="E58" s="1300">
        <f>EDATE(D58,-1)</f>
        <v>44835</v>
      </c>
      <c r="F58" s="1300">
        <f t="shared" ref="F58:O58" si="19">EDATE(E58,-1)</f>
        <v>44805</v>
      </c>
      <c r="G58" s="1300">
        <f t="shared" si="19"/>
        <v>44774</v>
      </c>
      <c r="H58" s="1300">
        <f t="shared" si="19"/>
        <v>44743</v>
      </c>
      <c r="I58" s="1300">
        <f t="shared" si="19"/>
        <v>44713</v>
      </c>
      <c r="J58" s="1300">
        <f t="shared" si="19"/>
        <v>44682</v>
      </c>
      <c r="K58" s="1300">
        <f t="shared" si="19"/>
        <v>44652</v>
      </c>
      <c r="L58" s="1300">
        <f t="shared" si="19"/>
        <v>44621</v>
      </c>
      <c r="M58" s="1300">
        <f t="shared" si="19"/>
        <v>44593</v>
      </c>
      <c r="N58" s="1300">
        <f t="shared" si="19"/>
        <v>44562</v>
      </c>
      <c r="O58" s="1300">
        <f t="shared" si="19"/>
        <v>44531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3"/>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51394.390000000007</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559" t="s">
        <v>2226</v>
      </c>
      <c r="D4" s="3560"/>
      <c r="E4" s="3561" t="s">
        <v>2227</v>
      </c>
      <c r="F4" s="3562"/>
      <c r="G4" s="3559" t="s">
        <v>2228</v>
      </c>
      <c r="H4" s="3560"/>
      <c r="I4" s="3559" t="s">
        <v>2229</v>
      </c>
      <c r="J4" s="3560"/>
      <c r="K4" s="567" t="s">
        <v>2230</v>
      </c>
      <c r="L4" s="2893"/>
      <c r="M4" s="2894"/>
      <c r="N4" s="2894"/>
      <c r="O4" s="2894"/>
      <c r="P4" s="3606" t="s">
        <v>2231</v>
      </c>
      <c r="Q4" s="3607"/>
      <c r="R4" s="3604" t="s">
        <v>2227</v>
      </c>
      <c r="S4" s="3605"/>
      <c r="T4" s="3604" t="s">
        <v>2228</v>
      </c>
      <c r="U4" s="3605"/>
      <c r="V4" s="3552" t="s">
        <v>2229</v>
      </c>
      <c r="W4" s="3552"/>
      <c r="X4" s="1490"/>
      <c r="Y4" s="3604" t="s">
        <v>2231</v>
      </c>
      <c r="Z4" s="3605"/>
      <c r="AA4" s="3603" t="s">
        <v>2227</v>
      </c>
      <c r="AB4" s="3552" t="s">
        <v>2228</v>
      </c>
      <c r="AC4" s="3603" t="s">
        <v>2229</v>
      </c>
    </row>
    <row r="5" spans="1:29" ht="15">
      <c r="A5" s="364"/>
      <c r="B5" s="365"/>
      <c r="C5" s="3569" t="s">
        <v>2122</v>
      </c>
      <c r="D5" s="3570"/>
      <c r="E5" s="3571" t="s">
        <v>2123</v>
      </c>
      <c r="F5" s="3572"/>
      <c r="G5" s="3569" t="s">
        <v>2124</v>
      </c>
      <c r="H5" s="3570"/>
      <c r="I5" s="3569" t="s">
        <v>2125</v>
      </c>
      <c r="J5" s="3570"/>
      <c r="K5" s="567"/>
      <c r="L5" s="2893"/>
      <c r="M5" s="2894"/>
      <c r="N5" s="2894"/>
      <c r="O5" s="2894"/>
      <c r="P5" s="3608"/>
      <c r="Q5" s="3566"/>
      <c r="R5" s="3547"/>
      <c r="S5" s="3548"/>
      <c r="T5" s="3547"/>
      <c r="U5" s="3548"/>
      <c r="V5" s="3552"/>
      <c r="W5" s="3552"/>
      <c r="X5" s="1490"/>
      <c r="Y5" s="3547"/>
      <c r="Z5" s="3548"/>
      <c r="AA5" s="3554"/>
      <c r="AB5" s="3552"/>
      <c r="AC5" s="3554"/>
    </row>
    <row r="6" spans="1:29" ht="15.75" thickBot="1">
      <c r="A6" s="366"/>
      <c r="B6" s="367"/>
      <c r="C6" s="3573" t="s">
        <v>2126</v>
      </c>
      <c r="D6" s="3574"/>
      <c r="E6" s="3575" t="s">
        <v>2126</v>
      </c>
      <c r="F6" s="3576"/>
      <c r="G6" s="3573" t="s">
        <v>2126</v>
      </c>
      <c r="H6" s="3574"/>
      <c r="I6" s="3573" t="s">
        <v>2126</v>
      </c>
      <c r="J6" s="3574"/>
      <c r="K6" s="567" t="s">
        <v>2127</v>
      </c>
      <c r="L6" s="2893"/>
      <c r="M6" s="2894"/>
      <c r="N6" s="2894"/>
      <c r="O6" s="2894"/>
      <c r="P6" s="3609"/>
      <c r="Q6" s="3568"/>
      <c r="R6" s="3547"/>
      <c r="S6" s="3548"/>
      <c r="T6" s="3549"/>
      <c r="U6" s="3550"/>
      <c r="V6" s="3552"/>
      <c r="W6" s="3552"/>
      <c r="X6" s="1490"/>
      <c r="Y6" s="3549"/>
      <c r="Z6" s="3550"/>
      <c r="AA6" s="3555"/>
      <c r="AB6" s="3552"/>
      <c r="AC6" s="3555"/>
    </row>
    <row r="7" spans="1:29" s="113" customFormat="1" ht="15.75" thickBot="1">
      <c r="A7" s="368" t="s">
        <v>2128</v>
      </c>
      <c r="B7" s="369"/>
      <c r="C7" s="370">
        <f>'数据-取费表'!B2</f>
        <v>44902</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44" t="s">
        <v>2129</v>
      </c>
      <c r="Q7" s="3542"/>
      <c r="R7" s="710" t="s">
        <v>17</v>
      </c>
      <c r="S7" s="711">
        <f t="shared" ref="S7:S15" si="0">F7</f>
        <v>0</v>
      </c>
      <c r="T7" s="710" t="s">
        <v>17</v>
      </c>
      <c r="U7" s="711">
        <f t="shared" ref="U7:U15" si="1">H7</f>
        <v>0</v>
      </c>
      <c r="V7" s="710" t="s">
        <v>17</v>
      </c>
      <c r="W7" s="711">
        <f t="shared" ref="W7:W15" si="2">J7</f>
        <v>0</v>
      </c>
      <c r="X7" s="712"/>
      <c r="Y7" s="3544" t="s">
        <v>2129</v>
      </c>
      <c r="Z7" s="354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44" t="s">
        <v>2132</v>
      </c>
      <c r="Q8" s="3543"/>
      <c r="R8" s="710" t="s">
        <v>17</v>
      </c>
      <c r="S8" s="711">
        <f t="shared" si="0"/>
        <v>0</v>
      </c>
      <c r="T8" s="710" t="s">
        <v>17</v>
      </c>
      <c r="U8" s="711">
        <f t="shared" si="1"/>
        <v>0</v>
      </c>
      <c r="V8" s="710" t="s">
        <v>17</v>
      </c>
      <c r="W8" s="711">
        <f t="shared" si="2"/>
        <v>0</v>
      </c>
      <c r="X8" s="712"/>
      <c r="Y8" s="3544" t="s">
        <v>2132</v>
      </c>
      <c r="Z8" s="354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26" t="s">
        <v>2135</v>
      </c>
      <c r="Q9" s="1478" t="str">
        <f t="shared" ref="Q9:Q15" si="6">B9</f>
        <v>用途</v>
      </c>
      <c r="R9" s="710" t="s">
        <v>17</v>
      </c>
      <c r="S9" s="711">
        <f t="shared" si="0"/>
        <v>100</v>
      </c>
      <c r="T9" s="710" t="s">
        <v>17</v>
      </c>
      <c r="U9" s="711">
        <f t="shared" si="1"/>
        <v>100</v>
      </c>
      <c r="V9" s="710" t="s">
        <v>17</v>
      </c>
      <c r="W9" s="711">
        <f t="shared" si="2"/>
        <v>100</v>
      </c>
      <c r="X9" s="712"/>
      <c r="Y9" s="349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26"/>
      <c r="Q10" s="1478" t="str">
        <f t="shared" si="6"/>
        <v>土地使用年限（年）</v>
      </c>
      <c r="R10" s="710" t="s">
        <v>17</v>
      </c>
      <c r="S10" s="711">
        <f t="shared" si="0"/>
        <v>100</v>
      </c>
      <c r="T10" s="710" t="s">
        <v>17</v>
      </c>
      <c r="U10" s="711">
        <f t="shared" si="1"/>
        <v>100</v>
      </c>
      <c r="V10" s="710" t="s">
        <v>17</v>
      </c>
      <c r="W10" s="711">
        <f t="shared" si="2"/>
        <v>100</v>
      </c>
      <c r="X10" s="712"/>
      <c r="Y10" s="349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26"/>
      <c r="Q11" s="1478" t="str">
        <f t="shared" si="6"/>
        <v>容积率</v>
      </c>
      <c r="R11" s="710" t="s">
        <v>17</v>
      </c>
      <c r="S11" s="711" t="e">
        <f t="shared" si="0"/>
        <v>#N/A</v>
      </c>
      <c r="T11" s="710" t="s">
        <v>17</v>
      </c>
      <c r="U11" s="711" t="e">
        <f t="shared" si="1"/>
        <v>#N/A</v>
      </c>
      <c r="V11" s="710" t="s">
        <v>17</v>
      </c>
      <c r="W11" s="711" t="e">
        <f t="shared" si="2"/>
        <v>#N/A</v>
      </c>
      <c r="X11" s="712"/>
      <c r="Y11" s="349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26"/>
      <c r="Q12" s="1478">
        <f t="shared" si="6"/>
        <v>111</v>
      </c>
      <c r="R12" s="710" t="s">
        <v>17</v>
      </c>
      <c r="S12" s="711">
        <f t="shared" si="0"/>
        <v>100</v>
      </c>
      <c r="T12" s="710" t="s">
        <v>17</v>
      </c>
      <c r="U12" s="711">
        <f t="shared" si="1"/>
        <v>100</v>
      </c>
      <c r="V12" s="710" t="s">
        <v>17</v>
      </c>
      <c r="W12" s="711">
        <f t="shared" si="2"/>
        <v>100</v>
      </c>
      <c r="X12" s="712"/>
      <c r="Y12" s="34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26"/>
      <c r="Q13" s="1478">
        <f t="shared" si="6"/>
        <v>111</v>
      </c>
      <c r="R13" s="710" t="s">
        <v>17</v>
      </c>
      <c r="S13" s="711">
        <f t="shared" si="0"/>
        <v>100</v>
      </c>
      <c r="T13" s="710" t="s">
        <v>17</v>
      </c>
      <c r="U13" s="711">
        <f t="shared" si="1"/>
        <v>100</v>
      </c>
      <c r="V13" s="710" t="s">
        <v>17</v>
      </c>
      <c r="W13" s="711">
        <f t="shared" si="2"/>
        <v>100</v>
      </c>
      <c r="X13" s="712"/>
      <c r="Y13" s="349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26"/>
      <c r="Q14" s="1478">
        <f t="shared" si="6"/>
        <v>111</v>
      </c>
      <c r="R14" s="710" t="s">
        <v>17</v>
      </c>
      <c r="S14" s="711">
        <f t="shared" si="0"/>
        <v>100</v>
      </c>
      <c r="T14" s="710" t="s">
        <v>17</v>
      </c>
      <c r="U14" s="711">
        <f t="shared" si="1"/>
        <v>100</v>
      </c>
      <c r="V14" s="710" t="s">
        <v>17</v>
      </c>
      <c r="W14" s="711">
        <f t="shared" si="2"/>
        <v>100</v>
      </c>
      <c r="X14" s="712"/>
      <c r="Y14" s="3499"/>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32" t="s">
        <v>2140</v>
      </c>
      <c r="Q15" s="1487" t="str">
        <f t="shared" si="6"/>
        <v>商业繁华度</v>
      </c>
      <c r="R15" s="714" t="s">
        <v>17</v>
      </c>
      <c r="S15" s="715">
        <f t="shared" si="0"/>
        <v>100</v>
      </c>
      <c r="T15" s="714" t="s">
        <v>17</v>
      </c>
      <c r="U15" s="715">
        <f t="shared" si="1"/>
        <v>100</v>
      </c>
      <c r="V15" s="714" t="s">
        <v>17</v>
      </c>
      <c r="W15" s="715">
        <f t="shared" si="2"/>
        <v>100</v>
      </c>
      <c r="X15" s="1490"/>
      <c r="Y15" s="353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33"/>
      <c r="Q16" s="1487"/>
      <c r="R16" s="714"/>
      <c r="S16" s="715"/>
      <c r="T16" s="714"/>
      <c r="U16" s="715"/>
      <c r="V16" s="714"/>
      <c r="W16" s="715"/>
      <c r="X16" s="1490"/>
      <c r="Y16" s="353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33"/>
      <c r="Q17" s="1487" t="str">
        <f>B17</f>
        <v>交通便捷度</v>
      </c>
      <c r="R17" s="714" t="s">
        <v>17</v>
      </c>
      <c r="S17" s="715">
        <f>F17</f>
        <v>100</v>
      </c>
      <c r="T17" s="714" t="s">
        <v>17</v>
      </c>
      <c r="U17" s="715">
        <f>H17</f>
        <v>100</v>
      </c>
      <c r="V17" s="714" t="s">
        <v>17</v>
      </c>
      <c r="W17" s="715">
        <f>J17</f>
        <v>100</v>
      </c>
      <c r="X17" s="1490"/>
      <c r="Y17" s="353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533"/>
      <c r="Q18" s="1487"/>
      <c r="R18" s="714"/>
      <c r="S18" s="715"/>
      <c r="T18" s="714"/>
      <c r="U18" s="715"/>
      <c r="V18" s="714"/>
      <c r="W18" s="715"/>
      <c r="X18" s="1490"/>
      <c r="Y18" s="353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33"/>
      <c r="Q19" s="1487" t="str">
        <f>B19</f>
        <v>公共配套设施</v>
      </c>
      <c r="R19" s="714" t="s">
        <v>17</v>
      </c>
      <c r="S19" s="715">
        <f>F19</f>
        <v>100</v>
      </c>
      <c r="T19" s="714" t="s">
        <v>17</v>
      </c>
      <c r="U19" s="715">
        <f>H19</f>
        <v>100</v>
      </c>
      <c r="V19" s="714" t="s">
        <v>17</v>
      </c>
      <c r="W19" s="715">
        <f>J19</f>
        <v>100</v>
      </c>
      <c r="X19" s="1490"/>
      <c r="Y19" s="353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533"/>
      <c r="Q20" s="1487"/>
      <c r="R20" s="714"/>
      <c r="S20" s="715"/>
      <c r="T20" s="714"/>
      <c r="U20" s="715"/>
      <c r="V20" s="714"/>
      <c r="W20" s="715"/>
      <c r="X20" s="1490"/>
      <c r="Y20" s="353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33"/>
      <c r="Q21" s="1487" t="str">
        <f>B21</f>
        <v>基础设施水平</v>
      </c>
      <c r="R21" s="714" t="s">
        <v>17</v>
      </c>
      <c r="S21" s="715">
        <f>F21</f>
        <v>100</v>
      </c>
      <c r="T21" s="714" t="s">
        <v>17</v>
      </c>
      <c r="U21" s="715">
        <f>H21</f>
        <v>100</v>
      </c>
      <c r="V21" s="714" t="s">
        <v>17</v>
      </c>
      <c r="W21" s="715">
        <f>J21</f>
        <v>100</v>
      </c>
      <c r="X21" s="1490"/>
      <c r="Y21" s="353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533"/>
      <c r="Q22" s="1487"/>
      <c r="R22" s="714"/>
      <c r="S22" s="715"/>
      <c r="T22" s="714"/>
      <c r="U22" s="715"/>
      <c r="V22" s="714"/>
      <c r="W22" s="715"/>
      <c r="X22" s="1490"/>
      <c r="Y22" s="353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33"/>
      <c r="Q23" s="1487" t="str">
        <f>B23</f>
        <v>自然及人文环境</v>
      </c>
      <c r="R23" s="714" t="s">
        <v>17</v>
      </c>
      <c r="S23" s="715">
        <f>F23</f>
        <v>100</v>
      </c>
      <c r="T23" s="714" t="s">
        <v>17</v>
      </c>
      <c r="U23" s="715">
        <f>H23</f>
        <v>100</v>
      </c>
      <c r="V23" s="714" t="s">
        <v>17</v>
      </c>
      <c r="W23" s="715">
        <f>J23</f>
        <v>100</v>
      </c>
      <c r="X23" s="1490"/>
      <c r="Y23" s="353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533"/>
      <c r="Q24" s="1487"/>
      <c r="R24" s="714"/>
      <c r="S24" s="715"/>
      <c r="T24" s="714"/>
      <c r="U24" s="715"/>
      <c r="V24" s="714"/>
      <c r="W24" s="715"/>
      <c r="X24" s="1490"/>
      <c r="Y24" s="353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33"/>
      <c r="Q25" s="1487" t="str">
        <f t="shared" ref="Q25:Q46" si="11">B25</f>
        <v>临街状况</v>
      </c>
      <c r="R25" s="714" t="s">
        <v>17</v>
      </c>
      <c r="S25" s="715">
        <f>F25</f>
        <v>100</v>
      </c>
      <c r="T25" s="714" t="s">
        <v>17</v>
      </c>
      <c r="U25" s="715">
        <f>H25</f>
        <v>100</v>
      </c>
      <c r="V25" s="714" t="s">
        <v>17</v>
      </c>
      <c r="W25" s="715">
        <f>J25</f>
        <v>100</v>
      </c>
      <c r="X25" s="1490"/>
      <c r="Y25" s="353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33"/>
      <c r="Q26" s="1487" t="str">
        <f t="shared" si="11"/>
        <v>平面位置/可视性</v>
      </c>
      <c r="R26" s="714" t="s">
        <v>17</v>
      </c>
      <c r="S26" s="715">
        <f>F26</f>
        <v>100</v>
      </c>
      <c r="T26" s="714" t="s">
        <v>17</v>
      </c>
      <c r="U26" s="715">
        <f>H26</f>
        <v>100</v>
      </c>
      <c r="V26" s="714" t="s">
        <v>17</v>
      </c>
      <c r="W26" s="715">
        <f>J26</f>
        <v>100</v>
      </c>
      <c r="X26" s="1490"/>
      <c r="Y26" s="353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533"/>
      <c r="Q27" s="1478" t="str">
        <f t="shared" si="11"/>
        <v>人流量</v>
      </c>
      <c r="R27" s="710" t="s">
        <v>17</v>
      </c>
      <c r="S27" s="711">
        <f>F27</f>
        <v>100</v>
      </c>
      <c r="T27" s="710" t="s">
        <v>17</v>
      </c>
      <c r="U27" s="711">
        <f>H27</f>
        <v>100</v>
      </c>
      <c r="V27" s="710" t="s">
        <v>17</v>
      </c>
      <c r="W27" s="711">
        <f>J27</f>
        <v>100</v>
      </c>
      <c r="X27" s="712"/>
      <c r="Y27" s="353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3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3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33"/>
      <c r="Q29" s="1487">
        <f t="shared" si="11"/>
        <v>111</v>
      </c>
      <c r="R29" s="714" t="s">
        <v>17</v>
      </c>
      <c r="S29" s="715">
        <f t="shared" si="12"/>
        <v>100</v>
      </c>
      <c r="T29" s="714" t="s">
        <v>17</v>
      </c>
      <c r="U29" s="715">
        <f t="shared" si="13"/>
        <v>100</v>
      </c>
      <c r="V29" s="714" t="s">
        <v>17</v>
      </c>
      <c r="W29" s="715">
        <f t="shared" si="14"/>
        <v>100</v>
      </c>
      <c r="X29" s="1490"/>
      <c r="Y29" s="353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33"/>
      <c r="Q30" s="1487">
        <f t="shared" si="11"/>
        <v>111</v>
      </c>
      <c r="R30" s="714" t="s">
        <v>17</v>
      </c>
      <c r="S30" s="715">
        <f t="shared" si="12"/>
        <v>100</v>
      </c>
      <c r="T30" s="714" t="s">
        <v>17</v>
      </c>
      <c r="U30" s="715">
        <f t="shared" si="13"/>
        <v>100</v>
      </c>
      <c r="V30" s="714" t="s">
        <v>17</v>
      </c>
      <c r="W30" s="715">
        <f t="shared" si="14"/>
        <v>100</v>
      </c>
      <c r="X30" s="1490"/>
      <c r="Y30" s="353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33"/>
      <c r="Q31" s="1487">
        <f t="shared" si="11"/>
        <v>111</v>
      </c>
      <c r="R31" s="714" t="s">
        <v>17</v>
      </c>
      <c r="S31" s="715">
        <f t="shared" si="12"/>
        <v>100</v>
      </c>
      <c r="T31" s="714" t="s">
        <v>17</v>
      </c>
      <c r="U31" s="715">
        <f t="shared" si="13"/>
        <v>100</v>
      </c>
      <c r="V31" s="714" t="s">
        <v>17</v>
      </c>
      <c r="W31" s="715">
        <f t="shared" si="14"/>
        <v>100</v>
      </c>
      <c r="X31" s="1490"/>
      <c r="Y31" s="353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536" t="s">
        <v>2145</v>
      </c>
      <c r="Q32" s="1487" t="str">
        <f t="shared" si="11"/>
        <v>商业类型</v>
      </c>
      <c r="R32" s="714" t="s">
        <v>17</v>
      </c>
      <c r="S32" s="715">
        <f t="shared" si="12"/>
        <v>100</v>
      </c>
      <c r="T32" s="714" t="s">
        <v>17</v>
      </c>
      <c r="U32" s="715">
        <f t="shared" si="13"/>
        <v>100</v>
      </c>
      <c r="V32" s="714" t="s">
        <v>17</v>
      </c>
      <c r="W32" s="715">
        <f t="shared" si="14"/>
        <v>100</v>
      </c>
      <c r="X32" s="1490"/>
      <c r="Y32" s="353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37"/>
      <c r="Q33" s="716" t="str">
        <f t="shared" si="11"/>
        <v>项目建筑规模</v>
      </c>
      <c r="R33" s="717" t="s">
        <v>17</v>
      </c>
      <c r="S33" s="718" t="e">
        <f t="shared" si="12"/>
        <v>#N/A</v>
      </c>
      <c r="T33" s="717" t="s">
        <v>17</v>
      </c>
      <c r="U33" s="718" t="e">
        <f t="shared" si="13"/>
        <v>#N/A</v>
      </c>
      <c r="V33" s="717" t="s">
        <v>17</v>
      </c>
      <c r="W33" s="718" t="e">
        <f t="shared" si="14"/>
        <v>#N/A</v>
      </c>
      <c r="X33" s="719"/>
      <c r="Y33" s="353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537"/>
      <c r="Q34" s="1487" t="str">
        <f t="shared" si="11"/>
        <v>建筑结构</v>
      </c>
      <c r="R34" s="714" t="s">
        <v>17</v>
      </c>
      <c r="S34" s="715">
        <f t="shared" si="12"/>
        <v>100</v>
      </c>
      <c r="T34" s="714" t="s">
        <v>17</v>
      </c>
      <c r="U34" s="715">
        <f t="shared" si="13"/>
        <v>100</v>
      </c>
      <c r="V34" s="714" t="s">
        <v>17</v>
      </c>
      <c r="W34" s="715">
        <f t="shared" si="14"/>
        <v>100</v>
      </c>
      <c r="X34" s="1490"/>
      <c r="Y34" s="353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537"/>
      <c r="Q35" s="1487" t="str">
        <f t="shared" si="11"/>
        <v>公共部分装修</v>
      </c>
      <c r="R35" s="714" t="s">
        <v>17</v>
      </c>
      <c r="S35" s="715">
        <f t="shared" si="12"/>
        <v>100</v>
      </c>
      <c r="T35" s="714" t="s">
        <v>17</v>
      </c>
      <c r="U35" s="715">
        <f t="shared" si="13"/>
        <v>100</v>
      </c>
      <c r="V35" s="714" t="s">
        <v>17</v>
      </c>
      <c r="W35" s="715">
        <f t="shared" si="14"/>
        <v>100</v>
      </c>
      <c r="X35" s="1490"/>
      <c r="Y35" s="353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37"/>
      <c r="Q36" s="1487" t="str">
        <f t="shared" si="11"/>
        <v>成新度</v>
      </c>
      <c r="R36" s="714" t="s">
        <v>17</v>
      </c>
      <c r="S36" s="715" t="e">
        <f t="shared" si="12"/>
        <v>#N/A</v>
      </c>
      <c r="T36" s="714" t="s">
        <v>17</v>
      </c>
      <c r="U36" s="715" t="e">
        <f t="shared" si="13"/>
        <v>#N/A</v>
      </c>
      <c r="V36" s="714" t="s">
        <v>17</v>
      </c>
      <c r="W36" s="715" t="e">
        <f t="shared" si="14"/>
        <v>#N/A</v>
      </c>
      <c r="X36" s="1490"/>
      <c r="Y36" s="353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537"/>
      <c r="Q37" s="1478" t="str">
        <f t="shared" si="11"/>
        <v>市政基础设施</v>
      </c>
      <c r="R37" s="710" t="s">
        <v>17</v>
      </c>
      <c r="S37" s="711">
        <f t="shared" si="12"/>
        <v>100</v>
      </c>
      <c r="T37" s="710" t="s">
        <v>17</v>
      </c>
      <c r="U37" s="711">
        <f t="shared" si="13"/>
        <v>100</v>
      </c>
      <c r="V37" s="710" t="s">
        <v>17</v>
      </c>
      <c r="W37" s="711">
        <f t="shared" si="14"/>
        <v>100</v>
      </c>
      <c r="X37" s="712"/>
      <c r="Y37" s="353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537" t="s">
        <v>2145</v>
      </c>
      <c r="Q38" s="1487" t="str">
        <f t="shared" si="11"/>
        <v>业态</v>
      </c>
      <c r="R38" s="714" t="s">
        <v>17</v>
      </c>
      <c r="S38" s="715">
        <f t="shared" si="12"/>
        <v>100</v>
      </c>
      <c r="T38" s="714" t="s">
        <v>17</v>
      </c>
      <c r="U38" s="715">
        <f t="shared" si="13"/>
        <v>100</v>
      </c>
      <c r="V38" s="714" t="s">
        <v>17</v>
      </c>
      <c r="W38" s="715">
        <f t="shared" si="14"/>
        <v>100</v>
      </c>
      <c r="X38" s="1490"/>
      <c r="Y38" s="353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537"/>
      <c r="Q39" s="1487" t="str">
        <f t="shared" si="11"/>
        <v>层高</v>
      </c>
      <c r="R39" s="714" t="s">
        <v>17</v>
      </c>
      <c r="S39" s="715">
        <f t="shared" si="12"/>
        <v>100</v>
      </c>
      <c r="T39" s="714" t="s">
        <v>17</v>
      </c>
      <c r="U39" s="715">
        <f t="shared" si="13"/>
        <v>100</v>
      </c>
      <c r="V39" s="714" t="s">
        <v>17</v>
      </c>
      <c r="W39" s="715">
        <f t="shared" si="14"/>
        <v>100</v>
      </c>
      <c r="X39" s="1490"/>
      <c r="Y39" s="353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37"/>
      <c r="Q40" s="1487" t="str">
        <f t="shared" si="11"/>
        <v>单套建筑面积</v>
      </c>
      <c r="R40" s="714" t="s">
        <v>17</v>
      </c>
      <c r="S40" s="715">
        <f t="shared" si="12"/>
        <v>100</v>
      </c>
      <c r="T40" s="714" t="s">
        <v>17</v>
      </c>
      <c r="U40" s="715">
        <f t="shared" si="13"/>
        <v>100</v>
      </c>
      <c r="V40" s="714" t="s">
        <v>17</v>
      </c>
      <c r="W40" s="715">
        <f t="shared" si="14"/>
        <v>100</v>
      </c>
      <c r="X40" s="1490"/>
      <c r="Y40" s="353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37"/>
      <c r="Q41" s="716" t="str">
        <f t="shared" si="11"/>
        <v>进深比</v>
      </c>
      <c r="R41" s="717" t="s">
        <v>17</v>
      </c>
      <c r="S41" s="718">
        <f t="shared" si="12"/>
        <v>100</v>
      </c>
      <c r="T41" s="717" t="s">
        <v>17</v>
      </c>
      <c r="U41" s="718">
        <f t="shared" si="13"/>
        <v>100</v>
      </c>
      <c r="V41" s="717" t="s">
        <v>17</v>
      </c>
      <c r="W41" s="718">
        <f t="shared" si="14"/>
        <v>100</v>
      </c>
      <c r="X41" s="719"/>
      <c r="Y41" s="353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537"/>
      <c r="Q42" s="1487" t="str">
        <f t="shared" si="11"/>
        <v>内部装修</v>
      </c>
      <c r="R42" s="714" t="s">
        <v>17</v>
      </c>
      <c r="S42" s="715">
        <f t="shared" si="12"/>
        <v>100</v>
      </c>
      <c r="T42" s="714" t="s">
        <v>17</v>
      </c>
      <c r="U42" s="715">
        <f t="shared" si="13"/>
        <v>100</v>
      </c>
      <c r="V42" s="714" t="s">
        <v>17</v>
      </c>
      <c r="W42" s="715">
        <f t="shared" si="14"/>
        <v>100</v>
      </c>
      <c r="X42" s="1490"/>
      <c r="Y42" s="353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537"/>
      <c r="Q43" s="1487" t="str">
        <f t="shared" si="11"/>
        <v>内部装修维护情况</v>
      </c>
      <c r="R43" s="714" t="s">
        <v>17</v>
      </c>
      <c r="S43" s="715">
        <f t="shared" si="12"/>
        <v>100</v>
      </c>
      <c r="T43" s="714" t="s">
        <v>17</v>
      </c>
      <c r="U43" s="715">
        <f t="shared" si="13"/>
        <v>100</v>
      </c>
      <c r="V43" s="714" t="s">
        <v>17</v>
      </c>
      <c r="W43" s="715">
        <f t="shared" si="14"/>
        <v>100</v>
      </c>
      <c r="X43" s="1490"/>
      <c r="Y43" s="353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37"/>
      <c r="Q44" s="1478">
        <f t="shared" si="11"/>
        <v>111</v>
      </c>
      <c r="R44" s="710" t="s">
        <v>17</v>
      </c>
      <c r="S44" s="711">
        <f t="shared" si="12"/>
        <v>100</v>
      </c>
      <c r="T44" s="710" t="s">
        <v>17</v>
      </c>
      <c r="U44" s="711">
        <f t="shared" si="13"/>
        <v>100</v>
      </c>
      <c r="V44" s="710" t="s">
        <v>17</v>
      </c>
      <c r="W44" s="711">
        <f t="shared" si="14"/>
        <v>100</v>
      </c>
      <c r="X44" s="712"/>
      <c r="Y44" s="353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37"/>
      <c r="Q45" s="1487">
        <f t="shared" si="11"/>
        <v>111</v>
      </c>
      <c r="R45" s="714" t="s">
        <v>17</v>
      </c>
      <c r="S45" s="715">
        <f t="shared" si="12"/>
        <v>100</v>
      </c>
      <c r="T45" s="714" t="s">
        <v>17</v>
      </c>
      <c r="U45" s="715">
        <f t="shared" si="13"/>
        <v>100</v>
      </c>
      <c r="V45" s="714" t="s">
        <v>17</v>
      </c>
      <c r="W45" s="715">
        <f t="shared" si="14"/>
        <v>100</v>
      </c>
      <c r="X45" s="1490"/>
      <c r="Y45" s="353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38"/>
      <c r="Q46" s="1487">
        <f t="shared" si="11"/>
        <v>111</v>
      </c>
      <c r="R46" s="714" t="s">
        <v>17</v>
      </c>
      <c r="S46" s="715">
        <f t="shared" si="12"/>
        <v>100</v>
      </c>
      <c r="T46" s="714" t="s">
        <v>17</v>
      </c>
      <c r="U46" s="715">
        <f t="shared" si="13"/>
        <v>100</v>
      </c>
      <c r="V46" s="714" t="s">
        <v>17</v>
      </c>
      <c r="W46" s="715">
        <f t="shared" si="14"/>
        <v>100</v>
      </c>
      <c r="X46" s="1490"/>
      <c r="Y46" s="354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527" t="str">
        <f>A47</f>
        <v>成交单价（元/平方米）</v>
      </c>
      <c r="Q47" s="3527"/>
      <c r="R47" s="3552">
        <f>E47</f>
        <v>0</v>
      </c>
      <c r="S47" s="3552"/>
      <c r="T47" s="3552">
        <f>G47</f>
        <v>0</v>
      </c>
      <c r="U47" s="3552"/>
      <c r="V47" s="3552">
        <f>I47</f>
        <v>0</v>
      </c>
      <c r="W47" s="3552"/>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902"/>
      <c r="M48" s="2903"/>
      <c r="N48" s="2894"/>
      <c r="O48" s="2903"/>
      <c r="P48" s="3527" t="str">
        <f>A48</f>
        <v>比较价值（元/平方米）</v>
      </c>
      <c r="Q48" s="3527"/>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610" t="str">
        <f>A49</f>
        <v>估价对象XX用房的比较价值（楼面单价，元/平方米）</v>
      </c>
      <c r="Q49" s="3611"/>
      <c r="R49" s="3612" t="e">
        <f>IF(F1="售价",ROUND(IF(D48="简单平均",AVERAGE(R48:V48),R48*F48+T48*H48+V48*J48),0),ROUND(IF(D48="简单平均",AVERAGE(R48:V48),R48*F48+T48*H48+V48*J48),1))</f>
        <v>#DIV/0!</v>
      </c>
      <c r="S49" s="3612"/>
      <c r="T49" s="3612"/>
      <c r="U49" s="3612"/>
      <c r="V49" s="3612"/>
      <c r="W49" s="3612"/>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2022-12</v>
      </c>
      <c r="D58" s="1300">
        <f>EDATE(C58,-1)</f>
        <v>44866</v>
      </c>
      <c r="E58" s="1300">
        <f t="shared" ref="E58:N58" si="16">EDATE(D58,-1)</f>
        <v>44835</v>
      </c>
      <c r="F58" s="1300">
        <f t="shared" si="16"/>
        <v>44805</v>
      </c>
      <c r="G58" s="1300">
        <f t="shared" si="16"/>
        <v>44774</v>
      </c>
      <c r="H58" s="1300">
        <f t="shared" si="16"/>
        <v>44743</v>
      </c>
      <c r="I58" s="1300">
        <f t="shared" si="16"/>
        <v>44713</v>
      </c>
      <c r="J58" s="1300">
        <f t="shared" si="16"/>
        <v>44682</v>
      </c>
      <c r="K58" s="1300">
        <f t="shared" si="16"/>
        <v>44652</v>
      </c>
      <c r="L58" s="1300">
        <f t="shared" si="16"/>
        <v>44621</v>
      </c>
      <c r="M58" s="1300">
        <f t="shared" si="16"/>
        <v>44593</v>
      </c>
      <c r="N58" s="1300">
        <f t="shared" si="16"/>
        <v>44562</v>
      </c>
      <c r="O58" s="1300">
        <f>EDATE(N58,-1)</f>
        <v>44531</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51394.390000000007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59" t="s">
        <v>2226</v>
      </c>
      <c r="D4" s="3560"/>
      <c r="E4" s="3561" t="s">
        <v>2227</v>
      </c>
      <c r="F4" s="3562"/>
      <c r="G4" s="3559" t="s">
        <v>2228</v>
      </c>
      <c r="H4" s="3560"/>
      <c r="I4" s="3559" t="s">
        <v>2229</v>
      </c>
      <c r="J4" s="3560"/>
      <c r="K4" s="567" t="s">
        <v>2230</v>
      </c>
      <c r="L4" s="1025"/>
      <c r="M4" s="1026"/>
      <c r="N4" s="1026"/>
      <c r="O4" s="1026"/>
      <c r="P4" s="3606" t="s">
        <v>2231</v>
      </c>
      <c r="Q4" s="3607"/>
      <c r="R4" s="3604" t="s">
        <v>2227</v>
      </c>
      <c r="S4" s="3605"/>
      <c r="T4" s="3604" t="s">
        <v>2228</v>
      </c>
      <c r="U4" s="3605"/>
      <c r="V4" s="3552" t="s">
        <v>2229</v>
      </c>
      <c r="W4" s="3552"/>
      <c r="X4" s="1490"/>
      <c r="Y4" s="3604" t="s">
        <v>2231</v>
      </c>
      <c r="Z4" s="3605"/>
      <c r="AA4" s="3603" t="s">
        <v>2227</v>
      </c>
      <c r="AB4" s="3554" t="s">
        <v>2228</v>
      </c>
      <c r="AC4" s="3603" t="s">
        <v>2229</v>
      </c>
    </row>
    <row r="5" spans="1:29" ht="15">
      <c r="A5" s="364"/>
      <c r="B5" s="365"/>
      <c r="C5" s="3569" t="s">
        <v>2122</v>
      </c>
      <c r="D5" s="3570"/>
      <c r="E5" s="3571" t="s">
        <v>2123</v>
      </c>
      <c r="F5" s="3572"/>
      <c r="G5" s="3569" t="s">
        <v>2124</v>
      </c>
      <c r="H5" s="3570"/>
      <c r="I5" s="3569" t="s">
        <v>2125</v>
      </c>
      <c r="J5" s="3570"/>
      <c r="K5" s="567"/>
      <c r="L5" s="1025"/>
      <c r="M5" s="1026"/>
      <c r="N5" s="1026"/>
      <c r="O5" s="1026"/>
      <c r="P5" s="3608"/>
      <c r="Q5" s="3566"/>
      <c r="R5" s="3547"/>
      <c r="S5" s="3548"/>
      <c r="T5" s="3547"/>
      <c r="U5" s="3548"/>
      <c r="V5" s="3552"/>
      <c r="W5" s="3552"/>
      <c r="X5" s="1490"/>
      <c r="Y5" s="3547"/>
      <c r="Z5" s="3548"/>
      <c r="AA5" s="3554"/>
      <c r="AB5" s="3554"/>
      <c r="AC5" s="3554"/>
    </row>
    <row r="6" spans="1:29" ht="15.75" thickBot="1">
      <c r="A6" s="366"/>
      <c r="B6" s="367"/>
      <c r="C6" s="3573" t="s">
        <v>2126</v>
      </c>
      <c r="D6" s="3574"/>
      <c r="E6" s="3575" t="s">
        <v>2126</v>
      </c>
      <c r="F6" s="3576"/>
      <c r="G6" s="3573" t="s">
        <v>2126</v>
      </c>
      <c r="H6" s="3574"/>
      <c r="I6" s="3573" t="s">
        <v>2126</v>
      </c>
      <c r="J6" s="3574"/>
      <c r="K6" s="567" t="s">
        <v>2127</v>
      </c>
      <c r="L6" s="1025"/>
      <c r="M6" s="1026"/>
      <c r="N6" s="1026"/>
      <c r="O6" s="1026"/>
      <c r="P6" s="3609"/>
      <c r="Q6" s="3568"/>
      <c r="R6" s="3547"/>
      <c r="S6" s="3548"/>
      <c r="T6" s="3549"/>
      <c r="U6" s="3550"/>
      <c r="V6" s="3552"/>
      <c r="W6" s="3552"/>
      <c r="X6" s="1490"/>
      <c r="Y6" s="3549"/>
      <c r="Z6" s="3550"/>
      <c r="AA6" s="3555"/>
      <c r="AB6" s="3555"/>
      <c r="AC6" s="3555"/>
    </row>
    <row r="7" spans="1:29" s="113" customFormat="1" ht="15.75" thickBot="1">
      <c r="A7" s="368" t="s">
        <v>2128</v>
      </c>
      <c r="B7" s="369"/>
      <c r="C7" s="370">
        <f>'数据-取费表'!B2</f>
        <v>44902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44" t="s">
        <v>2129</v>
      </c>
      <c r="Q7" s="3542"/>
      <c r="R7" s="710" t="s">
        <v>17</v>
      </c>
      <c r="S7" s="711">
        <f t="shared" ref="S7:S15" si="0">F7</f>
        <v>0</v>
      </c>
      <c r="T7" s="710" t="s">
        <v>17</v>
      </c>
      <c r="U7" s="711">
        <f t="shared" ref="U7:U15" si="1">H7</f>
        <v>0</v>
      </c>
      <c r="V7" s="710" t="s">
        <v>17</v>
      </c>
      <c r="W7" s="711">
        <f t="shared" ref="W7:W15" si="2">J7</f>
        <v>0</v>
      </c>
      <c r="X7" s="712"/>
      <c r="Y7" s="3544" t="s">
        <v>2129</v>
      </c>
      <c r="Z7" s="354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44" t="s">
        <v>2132</v>
      </c>
      <c r="Q8" s="3543"/>
      <c r="R8" s="710" t="s">
        <v>17</v>
      </c>
      <c r="S8" s="711">
        <f t="shared" si="0"/>
        <v>0</v>
      </c>
      <c r="T8" s="710" t="s">
        <v>17</v>
      </c>
      <c r="U8" s="711">
        <f t="shared" si="1"/>
        <v>0</v>
      </c>
      <c r="V8" s="710" t="s">
        <v>17</v>
      </c>
      <c r="W8" s="711">
        <f t="shared" si="2"/>
        <v>0</v>
      </c>
      <c r="X8" s="712"/>
      <c r="Y8" s="3544" t="s">
        <v>2132</v>
      </c>
      <c r="Z8" s="354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7" t="s">
        <v>2135</v>
      </c>
      <c r="Q9" s="1478" t="str">
        <f t="shared" ref="Q9:Q15" si="6">B9</f>
        <v>用途</v>
      </c>
      <c r="R9" s="710" t="s">
        <v>17</v>
      </c>
      <c r="S9" s="711">
        <f t="shared" si="0"/>
        <v>100</v>
      </c>
      <c r="T9" s="710" t="s">
        <v>17</v>
      </c>
      <c r="U9" s="711">
        <f t="shared" si="1"/>
        <v>100</v>
      </c>
      <c r="V9" s="710" t="s">
        <v>17</v>
      </c>
      <c r="W9" s="711">
        <f t="shared" si="2"/>
        <v>100</v>
      </c>
      <c r="X9" s="712"/>
      <c r="Y9" s="349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7"/>
      <c r="Q10" s="1478" t="str">
        <f t="shared" si="6"/>
        <v>土地使用年限（年）</v>
      </c>
      <c r="R10" s="710" t="s">
        <v>17</v>
      </c>
      <c r="S10" s="711">
        <f t="shared" si="0"/>
        <v>100</v>
      </c>
      <c r="T10" s="710" t="s">
        <v>17</v>
      </c>
      <c r="U10" s="711">
        <f t="shared" si="1"/>
        <v>100</v>
      </c>
      <c r="V10" s="710" t="s">
        <v>17</v>
      </c>
      <c r="W10" s="711">
        <f t="shared" si="2"/>
        <v>100</v>
      </c>
      <c r="X10" s="712"/>
      <c r="Y10" s="349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7"/>
      <c r="Q11" s="1478" t="str">
        <f t="shared" si="6"/>
        <v>容积率</v>
      </c>
      <c r="R11" s="710" t="s">
        <v>17</v>
      </c>
      <c r="S11" s="711" t="e">
        <f t="shared" si="0"/>
        <v>#N/A</v>
      </c>
      <c r="T11" s="710" t="s">
        <v>17</v>
      </c>
      <c r="U11" s="711" t="e">
        <f t="shared" si="1"/>
        <v>#N/A</v>
      </c>
      <c r="V11" s="710" t="s">
        <v>17</v>
      </c>
      <c r="W11" s="711" t="e">
        <f t="shared" si="2"/>
        <v>#N/A</v>
      </c>
      <c r="X11" s="712"/>
      <c r="Y11" s="349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27"/>
      <c r="Q12" s="1478">
        <f t="shared" si="6"/>
        <v>111</v>
      </c>
      <c r="R12" s="710" t="s">
        <v>17</v>
      </c>
      <c r="S12" s="711">
        <f t="shared" si="0"/>
        <v>100</v>
      </c>
      <c r="T12" s="710" t="s">
        <v>17</v>
      </c>
      <c r="U12" s="711">
        <f t="shared" si="1"/>
        <v>100</v>
      </c>
      <c r="V12" s="710" t="s">
        <v>17</v>
      </c>
      <c r="W12" s="711">
        <f t="shared" si="2"/>
        <v>100</v>
      </c>
      <c r="X12" s="712"/>
      <c r="Y12" s="349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27"/>
      <c r="Q13" s="1478">
        <f t="shared" si="6"/>
        <v>111</v>
      </c>
      <c r="R13" s="710" t="s">
        <v>17</v>
      </c>
      <c r="S13" s="711">
        <f t="shared" si="0"/>
        <v>100</v>
      </c>
      <c r="T13" s="710" t="s">
        <v>17</v>
      </c>
      <c r="U13" s="711">
        <f t="shared" si="1"/>
        <v>100</v>
      </c>
      <c r="V13" s="710" t="s">
        <v>17</v>
      </c>
      <c r="W13" s="711">
        <f t="shared" si="2"/>
        <v>100</v>
      </c>
      <c r="X13" s="712"/>
      <c r="Y13" s="349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27"/>
      <c r="Q14" s="1478">
        <f t="shared" si="6"/>
        <v>111</v>
      </c>
      <c r="R14" s="710" t="s">
        <v>17</v>
      </c>
      <c r="S14" s="711">
        <f t="shared" si="0"/>
        <v>100</v>
      </c>
      <c r="T14" s="710" t="s">
        <v>17</v>
      </c>
      <c r="U14" s="711">
        <f t="shared" si="1"/>
        <v>100</v>
      </c>
      <c r="V14" s="710" t="s">
        <v>17</v>
      </c>
      <c r="W14" s="711">
        <f t="shared" si="2"/>
        <v>100</v>
      </c>
      <c r="X14" s="712"/>
      <c r="Y14" s="3499"/>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34" t="s">
        <v>2140</v>
      </c>
      <c r="Q15" s="1487" t="str">
        <f t="shared" si="6"/>
        <v>产业集聚程度</v>
      </c>
      <c r="R15" s="714" t="s">
        <v>17</v>
      </c>
      <c r="S15" s="715">
        <f t="shared" si="0"/>
        <v>100</v>
      </c>
      <c r="T15" s="714" t="s">
        <v>17</v>
      </c>
      <c r="U15" s="715">
        <f t="shared" si="1"/>
        <v>100</v>
      </c>
      <c r="V15" s="714" t="s">
        <v>17</v>
      </c>
      <c r="W15" s="715">
        <f t="shared" si="2"/>
        <v>100</v>
      </c>
      <c r="X15" s="1490"/>
      <c r="Y15" s="353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35"/>
      <c r="Q16" s="1487"/>
      <c r="R16" s="714"/>
      <c r="S16" s="715"/>
      <c r="T16" s="714"/>
      <c r="U16" s="715"/>
      <c r="V16" s="714"/>
      <c r="W16" s="715"/>
      <c r="X16" s="1490"/>
      <c r="Y16" s="353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35"/>
      <c r="Q17" s="1487" t="str">
        <f>B17</f>
        <v>交通便捷度</v>
      </c>
      <c r="R17" s="714" t="s">
        <v>17</v>
      </c>
      <c r="S17" s="715">
        <f>F17</f>
        <v>100</v>
      </c>
      <c r="T17" s="714" t="s">
        <v>17</v>
      </c>
      <c r="U17" s="715">
        <f>H17</f>
        <v>100</v>
      </c>
      <c r="V17" s="714" t="s">
        <v>17</v>
      </c>
      <c r="W17" s="715">
        <f>J17</f>
        <v>100</v>
      </c>
      <c r="X17" s="1490"/>
      <c r="Y17" s="353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35"/>
      <c r="Q18" s="1487"/>
      <c r="R18" s="714"/>
      <c r="S18" s="715"/>
      <c r="T18" s="714"/>
      <c r="U18" s="715"/>
      <c r="V18" s="714"/>
      <c r="W18" s="715"/>
      <c r="X18" s="1490"/>
      <c r="Y18" s="353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35"/>
      <c r="Q19" s="1487" t="str">
        <f>B19</f>
        <v>公共配套设施</v>
      </c>
      <c r="R19" s="714" t="s">
        <v>17</v>
      </c>
      <c r="S19" s="715">
        <f>F19</f>
        <v>100</v>
      </c>
      <c r="T19" s="714" t="s">
        <v>17</v>
      </c>
      <c r="U19" s="715">
        <f>H19</f>
        <v>100</v>
      </c>
      <c r="V19" s="714" t="s">
        <v>17</v>
      </c>
      <c r="W19" s="715">
        <f>J19</f>
        <v>100</v>
      </c>
      <c r="X19" s="1490"/>
      <c r="Y19" s="353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35"/>
      <c r="Q20" s="1487"/>
      <c r="R20" s="714"/>
      <c r="S20" s="715"/>
      <c r="T20" s="714"/>
      <c r="U20" s="715"/>
      <c r="V20" s="714"/>
      <c r="W20" s="715"/>
      <c r="X20" s="1490"/>
      <c r="Y20" s="353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35"/>
      <c r="Q21" s="1487" t="str">
        <f>B21</f>
        <v>基础设施水平</v>
      </c>
      <c r="R21" s="714" t="s">
        <v>17</v>
      </c>
      <c r="S21" s="715">
        <f>F21</f>
        <v>100</v>
      </c>
      <c r="T21" s="714" t="s">
        <v>17</v>
      </c>
      <c r="U21" s="715">
        <f>H21</f>
        <v>100</v>
      </c>
      <c r="V21" s="714" t="s">
        <v>17</v>
      </c>
      <c r="W21" s="715">
        <f>J21</f>
        <v>100</v>
      </c>
      <c r="X21" s="1490"/>
      <c r="Y21" s="353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35"/>
      <c r="Q22" s="1487"/>
      <c r="R22" s="714"/>
      <c r="S22" s="715"/>
      <c r="T22" s="714"/>
      <c r="U22" s="715"/>
      <c r="V22" s="714"/>
      <c r="W22" s="715"/>
      <c r="X22" s="1490"/>
      <c r="Y22" s="353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35"/>
      <c r="Q23" s="1487" t="str">
        <f>B23</f>
        <v>环境质量</v>
      </c>
      <c r="R23" s="714" t="s">
        <v>17</v>
      </c>
      <c r="S23" s="715">
        <f>F23</f>
        <v>100</v>
      </c>
      <c r="T23" s="714" t="s">
        <v>17</v>
      </c>
      <c r="U23" s="715">
        <f>H23</f>
        <v>100</v>
      </c>
      <c r="V23" s="714" t="s">
        <v>17</v>
      </c>
      <c r="W23" s="715">
        <f>J23</f>
        <v>100</v>
      </c>
      <c r="X23" s="1490"/>
      <c r="Y23" s="353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35"/>
      <c r="Q24" s="1487"/>
      <c r="R24" s="714"/>
      <c r="S24" s="715"/>
      <c r="T24" s="714"/>
      <c r="U24" s="715"/>
      <c r="V24" s="714"/>
      <c r="W24" s="715"/>
      <c r="X24" s="1490"/>
      <c r="Y24" s="353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35"/>
      <c r="Q25" s="1487">
        <f>B25</f>
        <v>111</v>
      </c>
      <c r="R25" s="714" t="s">
        <v>17</v>
      </c>
      <c r="S25" s="715">
        <f>F25</f>
        <v>100</v>
      </c>
      <c r="T25" s="714" t="s">
        <v>17</v>
      </c>
      <c r="U25" s="715">
        <f>H25</f>
        <v>100</v>
      </c>
      <c r="V25" s="714" t="s">
        <v>17</v>
      </c>
      <c r="W25" s="715">
        <f>J25</f>
        <v>100</v>
      </c>
      <c r="X25" s="1490"/>
      <c r="Y25" s="353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35"/>
      <c r="Q26" s="1487">
        <f t="shared" ref="Q26:Q40" si="11">B26</f>
        <v>111</v>
      </c>
      <c r="R26" s="714" t="s">
        <v>17</v>
      </c>
      <c r="S26" s="715">
        <f>F26</f>
        <v>100</v>
      </c>
      <c r="T26" s="714" t="s">
        <v>17</v>
      </c>
      <c r="U26" s="715">
        <f>H26</f>
        <v>100</v>
      </c>
      <c r="V26" s="714" t="s">
        <v>17</v>
      </c>
      <c r="W26" s="715">
        <f>J26</f>
        <v>100</v>
      </c>
      <c r="X26" s="1490"/>
      <c r="Y26" s="353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35"/>
      <c r="Q27" s="1478">
        <f t="shared" si="11"/>
        <v>111</v>
      </c>
      <c r="R27" s="710" t="s">
        <v>17</v>
      </c>
      <c r="S27" s="711">
        <f>F27</f>
        <v>100</v>
      </c>
      <c r="T27" s="710" t="s">
        <v>17</v>
      </c>
      <c r="U27" s="711">
        <f>H27</f>
        <v>100</v>
      </c>
      <c r="V27" s="710" t="s">
        <v>17</v>
      </c>
      <c r="W27" s="711">
        <f>J27</f>
        <v>100</v>
      </c>
      <c r="X27" s="712"/>
      <c r="Y27" s="353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35"/>
      <c r="Q28" s="1487">
        <f t="shared" si="11"/>
        <v>111</v>
      </c>
      <c r="R28" s="714" t="s">
        <v>17</v>
      </c>
      <c r="S28" s="715">
        <f t="shared" ref="S28:S40" si="12">F28</f>
        <v>100</v>
      </c>
      <c r="T28" s="714" t="s">
        <v>17</v>
      </c>
      <c r="U28" s="715">
        <f t="shared" ref="U28:U40" si="13">H28</f>
        <v>100</v>
      </c>
      <c r="V28" s="714" t="s">
        <v>17</v>
      </c>
      <c r="W28" s="715">
        <f t="shared" ref="W28:W40" si="14">J28</f>
        <v>100</v>
      </c>
      <c r="X28" s="1490"/>
      <c r="Y28" s="3535"/>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613" t="s">
        <v>2145</v>
      </c>
      <c r="Q29" s="1487" t="str">
        <f t="shared" si="11"/>
        <v>建筑类型</v>
      </c>
      <c r="R29" s="714" t="s">
        <v>17</v>
      </c>
      <c r="S29" s="715">
        <f t="shared" si="12"/>
        <v>100</v>
      </c>
      <c r="T29" s="714" t="s">
        <v>17</v>
      </c>
      <c r="U29" s="715">
        <f t="shared" si="13"/>
        <v>100</v>
      </c>
      <c r="V29" s="714" t="s">
        <v>17</v>
      </c>
      <c r="W29" s="715">
        <f t="shared" si="14"/>
        <v>100</v>
      </c>
      <c r="X29" s="1490"/>
      <c r="Y29" s="353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39"/>
      <c r="Q30" s="716" t="str">
        <f t="shared" si="11"/>
        <v>项目建筑规模</v>
      </c>
      <c r="R30" s="717" t="s">
        <v>17</v>
      </c>
      <c r="S30" s="718" t="e">
        <f t="shared" si="12"/>
        <v>#N/A</v>
      </c>
      <c r="T30" s="717" t="s">
        <v>17</v>
      </c>
      <c r="U30" s="718" t="e">
        <f t="shared" si="13"/>
        <v>#N/A</v>
      </c>
      <c r="V30" s="717" t="s">
        <v>17</v>
      </c>
      <c r="W30" s="718" t="e">
        <f t="shared" si="14"/>
        <v>#N/A</v>
      </c>
      <c r="X30" s="719"/>
      <c r="Y30" s="353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39"/>
      <c r="Q31" s="1487" t="str">
        <f t="shared" si="11"/>
        <v>建筑结构</v>
      </c>
      <c r="R31" s="714" t="s">
        <v>17</v>
      </c>
      <c r="S31" s="715">
        <f t="shared" si="12"/>
        <v>100</v>
      </c>
      <c r="T31" s="714" t="s">
        <v>17</v>
      </c>
      <c r="U31" s="715">
        <f t="shared" si="13"/>
        <v>100</v>
      </c>
      <c r="V31" s="714" t="s">
        <v>17</v>
      </c>
      <c r="W31" s="715">
        <f t="shared" si="14"/>
        <v>100</v>
      </c>
      <c r="X31" s="1490"/>
      <c r="Y31" s="353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39"/>
      <c r="Q32" s="1487" t="str">
        <f t="shared" si="11"/>
        <v>公共部分装修</v>
      </c>
      <c r="R32" s="714" t="s">
        <v>17</v>
      </c>
      <c r="S32" s="715">
        <f t="shared" si="12"/>
        <v>100</v>
      </c>
      <c r="T32" s="714" t="s">
        <v>17</v>
      </c>
      <c r="U32" s="715">
        <f t="shared" si="13"/>
        <v>100</v>
      </c>
      <c r="V32" s="714" t="s">
        <v>17</v>
      </c>
      <c r="W32" s="715">
        <f t="shared" si="14"/>
        <v>100</v>
      </c>
      <c r="X32" s="1490"/>
      <c r="Y32" s="353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39"/>
      <c r="Q33" s="1487" t="str">
        <f t="shared" si="11"/>
        <v>成新度</v>
      </c>
      <c r="R33" s="714" t="s">
        <v>17</v>
      </c>
      <c r="S33" s="715" t="e">
        <f t="shared" si="12"/>
        <v>#N/A</v>
      </c>
      <c r="T33" s="714" t="s">
        <v>17</v>
      </c>
      <c r="U33" s="715" t="e">
        <f t="shared" si="13"/>
        <v>#N/A</v>
      </c>
      <c r="V33" s="714" t="s">
        <v>17</v>
      </c>
      <c r="W33" s="715" t="e">
        <f t="shared" si="14"/>
        <v>#N/A</v>
      </c>
      <c r="X33" s="1490"/>
      <c r="Y33" s="353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39"/>
      <c r="Q34" s="1478" t="str">
        <f t="shared" si="11"/>
        <v>物业管理</v>
      </c>
      <c r="R34" s="710" t="s">
        <v>17</v>
      </c>
      <c r="S34" s="711">
        <f t="shared" si="12"/>
        <v>100</v>
      </c>
      <c r="T34" s="710" t="s">
        <v>17</v>
      </c>
      <c r="U34" s="711">
        <f t="shared" si="13"/>
        <v>100</v>
      </c>
      <c r="V34" s="710" t="s">
        <v>17</v>
      </c>
      <c r="W34" s="711">
        <f t="shared" si="14"/>
        <v>100</v>
      </c>
      <c r="X34" s="712"/>
      <c r="Y34" s="353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39" t="s">
        <v>2145</v>
      </c>
      <c r="Q35" s="1487" t="str">
        <f t="shared" si="11"/>
        <v>市政基础设施</v>
      </c>
      <c r="R35" s="714" t="s">
        <v>17</v>
      </c>
      <c r="S35" s="715">
        <f t="shared" si="12"/>
        <v>100</v>
      </c>
      <c r="T35" s="714" t="s">
        <v>17</v>
      </c>
      <c r="U35" s="715">
        <f t="shared" si="13"/>
        <v>100</v>
      </c>
      <c r="V35" s="714" t="s">
        <v>17</v>
      </c>
      <c r="W35" s="715">
        <f t="shared" si="14"/>
        <v>100</v>
      </c>
      <c r="X35" s="1490"/>
      <c r="Y35" s="353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39"/>
      <c r="Q36" s="1487" t="str">
        <f t="shared" si="11"/>
        <v>内部装修</v>
      </c>
      <c r="R36" s="714" t="s">
        <v>17</v>
      </c>
      <c r="S36" s="715">
        <f t="shared" si="12"/>
        <v>100</v>
      </c>
      <c r="T36" s="714" t="s">
        <v>17</v>
      </c>
      <c r="U36" s="715">
        <f t="shared" si="13"/>
        <v>100</v>
      </c>
      <c r="V36" s="714" t="s">
        <v>17</v>
      </c>
      <c r="W36" s="715">
        <f t="shared" si="14"/>
        <v>100</v>
      </c>
      <c r="X36" s="1490"/>
      <c r="Y36" s="353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39"/>
      <c r="Q37" s="1487" t="str">
        <f t="shared" si="11"/>
        <v>内部装修状况</v>
      </c>
      <c r="R37" s="714" t="s">
        <v>17</v>
      </c>
      <c r="S37" s="715">
        <f t="shared" si="12"/>
        <v>100</v>
      </c>
      <c r="T37" s="714" t="s">
        <v>17</v>
      </c>
      <c r="U37" s="715">
        <f t="shared" si="13"/>
        <v>100</v>
      </c>
      <c r="V37" s="714" t="s">
        <v>17</v>
      </c>
      <c r="W37" s="715">
        <f t="shared" si="14"/>
        <v>100</v>
      </c>
      <c r="X37" s="1490"/>
      <c r="Y37" s="353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39"/>
      <c r="Q38" s="716">
        <f t="shared" si="11"/>
        <v>111</v>
      </c>
      <c r="R38" s="717" t="s">
        <v>17</v>
      </c>
      <c r="S38" s="718">
        <f t="shared" si="12"/>
        <v>100</v>
      </c>
      <c r="T38" s="717" t="s">
        <v>17</v>
      </c>
      <c r="U38" s="718">
        <f t="shared" si="13"/>
        <v>100</v>
      </c>
      <c r="V38" s="717" t="s">
        <v>17</v>
      </c>
      <c r="W38" s="718">
        <f t="shared" si="14"/>
        <v>100</v>
      </c>
      <c r="X38" s="719"/>
      <c r="Y38" s="353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39"/>
      <c r="Q39" s="1487">
        <f t="shared" si="11"/>
        <v>111</v>
      </c>
      <c r="R39" s="714" t="s">
        <v>17</v>
      </c>
      <c r="S39" s="715">
        <f t="shared" si="12"/>
        <v>100</v>
      </c>
      <c r="T39" s="714" t="s">
        <v>17</v>
      </c>
      <c r="U39" s="715">
        <f t="shared" si="13"/>
        <v>100</v>
      </c>
      <c r="V39" s="714" t="s">
        <v>17</v>
      </c>
      <c r="W39" s="715">
        <f t="shared" si="14"/>
        <v>100</v>
      </c>
      <c r="X39" s="1490"/>
      <c r="Y39" s="353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0"/>
      <c r="Q40" s="1487">
        <f t="shared" si="11"/>
        <v>111</v>
      </c>
      <c r="R40" s="714" t="s">
        <v>17</v>
      </c>
      <c r="S40" s="715">
        <f t="shared" si="12"/>
        <v>100</v>
      </c>
      <c r="T40" s="714" t="s">
        <v>17</v>
      </c>
      <c r="U40" s="715">
        <f t="shared" si="13"/>
        <v>100</v>
      </c>
      <c r="V40" s="714" t="s">
        <v>17</v>
      </c>
      <c r="W40" s="715">
        <f t="shared" si="14"/>
        <v>100</v>
      </c>
      <c r="X40" s="1490"/>
      <c r="Y40" s="354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27" t="str">
        <f>A41</f>
        <v>成交单价（元/平方米）</v>
      </c>
      <c r="Q41" s="3527"/>
      <c r="R41" s="3528">
        <f>E41</f>
        <v>0</v>
      </c>
      <c r="S41" s="3528"/>
      <c r="T41" s="3528">
        <f>G41</f>
        <v>0</v>
      </c>
      <c r="U41" s="3528"/>
      <c r="V41" s="3528">
        <f>I41</f>
        <v>0</v>
      </c>
      <c r="W41" s="3528"/>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527" t="str">
        <f>A42</f>
        <v>比较价值（元/平方米）</v>
      </c>
      <c r="Q42" s="3527"/>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610" t="str">
        <f>A43</f>
        <v>估价对象XX用房的比较价值（楼面单价，元/平方米）</v>
      </c>
      <c r="Q43" s="3611"/>
      <c r="R43" s="3612" t="e">
        <f>IF(F1="售价",ROUND(IF(D42="简单平均",AVERAGE(R42:V42),R42*F42+T42*H42+V42*J42),0),ROUND(IF(D42="简单平均",AVERAGE(R42:V42),R42*F42+T42*H42+V42*J42),1))</f>
        <v>#DIV/0!</v>
      </c>
      <c r="S43" s="3612"/>
      <c r="T43" s="3612"/>
      <c r="U43" s="3612"/>
      <c r="V43" s="3612"/>
      <c r="W43" s="3612"/>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2022-12</v>
      </c>
      <c r="D52" s="1300">
        <f>EDATE(C52,-1)</f>
        <v>44866</v>
      </c>
      <c r="E52" s="1300">
        <f t="shared" ref="E52:O52" si="16">EDATE(D52,-1)</f>
        <v>44835</v>
      </c>
      <c r="F52" s="1300">
        <f t="shared" si="16"/>
        <v>44805</v>
      </c>
      <c r="G52" s="1300">
        <f t="shared" si="16"/>
        <v>44774</v>
      </c>
      <c r="H52" s="1300">
        <f t="shared" si="16"/>
        <v>44743</v>
      </c>
      <c r="I52" s="1300">
        <f t="shared" si="16"/>
        <v>44713</v>
      </c>
      <c r="J52" s="1300">
        <f t="shared" si="16"/>
        <v>44682</v>
      </c>
      <c r="K52" s="1300">
        <f t="shared" si="16"/>
        <v>44652</v>
      </c>
      <c r="L52" s="1300">
        <f t="shared" si="16"/>
        <v>44621</v>
      </c>
      <c r="M52" s="1300">
        <f t="shared" si="16"/>
        <v>44593</v>
      </c>
      <c r="N52" s="1300">
        <f t="shared" si="16"/>
        <v>44562</v>
      </c>
      <c r="O52" s="1300">
        <f t="shared" si="16"/>
        <v>44531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估价对象为北京市房地产，为所有。根据《国有土地使用证》[]，估价对象（分摊）出让国有建设用地使用权面积为7268.84平方米，建筑面积为51394.39平方米。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估价对象为北京市房地产,属开发建设的，该项目尚在开发建设中。根据《国有土地使用证》[]，估价对象（分摊）出让国有建设用地使用权面积为7268.84平方米，规划建筑面积为51394.39平方米。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2022年12月7日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559" t="s">
        <v>2226</v>
      </c>
      <c r="D4" s="3560"/>
      <c r="E4" s="3561" t="s">
        <v>2227</v>
      </c>
      <c r="F4" s="3562"/>
      <c r="G4" s="3559" t="s">
        <v>2228</v>
      </c>
      <c r="H4" s="3560"/>
      <c r="I4" s="3559" t="s">
        <v>2229</v>
      </c>
      <c r="J4" s="3560"/>
      <c r="K4" s="567" t="s">
        <v>2230</v>
      </c>
      <c r="L4" s="2893"/>
      <c r="M4" s="2894"/>
      <c r="N4" s="2894"/>
      <c r="O4" s="2894"/>
      <c r="P4" s="3606" t="s">
        <v>2231</v>
      </c>
      <c r="Q4" s="3607"/>
      <c r="R4" s="3604" t="s">
        <v>2227</v>
      </c>
      <c r="S4" s="3605"/>
      <c r="T4" s="3604" t="s">
        <v>2228</v>
      </c>
      <c r="U4" s="3605"/>
      <c r="V4" s="3552" t="s">
        <v>2229</v>
      </c>
      <c r="W4" s="3552"/>
      <c r="X4" s="1490"/>
      <c r="Y4" s="3604" t="s">
        <v>2231</v>
      </c>
      <c r="Z4" s="3605"/>
      <c r="AA4" s="3603" t="s">
        <v>2227</v>
      </c>
      <c r="AB4" s="3554" t="s">
        <v>2228</v>
      </c>
      <c r="AC4" s="3603" t="s">
        <v>2229</v>
      </c>
    </row>
    <row r="5" spans="1:29" ht="15">
      <c r="A5" s="364"/>
      <c r="B5" s="365"/>
      <c r="C5" s="3569" t="s">
        <v>2122</v>
      </c>
      <c r="D5" s="3570"/>
      <c r="E5" s="3571" t="s">
        <v>2123</v>
      </c>
      <c r="F5" s="3572"/>
      <c r="G5" s="3569" t="s">
        <v>2124</v>
      </c>
      <c r="H5" s="3570"/>
      <c r="I5" s="3569" t="s">
        <v>2125</v>
      </c>
      <c r="J5" s="3570"/>
      <c r="K5" s="567"/>
      <c r="L5" s="2893"/>
      <c r="M5" s="2894"/>
      <c r="N5" s="2894"/>
      <c r="O5" s="2894"/>
      <c r="P5" s="3608"/>
      <c r="Q5" s="3566"/>
      <c r="R5" s="3547"/>
      <c r="S5" s="3548"/>
      <c r="T5" s="3547"/>
      <c r="U5" s="3548"/>
      <c r="V5" s="3552"/>
      <c r="W5" s="3552"/>
      <c r="X5" s="1490"/>
      <c r="Y5" s="3547"/>
      <c r="Z5" s="3548"/>
      <c r="AA5" s="3554"/>
      <c r="AB5" s="3554"/>
      <c r="AC5" s="3554"/>
    </row>
    <row r="6" spans="1:29" ht="15.75" thickBot="1">
      <c r="A6" s="366"/>
      <c r="B6" s="367"/>
      <c r="C6" s="3573" t="s">
        <v>2126</v>
      </c>
      <c r="D6" s="3574"/>
      <c r="E6" s="3575" t="s">
        <v>2126</v>
      </c>
      <c r="F6" s="3576"/>
      <c r="G6" s="3573" t="s">
        <v>2126</v>
      </c>
      <c r="H6" s="3574"/>
      <c r="I6" s="3573" t="s">
        <v>2126</v>
      </c>
      <c r="J6" s="3574"/>
      <c r="K6" s="567" t="s">
        <v>2127</v>
      </c>
      <c r="L6" s="2893"/>
      <c r="M6" s="2894"/>
      <c r="N6" s="2894"/>
      <c r="O6" s="2894"/>
      <c r="P6" s="3609"/>
      <c r="Q6" s="3568"/>
      <c r="R6" s="3547"/>
      <c r="S6" s="3548"/>
      <c r="T6" s="3549"/>
      <c r="U6" s="3550"/>
      <c r="V6" s="3552"/>
      <c r="W6" s="3552"/>
      <c r="X6" s="1490"/>
      <c r="Y6" s="3549"/>
      <c r="Z6" s="3550"/>
      <c r="AA6" s="3555"/>
      <c r="AB6" s="3555"/>
      <c r="AC6" s="3555"/>
    </row>
    <row r="7" spans="1:29" s="113" customFormat="1" ht="15.75" thickBot="1">
      <c r="A7" s="368" t="s">
        <v>2128</v>
      </c>
      <c r="B7" s="369"/>
      <c r="C7" s="370">
        <f>'数据-取费表'!B2</f>
        <v>44902</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44" t="s">
        <v>2129</v>
      </c>
      <c r="Q7" s="3542"/>
      <c r="R7" s="710" t="s">
        <v>17</v>
      </c>
      <c r="S7" s="711">
        <f t="shared" ref="S7:S14" si="0">F7</f>
        <v>0</v>
      </c>
      <c r="T7" s="710" t="s">
        <v>17</v>
      </c>
      <c r="U7" s="711">
        <f t="shared" ref="U7:U14" si="1">H7</f>
        <v>0</v>
      </c>
      <c r="V7" s="710" t="s">
        <v>17</v>
      </c>
      <c r="W7" s="711">
        <f t="shared" ref="W7:W14" si="2">J7</f>
        <v>0</v>
      </c>
      <c r="X7" s="712"/>
      <c r="Y7" s="3544" t="s">
        <v>2129</v>
      </c>
      <c r="Z7" s="354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44" t="s">
        <v>2132</v>
      </c>
      <c r="Q8" s="3543"/>
      <c r="R8" s="710" t="s">
        <v>17</v>
      </c>
      <c r="S8" s="711">
        <f t="shared" si="0"/>
        <v>0</v>
      </c>
      <c r="T8" s="710" t="s">
        <v>17</v>
      </c>
      <c r="U8" s="711">
        <f t="shared" si="1"/>
        <v>0</v>
      </c>
      <c r="V8" s="710" t="s">
        <v>17</v>
      </c>
      <c r="W8" s="711">
        <f t="shared" si="2"/>
        <v>0</v>
      </c>
      <c r="X8" s="712"/>
      <c r="Y8" s="3544" t="s">
        <v>2132</v>
      </c>
      <c r="Z8" s="354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27" t="s">
        <v>2135</v>
      </c>
      <c r="Q9" s="1478" t="str">
        <f t="shared" ref="Q9:Q14" si="6">B9</f>
        <v>用途</v>
      </c>
      <c r="R9" s="710" t="s">
        <v>17</v>
      </c>
      <c r="S9" s="711">
        <f t="shared" si="0"/>
        <v>100</v>
      </c>
      <c r="T9" s="710" t="s">
        <v>17</v>
      </c>
      <c r="U9" s="711">
        <f t="shared" si="1"/>
        <v>100</v>
      </c>
      <c r="V9" s="710" t="s">
        <v>17</v>
      </c>
      <c r="W9" s="711">
        <f t="shared" si="2"/>
        <v>100</v>
      </c>
      <c r="X9" s="712"/>
      <c r="Y9" s="349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27"/>
      <c r="Q10" s="1478" t="str">
        <f t="shared" si="6"/>
        <v>土地使用年限（年）</v>
      </c>
      <c r="R10" s="710" t="s">
        <v>17</v>
      </c>
      <c r="S10" s="711">
        <f t="shared" si="0"/>
        <v>100</v>
      </c>
      <c r="T10" s="710" t="s">
        <v>17</v>
      </c>
      <c r="U10" s="711">
        <f t="shared" si="1"/>
        <v>100</v>
      </c>
      <c r="V10" s="710" t="s">
        <v>17</v>
      </c>
      <c r="W10" s="711">
        <f t="shared" si="2"/>
        <v>100</v>
      </c>
      <c r="X10" s="712"/>
      <c r="Y10" s="34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27"/>
      <c r="Q11" s="1478">
        <f t="shared" si="6"/>
        <v>111</v>
      </c>
      <c r="R11" s="710" t="s">
        <v>17</v>
      </c>
      <c r="S11" s="711">
        <f t="shared" si="0"/>
        <v>100</v>
      </c>
      <c r="T11" s="710" t="s">
        <v>17</v>
      </c>
      <c r="U11" s="711">
        <f t="shared" si="1"/>
        <v>100</v>
      </c>
      <c r="V11" s="710" t="s">
        <v>17</v>
      </c>
      <c r="W11" s="711">
        <f t="shared" si="2"/>
        <v>100</v>
      </c>
      <c r="X11" s="712"/>
      <c r="Y11" s="34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27"/>
      <c r="Q12" s="1478">
        <f t="shared" si="6"/>
        <v>111</v>
      </c>
      <c r="R12" s="710" t="s">
        <v>17</v>
      </c>
      <c r="S12" s="711">
        <f t="shared" si="0"/>
        <v>100</v>
      </c>
      <c r="T12" s="710" t="s">
        <v>17</v>
      </c>
      <c r="U12" s="711">
        <f t="shared" si="1"/>
        <v>100</v>
      </c>
      <c r="V12" s="710" t="s">
        <v>17</v>
      </c>
      <c r="W12" s="711">
        <f t="shared" si="2"/>
        <v>100</v>
      </c>
      <c r="X12" s="712"/>
      <c r="Y12" s="34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27"/>
      <c r="Q13" s="1478">
        <f t="shared" si="6"/>
        <v>111</v>
      </c>
      <c r="R13" s="710" t="s">
        <v>17</v>
      </c>
      <c r="S13" s="711">
        <f t="shared" si="0"/>
        <v>100</v>
      </c>
      <c r="T13" s="710" t="s">
        <v>17</v>
      </c>
      <c r="U13" s="711">
        <f t="shared" si="1"/>
        <v>100</v>
      </c>
      <c r="V13" s="710" t="s">
        <v>17</v>
      </c>
      <c r="W13" s="711">
        <f t="shared" si="2"/>
        <v>100</v>
      </c>
      <c r="X13" s="712"/>
      <c r="Y13" s="3499"/>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34" t="s">
        <v>2140</v>
      </c>
      <c r="Q14" s="1487" t="str">
        <f t="shared" si="6"/>
        <v>交通便捷度</v>
      </c>
      <c r="R14" s="714" t="s">
        <v>17</v>
      </c>
      <c r="S14" s="715">
        <f t="shared" si="0"/>
        <v>100</v>
      </c>
      <c r="T14" s="714" t="s">
        <v>17</v>
      </c>
      <c r="U14" s="715">
        <f t="shared" si="1"/>
        <v>100</v>
      </c>
      <c r="V14" s="714" t="s">
        <v>17</v>
      </c>
      <c r="W14" s="715">
        <f t="shared" si="2"/>
        <v>100</v>
      </c>
      <c r="X14" s="1490"/>
      <c r="Y14" s="353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535"/>
      <c r="Q15" s="1487"/>
      <c r="R15" s="714"/>
      <c r="S15" s="715"/>
      <c r="T15" s="714"/>
      <c r="U15" s="715"/>
      <c r="V15" s="714"/>
      <c r="W15" s="715"/>
      <c r="X15" s="1490"/>
      <c r="Y15" s="353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35"/>
      <c r="Q16" s="1487" t="str">
        <f>B16</f>
        <v>公共配套设施</v>
      </c>
      <c r="R16" s="714" t="s">
        <v>17</v>
      </c>
      <c r="S16" s="715">
        <f>F16</f>
        <v>100</v>
      </c>
      <c r="T16" s="714" t="s">
        <v>17</v>
      </c>
      <c r="U16" s="715">
        <f>H16</f>
        <v>100</v>
      </c>
      <c r="V16" s="714" t="s">
        <v>17</v>
      </c>
      <c r="W16" s="715">
        <f>J16</f>
        <v>100</v>
      </c>
      <c r="X16" s="1490"/>
      <c r="Y16" s="353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535"/>
      <c r="Q17" s="1487"/>
      <c r="R17" s="714"/>
      <c r="S17" s="715"/>
      <c r="T17" s="714"/>
      <c r="U17" s="715"/>
      <c r="V17" s="714"/>
      <c r="W17" s="715"/>
      <c r="X17" s="1490"/>
      <c r="Y17" s="353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35"/>
      <c r="Q18" s="1487" t="str">
        <f>B18</f>
        <v>基础设施水平</v>
      </c>
      <c r="R18" s="714" t="s">
        <v>17</v>
      </c>
      <c r="S18" s="715">
        <f>F18</f>
        <v>100</v>
      </c>
      <c r="T18" s="714" t="s">
        <v>17</v>
      </c>
      <c r="U18" s="715">
        <f>H18</f>
        <v>100</v>
      </c>
      <c r="V18" s="714" t="s">
        <v>17</v>
      </c>
      <c r="W18" s="715">
        <f>J18</f>
        <v>100</v>
      </c>
      <c r="X18" s="1490"/>
      <c r="Y18" s="353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535"/>
      <c r="Q19" s="1487"/>
      <c r="R19" s="714"/>
      <c r="S19" s="715"/>
      <c r="T19" s="714"/>
      <c r="U19" s="715"/>
      <c r="V19" s="714"/>
      <c r="W19" s="715"/>
      <c r="X19" s="1490"/>
      <c r="Y19" s="353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35"/>
      <c r="Q20" s="1487" t="str">
        <f>B20</f>
        <v>自然及人文环境</v>
      </c>
      <c r="R20" s="714" t="s">
        <v>17</v>
      </c>
      <c r="S20" s="715">
        <f>F20</f>
        <v>100</v>
      </c>
      <c r="T20" s="714" t="s">
        <v>17</v>
      </c>
      <c r="U20" s="715">
        <f>H20</f>
        <v>100</v>
      </c>
      <c r="V20" s="714" t="s">
        <v>17</v>
      </c>
      <c r="W20" s="715">
        <f>J20</f>
        <v>100</v>
      </c>
      <c r="X20" s="1490"/>
      <c r="Y20" s="353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535"/>
      <c r="Q21" s="1487"/>
      <c r="R21" s="714"/>
      <c r="S21" s="715"/>
      <c r="T21" s="714"/>
      <c r="U21" s="715"/>
      <c r="V21" s="714"/>
      <c r="W21" s="715"/>
      <c r="X21" s="1490"/>
      <c r="Y21" s="353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35"/>
      <c r="Q22" s="1487" t="str">
        <f>B22</f>
        <v>楼层</v>
      </c>
      <c r="R22" s="714" t="s">
        <v>17</v>
      </c>
      <c r="S22" s="715">
        <f>F22</f>
        <v>100</v>
      </c>
      <c r="T22" s="714" t="s">
        <v>17</v>
      </c>
      <c r="U22" s="715">
        <f>H22</f>
        <v>100</v>
      </c>
      <c r="V22" s="714" t="s">
        <v>17</v>
      </c>
      <c r="W22" s="715">
        <f>J22</f>
        <v>100</v>
      </c>
      <c r="X22" s="1490"/>
      <c r="Y22" s="353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35"/>
      <c r="Q23" s="1487">
        <f>B23</f>
        <v>111</v>
      </c>
      <c r="R23" s="714" t="s">
        <v>17</v>
      </c>
      <c r="S23" s="715">
        <f>F23</f>
        <v>100</v>
      </c>
      <c r="T23" s="714" t="s">
        <v>17</v>
      </c>
      <c r="U23" s="715">
        <f>H23</f>
        <v>100</v>
      </c>
      <c r="V23" s="714" t="s">
        <v>17</v>
      </c>
      <c r="W23" s="715">
        <f>J23</f>
        <v>100</v>
      </c>
      <c r="X23" s="1490"/>
      <c r="Y23" s="353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35"/>
      <c r="Q24" s="1487">
        <f t="shared" ref="Q24:Q36" si="11">B24</f>
        <v>111</v>
      </c>
      <c r="R24" s="714" t="s">
        <v>17</v>
      </c>
      <c r="S24" s="715">
        <f>F24</f>
        <v>100</v>
      </c>
      <c r="T24" s="714" t="s">
        <v>17</v>
      </c>
      <c r="U24" s="715">
        <f>H24</f>
        <v>100</v>
      </c>
      <c r="V24" s="714" t="s">
        <v>17</v>
      </c>
      <c r="W24" s="715">
        <f>J24</f>
        <v>100</v>
      </c>
      <c r="X24" s="1490"/>
      <c r="Y24" s="353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35"/>
      <c r="Q25" s="1478">
        <f t="shared" si="11"/>
        <v>111</v>
      </c>
      <c r="R25" s="710" t="s">
        <v>17</v>
      </c>
      <c r="S25" s="711">
        <f>F25</f>
        <v>100</v>
      </c>
      <c r="T25" s="710" t="s">
        <v>17</v>
      </c>
      <c r="U25" s="711">
        <f>H25</f>
        <v>100</v>
      </c>
      <c r="V25" s="710" t="s">
        <v>17</v>
      </c>
      <c r="W25" s="711">
        <f>J25</f>
        <v>100</v>
      </c>
      <c r="X25" s="712"/>
      <c r="Y25" s="3535"/>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61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3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39"/>
      <c r="Q27" s="716" t="str">
        <f t="shared" si="11"/>
        <v>项目停车位配比</v>
      </c>
      <c r="R27" s="717" t="s">
        <v>17</v>
      </c>
      <c r="S27" s="718">
        <f t="shared" si="12"/>
        <v>100</v>
      </c>
      <c r="T27" s="717" t="s">
        <v>17</v>
      </c>
      <c r="U27" s="718">
        <f t="shared" si="13"/>
        <v>100</v>
      </c>
      <c r="V27" s="717" t="s">
        <v>17</v>
      </c>
      <c r="W27" s="718">
        <f t="shared" si="14"/>
        <v>100</v>
      </c>
      <c r="X27" s="719"/>
      <c r="Y27" s="353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39"/>
      <c r="Q28" s="1487" t="str">
        <f t="shared" si="11"/>
        <v>公共部分装修</v>
      </c>
      <c r="R28" s="714" t="s">
        <v>17</v>
      </c>
      <c r="S28" s="715">
        <f t="shared" si="12"/>
        <v>100</v>
      </c>
      <c r="T28" s="714" t="s">
        <v>17</v>
      </c>
      <c r="U28" s="715">
        <f t="shared" si="13"/>
        <v>100</v>
      </c>
      <c r="V28" s="714" t="s">
        <v>17</v>
      </c>
      <c r="W28" s="715">
        <f t="shared" si="14"/>
        <v>100</v>
      </c>
      <c r="X28" s="1490"/>
      <c r="Y28" s="353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39"/>
      <c r="Q29" s="1487" t="str">
        <f t="shared" si="11"/>
        <v>成新率</v>
      </c>
      <c r="R29" s="714" t="s">
        <v>17</v>
      </c>
      <c r="S29" s="715" t="e">
        <f t="shared" si="12"/>
        <v>#N/A</v>
      </c>
      <c r="T29" s="714" t="s">
        <v>17</v>
      </c>
      <c r="U29" s="715" t="e">
        <f t="shared" si="13"/>
        <v>#N/A</v>
      </c>
      <c r="V29" s="714" t="s">
        <v>17</v>
      </c>
      <c r="W29" s="715" t="e">
        <f t="shared" si="14"/>
        <v>#N/A</v>
      </c>
      <c r="X29" s="1490"/>
      <c r="Y29" s="353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39"/>
      <c r="Q30" s="1487" t="str">
        <f t="shared" si="11"/>
        <v>物业等级</v>
      </c>
      <c r="R30" s="714" t="s">
        <v>17</v>
      </c>
      <c r="S30" s="715">
        <f t="shared" si="12"/>
        <v>100</v>
      </c>
      <c r="T30" s="714" t="s">
        <v>17</v>
      </c>
      <c r="U30" s="715">
        <f t="shared" si="13"/>
        <v>100</v>
      </c>
      <c r="V30" s="714" t="s">
        <v>17</v>
      </c>
      <c r="W30" s="715">
        <f t="shared" si="14"/>
        <v>100</v>
      </c>
      <c r="X30" s="1490"/>
      <c r="Y30" s="353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39"/>
      <c r="Q31" s="1478" t="str">
        <f t="shared" si="11"/>
        <v>停车位面积</v>
      </c>
      <c r="R31" s="710" t="s">
        <v>17</v>
      </c>
      <c r="S31" s="711" t="e">
        <f t="shared" si="12"/>
        <v>#N/A</v>
      </c>
      <c r="T31" s="710" t="s">
        <v>17</v>
      </c>
      <c r="U31" s="711" t="e">
        <f t="shared" si="13"/>
        <v>#N/A</v>
      </c>
      <c r="V31" s="710" t="s">
        <v>17</v>
      </c>
      <c r="W31" s="711" t="e">
        <f t="shared" si="14"/>
        <v>#N/A</v>
      </c>
      <c r="X31" s="712"/>
      <c r="Y31" s="353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39" t="s">
        <v>2145</v>
      </c>
      <c r="Q32" s="1487" t="str">
        <f t="shared" si="11"/>
        <v>车位类型</v>
      </c>
      <c r="R32" s="714" t="s">
        <v>17</v>
      </c>
      <c r="S32" s="715">
        <f t="shared" si="12"/>
        <v>100</v>
      </c>
      <c r="T32" s="714" t="s">
        <v>17</v>
      </c>
      <c r="U32" s="715">
        <f t="shared" si="13"/>
        <v>100</v>
      </c>
      <c r="V32" s="714" t="s">
        <v>17</v>
      </c>
      <c r="W32" s="715">
        <f t="shared" si="14"/>
        <v>100</v>
      </c>
      <c r="X32" s="1490"/>
      <c r="Y32" s="353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39"/>
      <c r="Q33" s="1487" t="str">
        <f t="shared" si="11"/>
        <v>是否直接入户</v>
      </c>
      <c r="R33" s="714" t="s">
        <v>17</v>
      </c>
      <c r="S33" s="715">
        <f t="shared" si="12"/>
        <v>100</v>
      </c>
      <c r="T33" s="714" t="s">
        <v>17</v>
      </c>
      <c r="U33" s="715">
        <f t="shared" si="13"/>
        <v>100</v>
      </c>
      <c r="V33" s="714" t="s">
        <v>17</v>
      </c>
      <c r="W33" s="715">
        <f t="shared" si="14"/>
        <v>100</v>
      </c>
      <c r="X33" s="1490"/>
      <c r="Y33" s="353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39"/>
      <c r="Q34" s="1487">
        <f t="shared" si="11"/>
        <v>111</v>
      </c>
      <c r="R34" s="714" t="s">
        <v>17</v>
      </c>
      <c r="S34" s="715">
        <f t="shared" si="12"/>
        <v>100</v>
      </c>
      <c r="T34" s="714" t="s">
        <v>17</v>
      </c>
      <c r="U34" s="715">
        <f t="shared" si="13"/>
        <v>100</v>
      </c>
      <c r="V34" s="714" t="s">
        <v>17</v>
      </c>
      <c r="W34" s="715">
        <f t="shared" si="14"/>
        <v>100</v>
      </c>
      <c r="X34" s="1490"/>
      <c r="Y34" s="353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39"/>
      <c r="Q35" s="716">
        <f t="shared" si="11"/>
        <v>111</v>
      </c>
      <c r="R35" s="717" t="s">
        <v>17</v>
      </c>
      <c r="S35" s="718">
        <f t="shared" si="12"/>
        <v>100</v>
      </c>
      <c r="T35" s="717" t="s">
        <v>17</v>
      </c>
      <c r="U35" s="718">
        <f t="shared" si="13"/>
        <v>100</v>
      </c>
      <c r="V35" s="717" t="s">
        <v>17</v>
      </c>
      <c r="W35" s="718">
        <f t="shared" si="14"/>
        <v>100</v>
      </c>
      <c r="X35" s="719"/>
      <c r="Y35" s="353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39"/>
      <c r="Q36" s="1487">
        <f t="shared" si="11"/>
        <v>111</v>
      </c>
      <c r="R36" s="714" t="s">
        <v>17</v>
      </c>
      <c r="S36" s="715">
        <f t="shared" si="12"/>
        <v>100</v>
      </c>
      <c r="T36" s="714" t="s">
        <v>17</v>
      </c>
      <c r="U36" s="715">
        <f t="shared" si="13"/>
        <v>100</v>
      </c>
      <c r="V36" s="714" t="s">
        <v>17</v>
      </c>
      <c r="W36" s="715">
        <f t="shared" si="14"/>
        <v>100</v>
      </c>
      <c r="X36" s="1490"/>
      <c r="Y36" s="3539"/>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902"/>
      <c r="M37" s="2903"/>
      <c r="N37" s="2894"/>
      <c r="O37" s="2903"/>
      <c r="P37" s="3527" t="str">
        <f>A37</f>
        <v>成交单价</v>
      </c>
      <c r="Q37" s="3527"/>
      <c r="R37" s="3528">
        <f>E37</f>
        <v>0</v>
      </c>
      <c r="S37" s="3528"/>
      <c r="T37" s="3528">
        <f>G37</f>
        <v>0</v>
      </c>
      <c r="U37" s="3528"/>
      <c r="V37" s="3528">
        <f>I37</f>
        <v>0</v>
      </c>
      <c r="W37" s="3528"/>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902"/>
      <c r="M38" s="2903"/>
      <c r="N38" s="2903"/>
      <c r="O38" s="2903"/>
      <c r="P38" s="3527" t="str">
        <f>A38</f>
        <v>比较价值（元/平方米）</v>
      </c>
      <c r="Q38" s="3527"/>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610" t="str">
        <f>A39</f>
        <v>估价对象XX用房的比较价值（楼面单价，元/平方米）</v>
      </c>
      <c r="Q39" s="3611"/>
      <c r="R39" s="3614" t="e">
        <f>IF(F1="售价",ROUND(IF(D38="简单平均",AVERAGE(R38:W38),R38*F38+T38*H38+V38*J38),0),ROUND(IF(D38="简单平均",AVERAGE(R38:V38),R38*F38+T38*H38+V38*J38),1))</f>
        <v>#DIV/0!</v>
      </c>
      <c r="S39" s="3614"/>
      <c r="T39" s="3614"/>
      <c r="U39" s="3614"/>
      <c r="V39" s="3614"/>
      <c r="W39" s="3614"/>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2022-12</v>
      </c>
      <c r="D48" s="1300">
        <f>EDATE(C48,-1)</f>
        <v>44866</v>
      </c>
      <c r="E48" s="1300">
        <f t="shared" ref="E48:O48" si="16">EDATE(D48,-1)</f>
        <v>44835</v>
      </c>
      <c r="F48" s="1300">
        <f t="shared" si="16"/>
        <v>44805</v>
      </c>
      <c r="G48" s="1300">
        <f t="shared" si="16"/>
        <v>44774</v>
      </c>
      <c r="H48" s="1300">
        <f t="shared" si="16"/>
        <v>44743</v>
      </c>
      <c r="I48" s="1300">
        <f t="shared" si="16"/>
        <v>44713</v>
      </c>
      <c r="J48" s="1300">
        <f t="shared" si="16"/>
        <v>44682</v>
      </c>
      <c r="K48" s="1300">
        <f t="shared" si="16"/>
        <v>44652</v>
      </c>
      <c r="L48" s="1300">
        <f t="shared" si="16"/>
        <v>44621</v>
      </c>
      <c r="M48" s="1300">
        <f t="shared" si="16"/>
        <v>44593</v>
      </c>
      <c r="N48" s="1300">
        <f t="shared" si="16"/>
        <v>44562</v>
      </c>
      <c r="O48" s="1300">
        <f t="shared" si="16"/>
        <v>44531</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59" t="s">
        <v>2226</v>
      </c>
      <c r="D4" s="3560"/>
      <c r="E4" s="3561" t="s">
        <v>2227</v>
      </c>
      <c r="F4" s="3562"/>
      <c r="G4" s="3559" t="s">
        <v>2228</v>
      </c>
      <c r="H4" s="3560"/>
      <c r="I4" s="3559" t="s">
        <v>2229</v>
      </c>
      <c r="J4" s="3560"/>
      <c r="K4" s="567" t="s">
        <v>2230</v>
      </c>
      <c r="L4" s="2893"/>
      <c r="M4" s="2894"/>
      <c r="N4" s="2894"/>
      <c r="O4" s="2894"/>
      <c r="P4" s="3606" t="s">
        <v>2231</v>
      </c>
      <c r="Q4" s="3607"/>
      <c r="R4" s="3604" t="s">
        <v>2227</v>
      </c>
      <c r="S4" s="3605"/>
      <c r="T4" s="3604" t="s">
        <v>2228</v>
      </c>
      <c r="U4" s="3605"/>
      <c r="V4" s="3552" t="s">
        <v>2229</v>
      </c>
      <c r="W4" s="3552"/>
      <c r="X4" s="1490"/>
      <c r="Y4" s="3604" t="s">
        <v>2231</v>
      </c>
      <c r="Z4" s="3605"/>
      <c r="AA4" s="3603" t="s">
        <v>2227</v>
      </c>
      <c r="AB4" s="3554" t="s">
        <v>2228</v>
      </c>
      <c r="AC4" s="3603" t="s">
        <v>2229</v>
      </c>
    </row>
    <row r="5" spans="1:29" ht="15">
      <c r="A5" s="364"/>
      <c r="B5" s="365"/>
      <c r="C5" s="3569" t="s">
        <v>2122</v>
      </c>
      <c r="D5" s="3570"/>
      <c r="E5" s="3571" t="s">
        <v>2123</v>
      </c>
      <c r="F5" s="3572"/>
      <c r="G5" s="3569" t="s">
        <v>2124</v>
      </c>
      <c r="H5" s="3570"/>
      <c r="I5" s="3569" t="s">
        <v>2125</v>
      </c>
      <c r="J5" s="3570"/>
      <c r="K5" s="567"/>
      <c r="L5" s="2893"/>
      <c r="M5" s="2894"/>
      <c r="N5" s="2894"/>
      <c r="O5" s="2894"/>
      <c r="P5" s="3608"/>
      <c r="Q5" s="3566"/>
      <c r="R5" s="3547"/>
      <c r="S5" s="3548"/>
      <c r="T5" s="3547"/>
      <c r="U5" s="3548"/>
      <c r="V5" s="3552"/>
      <c r="W5" s="3552"/>
      <c r="X5" s="1490"/>
      <c r="Y5" s="3547"/>
      <c r="Z5" s="3548"/>
      <c r="AA5" s="3554"/>
      <c r="AB5" s="3554"/>
      <c r="AC5" s="3554"/>
    </row>
    <row r="6" spans="1:29" ht="15.75" thickBot="1">
      <c r="A6" s="366"/>
      <c r="B6" s="367"/>
      <c r="C6" s="3573" t="s">
        <v>2126</v>
      </c>
      <c r="D6" s="3574"/>
      <c r="E6" s="3575" t="s">
        <v>2126</v>
      </c>
      <c r="F6" s="3576"/>
      <c r="G6" s="3573" t="s">
        <v>2126</v>
      </c>
      <c r="H6" s="3574"/>
      <c r="I6" s="3573" t="s">
        <v>2126</v>
      </c>
      <c r="J6" s="3574"/>
      <c r="K6" s="567" t="s">
        <v>2127</v>
      </c>
      <c r="L6" s="2893"/>
      <c r="M6" s="2894"/>
      <c r="N6" s="2894"/>
      <c r="O6" s="2894"/>
      <c r="P6" s="3609"/>
      <c r="Q6" s="3568"/>
      <c r="R6" s="3547"/>
      <c r="S6" s="3548"/>
      <c r="T6" s="3549"/>
      <c r="U6" s="3550"/>
      <c r="V6" s="3552"/>
      <c r="W6" s="3552"/>
      <c r="X6" s="1490"/>
      <c r="Y6" s="3549"/>
      <c r="Z6" s="3550"/>
      <c r="AA6" s="3555"/>
      <c r="AB6" s="3555"/>
      <c r="AC6" s="3555"/>
    </row>
    <row r="7" spans="1:29" s="113" customFormat="1" ht="15.75" thickBot="1">
      <c r="A7" s="368" t="s">
        <v>2128</v>
      </c>
      <c r="B7" s="369"/>
      <c r="C7" s="370">
        <f>'数据-取费表'!B2</f>
        <v>44902</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44" t="s">
        <v>2129</v>
      </c>
      <c r="Q7" s="3542"/>
      <c r="R7" s="710" t="s">
        <v>17</v>
      </c>
      <c r="S7" s="711">
        <f t="shared" ref="S7:S14" si="0">F7</f>
        <v>0</v>
      </c>
      <c r="T7" s="710" t="s">
        <v>17</v>
      </c>
      <c r="U7" s="711">
        <f t="shared" ref="U7:U14" si="1">H7</f>
        <v>0</v>
      </c>
      <c r="V7" s="710" t="s">
        <v>17</v>
      </c>
      <c r="W7" s="711">
        <f t="shared" ref="W7:W14" si="2">J7</f>
        <v>0</v>
      </c>
      <c r="X7" s="712"/>
      <c r="Y7" s="3544" t="s">
        <v>2129</v>
      </c>
      <c r="Z7" s="354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44" t="s">
        <v>2132</v>
      </c>
      <c r="Q8" s="3543"/>
      <c r="R8" s="710" t="s">
        <v>17</v>
      </c>
      <c r="S8" s="711">
        <f t="shared" si="0"/>
        <v>0</v>
      </c>
      <c r="T8" s="710" t="s">
        <v>17</v>
      </c>
      <c r="U8" s="711">
        <f t="shared" si="1"/>
        <v>0</v>
      </c>
      <c r="V8" s="710" t="s">
        <v>17</v>
      </c>
      <c r="W8" s="711">
        <f t="shared" si="2"/>
        <v>0</v>
      </c>
      <c r="X8" s="712"/>
      <c r="Y8" s="3544" t="s">
        <v>2132</v>
      </c>
      <c r="Z8" s="354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27" t="s">
        <v>2135</v>
      </c>
      <c r="Q9" s="1478" t="str">
        <f t="shared" ref="Q9:Q14" si="6">B9</f>
        <v>用途</v>
      </c>
      <c r="R9" s="710" t="s">
        <v>17</v>
      </c>
      <c r="S9" s="711">
        <f t="shared" si="0"/>
        <v>100</v>
      </c>
      <c r="T9" s="710" t="s">
        <v>17</v>
      </c>
      <c r="U9" s="711">
        <f t="shared" si="1"/>
        <v>100</v>
      </c>
      <c r="V9" s="710" t="s">
        <v>17</v>
      </c>
      <c r="W9" s="711">
        <f t="shared" si="2"/>
        <v>100</v>
      </c>
      <c r="X9" s="712"/>
      <c r="Y9" s="349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27"/>
      <c r="Q10" s="1478" t="str">
        <f t="shared" si="6"/>
        <v>土地使用年限（年）</v>
      </c>
      <c r="R10" s="710" t="s">
        <v>17</v>
      </c>
      <c r="S10" s="711">
        <f t="shared" si="0"/>
        <v>100</v>
      </c>
      <c r="T10" s="710" t="s">
        <v>17</v>
      </c>
      <c r="U10" s="711">
        <f t="shared" si="1"/>
        <v>100</v>
      </c>
      <c r="V10" s="710" t="s">
        <v>17</v>
      </c>
      <c r="W10" s="711">
        <f t="shared" si="2"/>
        <v>100</v>
      </c>
      <c r="X10" s="712"/>
      <c r="Y10" s="349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27"/>
      <c r="Q11" s="1478">
        <f t="shared" si="6"/>
        <v>111</v>
      </c>
      <c r="R11" s="710" t="s">
        <v>17</v>
      </c>
      <c r="S11" s="711">
        <f t="shared" si="0"/>
        <v>100</v>
      </c>
      <c r="T11" s="710" t="s">
        <v>17</v>
      </c>
      <c r="U11" s="711">
        <f t="shared" si="1"/>
        <v>100</v>
      </c>
      <c r="V11" s="710" t="s">
        <v>17</v>
      </c>
      <c r="W11" s="711">
        <f t="shared" si="2"/>
        <v>100</v>
      </c>
      <c r="X11" s="712"/>
      <c r="Y11" s="349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27"/>
      <c r="Q12" s="1478">
        <f t="shared" si="6"/>
        <v>111</v>
      </c>
      <c r="R12" s="710" t="s">
        <v>17</v>
      </c>
      <c r="S12" s="711">
        <f t="shared" si="0"/>
        <v>100</v>
      </c>
      <c r="T12" s="710" t="s">
        <v>17</v>
      </c>
      <c r="U12" s="711">
        <f t="shared" si="1"/>
        <v>100</v>
      </c>
      <c r="V12" s="710" t="s">
        <v>17</v>
      </c>
      <c r="W12" s="711">
        <f t="shared" si="2"/>
        <v>100</v>
      </c>
      <c r="X12" s="712"/>
      <c r="Y12" s="349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27"/>
      <c r="Q13" s="1478">
        <f t="shared" si="6"/>
        <v>111</v>
      </c>
      <c r="R13" s="710" t="s">
        <v>17</v>
      </c>
      <c r="S13" s="711">
        <f t="shared" si="0"/>
        <v>100</v>
      </c>
      <c r="T13" s="710" t="s">
        <v>17</v>
      </c>
      <c r="U13" s="711">
        <f t="shared" si="1"/>
        <v>100</v>
      </c>
      <c r="V13" s="710" t="s">
        <v>17</v>
      </c>
      <c r="W13" s="711">
        <f t="shared" si="2"/>
        <v>100</v>
      </c>
      <c r="X13" s="712"/>
      <c r="Y13" s="3499"/>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34" t="s">
        <v>2140</v>
      </c>
      <c r="Q14" s="1487" t="str">
        <f t="shared" si="6"/>
        <v>交通便捷度</v>
      </c>
      <c r="R14" s="714" t="s">
        <v>17</v>
      </c>
      <c r="S14" s="715">
        <f t="shared" si="0"/>
        <v>100</v>
      </c>
      <c r="T14" s="714" t="s">
        <v>17</v>
      </c>
      <c r="U14" s="715">
        <f t="shared" si="1"/>
        <v>100</v>
      </c>
      <c r="V14" s="714" t="s">
        <v>17</v>
      </c>
      <c r="W14" s="715">
        <f t="shared" si="2"/>
        <v>100</v>
      </c>
      <c r="X14" s="1490"/>
      <c r="Y14" s="353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535"/>
      <c r="Q15" s="1487"/>
      <c r="R15" s="714"/>
      <c r="S15" s="715"/>
      <c r="T15" s="714"/>
      <c r="U15" s="715"/>
      <c r="V15" s="714"/>
      <c r="W15" s="715"/>
      <c r="X15" s="1490"/>
      <c r="Y15" s="353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35"/>
      <c r="Q16" s="1487" t="str">
        <f>B16</f>
        <v>公共配套设施</v>
      </c>
      <c r="R16" s="714" t="s">
        <v>17</v>
      </c>
      <c r="S16" s="715">
        <f>F16</f>
        <v>100</v>
      </c>
      <c r="T16" s="714" t="s">
        <v>17</v>
      </c>
      <c r="U16" s="715">
        <f>H16</f>
        <v>100</v>
      </c>
      <c r="V16" s="714" t="s">
        <v>17</v>
      </c>
      <c r="W16" s="715">
        <f>J16</f>
        <v>100</v>
      </c>
      <c r="X16" s="1490"/>
      <c r="Y16" s="353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535"/>
      <c r="Q17" s="1487"/>
      <c r="R17" s="714"/>
      <c r="S17" s="715"/>
      <c r="T17" s="714"/>
      <c r="U17" s="715"/>
      <c r="V17" s="714"/>
      <c r="W17" s="715"/>
      <c r="X17" s="1490"/>
      <c r="Y17" s="353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35"/>
      <c r="Q18" s="1487" t="str">
        <f>B18</f>
        <v>基础设施水平</v>
      </c>
      <c r="R18" s="714" t="s">
        <v>17</v>
      </c>
      <c r="S18" s="715">
        <f>F18</f>
        <v>100</v>
      </c>
      <c r="T18" s="714" t="s">
        <v>17</v>
      </c>
      <c r="U18" s="715">
        <f>H18</f>
        <v>100</v>
      </c>
      <c r="V18" s="714" t="s">
        <v>17</v>
      </c>
      <c r="W18" s="715">
        <f>J18</f>
        <v>100</v>
      </c>
      <c r="X18" s="1490"/>
      <c r="Y18" s="353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535"/>
      <c r="Q19" s="1487"/>
      <c r="R19" s="714"/>
      <c r="S19" s="715"/>
      <c r="T19" s="714"/>
      <c r="U19" s="715"/>
      <c r="V19" s="714"/>
      <c r="W19" s="715"/>
      <c r="X19" s="1490"/>
      <c r="Y19" s="353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35"/>
      <c r="Q20" s="1487" t="str">
        <f>B20</f>
        <v>自然及人文环境</v>
      </c>
      <c r="R20" s="714" t="s">
        <v>17</v>
      </c>
      <c r="S20" s="715">
        <f>F20</f>
        <v>100</v>
      </c>
      <c r="T20" s="714" t="s">
        <v>17</v>
      </c>
      <c r="U20" s="715">
        <f>H20</f>
        <v>100</v>
      </c>
      <c r="V20" s="714" t="s">
        <v>17</v>
      </c>
      <c r="W20" s="715">
        <f>J20</f>
        <v>100</v>
      </c>
      <c r="X20" s="1490"/>
      <c r="Y20" s="353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535"/>
      <c r="Q21" s="1487"/>
      <c r="R21" s="714"/>
      <c r="S21" s="715"/>
      <c r="T21" s="714"/>
      <c r="U21" s="715"/>
      <c r="V21" s="714"/>
      <c r="W21" s="715"/>
      <c r="X21" s="1490"/>
      <c r="Y21" s="353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35"/>
      <c r="Q22" s="1487" t="str">
        <f>B22</f>
        <v>楼层</v>
      </c>
      <c r="R22" s="714" t="s">
        <v>17</v>
      </c>
      <c r="S22" s="715">
        <f>F22</f>
        <v>100</v>
      </c>
      <c r="T22" s="714" t="s">
        <v>17</v>
      </c>
      <c r="U22" s="715">
        <f>H22</f>
        <v>100</v>
      </c>
      <c r="V22" s="714" t="s">
        <v>17</v>
      </c>
      <c r="W22" s="715">
        <f>J22</f>
        <v>100</v>
      </c>
      <c r="X22" s="1490"/>
      <c r="Y22" s="353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35"/>
      <c r="Q23" s="1487">
        <f>B23</f>
        <v>111</v>
      </c>
      <c r="R23" s="714" t="s">
        <v>17</v>
      </c>
      <c r="S23" s="715">
        <f>F23</f>
        <v>100</v>
      </c>
      <c r="T23" s="714" t="s">
        <v>17</v>
      </c>
      <c r="U23" s="715">
        <f>H23</f>
        <v>100</v>
      </c>
      <c r="V23" s="714" t="s">
        <v>17</v>
      </c>
      <c r="W23" s="715">
        <f>J23</f>
        <v>100</v>
      </c>
      <c r="X23" s="1490"/>
      <c r="Y23" s="353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35"/>
      <c r="Q24" s="1487">
        <f t="shared" ref="Q24:Q34" si="11">B24</f>
        <v>111</v>
      </c>
      <c r="R24" s="714" t="s">
        <v>17</v>
      </c>
      <c r="S24" s="715">
        <f>F24</f>
        <v>100</v>
      </c>
      <c r="T24" s="714" t="s">
        <v>17</v>
      </c>
      <c r="U24" s="715">
        <f>H24</f>
        <v>100</v>
      </c>
      <c r="V24" s="714" t="s">
        <v>17</v>
      </c>
      <c r="W24" s="715">
        <f>J24</f>
        <v>100</v>
      </c>
      <c r="X24" s="1490"/>
      <c r="Y24" s="3535"/>
      <c r="Z24" s="1491">
        <f>Q24</f>
        <v>111</v>
      </c>
      <c r="AA24" s="1488">
        <f t="shared" si="3"/>
        <v>1</v>
      </c>
      <c r="AB24" s="1488">
        <f t="shared" si="4"/>
        <v>1</v>
      </c>
      <c r="AC24" s="1488">
        <f t="shared" si="5"/>
        <v>1</v>
      </c>
    </row>
    <row r="25" spans="1:29" s="113" customFormat="1" ht="15.75" thickBot="1">
      <c r="A25" s="390"/>
      <c r="B25" s="2030">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35"/>
      <c r="Q25" s="1478">
        <f t="shared" si="11"/>
        <v>111</v>
      </c>
      <c r="R25" s="710" t="s">
        <v>17</v>
      </c>
      <c r="S25" s="711">
        <f>F25</f>
        <v>100</v>
      </c>
      <c r="T25" s="710" t="s">
        <v>17</v>
      </c>
      <c r="U25" s="711">
        <f>H25</f>
        <v>100</v>
      </c>
      <c r="V25" s="710" t="s">
        <v>17</v>
      </c>
      <c r="W25" s="711">
        <f>J25</f>
        <v>100</v>
      </c>
      <c r="X25" s="712"/>
      <c r="Y25" s="3535"/>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61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3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39"/>
      <c r="Q27" s="716" t="str">
        <f t="shared" si="11"/>
        <v>成新率</v>
      </c>
      <c r="R27" s="717" t="s">
        <v>17</v>
      </c>
      <c r="S27" s="718" t="e">
        <f t="shared" si="12"/>
        <v>#N/A</v>
      </c>
      <c r="T27" s="717" t="s">
        <v>17</v>
      </c>
      <c r="U27" s="718" t="e">
        <f t="shared" si="13"/>
        <v>#N/A</v>
      </c>
      <c r="V27" s="717" t="s">
        <v>17</v>
      </c>
      <c r="W27" s="718" t="e">
        <f t="shared" si="14"/>
        <v>#N/A</v>
      </c>
      <c r="X27" s="719"/>
      <c r="Y27" s="353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39"/>
      <c r="Q28" s="1487" t="str">
        <f t="shared" si="11"/>
        <v>物业等级</v>
      </c>
      <c r="R28" s="714" t="s">
        <v>17</v>
      </c>
      <c r="S28" s="715">
        <f t="shared" si="12"/>
        <v>100</v>
      </c>
      <c r="T28" s="714" t="s">
        <v>17</v>
      </c>
      <c r="U28" s="715">
        <f t="shared" si="13"/>
        <v>100</v>
      </c>
      <c r="V28" s="714" t="s">
        <v>17</v>
      </c>
      <c r="W28" s="715">
        <f t="shared" si="14"/>
        <v>100</v>
      </c>
      <c r="X28" s="1490"/>
      <c r="Y28" s="353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39"/>
      <c r="Q29" s="1487" t="str">
        <f t="shared" si="11"/>
        <v>有无电梯</v>
      </c>
      <c r="R29" s="714" t="s">
        <v>17</v>
      </c>
      <c r="S29" s="715">
        <f t="shared" si="12"/>
        <v>100</v>
      </c>
      <c r="T29" s="714" t="s">
        <v>17</v>
      </c>
      <c r="U29" s="715">
        <f t="shared" si="13"/>
        <v>100</v>
      </c>
      <c r="V29" s="714" t="s">
        <v>17</v>
      </c>
      <c r="W29" s="715">
        <f t="shared" si="14"/>
        <v>100</v>
      </c>
      <c r="X29" s="1490"/>
      <c r="Y29" s="353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39"/>
      <c r="Q30" s="1487" t="str">
        <f t="shared" si="11"/>
        <v>建筑面积</v>
      </c>
      <c r="R30" s="714" t="s">
        <v>17</v>
      </c>
      <c r="S30" s="715" t="e">
        <f t="shared" si="12"/>
        <v>#N/A</v>
      </c>
      <c r="T30" s="714" t="s">
        <v>17</v>
      </c>
      <c r="U30" s="715" t="e">
        <f t="shared" si="13"/>
        <v>#N/A</v>
      </c>
      <c r="V30" s="714" t="s">
        <v>17</v>
      </c>
      <c r="W30" s="715" t="e">
        <f t="shared" si="14"/>
        <v>#N/A</v>
      </c>
      <c r="X30" s="1490"/>
      <c r="Y30" s="353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39"/>
      <c r="Q31" s="1478" t="str">
        <f t="shared" si="11"/>
        <v>是否封闭</v>
      </c>
      <c r="R31" s="710" t="s">
        <v>17</v>
      </c>
      <c r="S31" s="711">
        <f t="shared" si="12"/>
        <v>100</v>
      </c>
      <c r="T31" s="710" t="s">
        <v>17</v>
      </c>
      <c r="U31" s="711">
        <f t="shared" si="13"/>
        <v>100</v>
      </c>
      <c r="V31" s="710" t="s">
        <v>17</v>
      </c>
      <c r="W31" s="711">
        <f t="shared" si="14"/>
        <v>100</v>
      </c>
      <c r="X31" s="712"/>
      <c r="Y31" s="353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39" t="s">
        <v>2145</v>
      </c>
      <c r="Q32" s="1487">
        <f t="shared" si="11"/>
        <v>111</v>
      </c>
      <c r="R32" s="714" t="s">
        <v>17</v>
      </c>
      <c r="S32" s="715">
        <f t="shared" si="12"/>
        <v>100</v>
      </c>
      <c r="T32" s="714" t="s">
        <v>17</v>
      </c>
      <c r="U32" s="715">
        <f t="shared" si="13"/>
        <v>100</v>
      </c>
      <c r="V32" s="714" t="s">
        <v>17</v>
      </c>
      <c r="W32" s="715">
        <f t="shared" si="14"/>
        <v>100</v>
      </c>
      <c r="X32" s="1490"/>
      <c r="Y32" s="353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39"/>
      <c r="Q33" s="1487">
        <f t="shared" si="11"/>
        <v>111</v>
      </c>
      <c r="R33" s="714" t="s">
        <v>17</v>
      </c>
      <c r="S33" s="715">
        <f t="shared" si="12"/>
        <v>100</v>
      </c>
      <c r="T33" s="714" t="s">
        <v>17</v>
      </c>
      <c r="U33" s="715">
        <f t="shared" si="13"/>
        <v>100</v>
      </c>
      <c r="V33" s="714" t="s">
        <v>17</v>
      </c>
      <c r="W33" s="715">
        <f t="shared" si="14"/>
        <v>100</v>
      </c>
      <c r="X33" s="1490"/>
      <c r="Y33" s="3539"/>
      <c r="Z33" s="1491">
        <f t="shared" si="15"/>
        <v>111</v>
      </c>
      <c r="AA33" s="1488">
        <f t="shared" si="3"/>
        <v>1</v>
      </c>
      <c r="AB33" s="1488">
        <f t="shared" si="4"/>
        <v>1</v>
      </c>
      <c r="AC33" s="1488">
        <f t="shared" si="5"/>
        <v>1</v>
      </c>
    </row>
    <row r="34" spans="1:30" ht="15.75" thickBot="1">
      <c r="A34" s="437"/>
      <c r="B34" s="2032">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39"/>
      <c r="Q34" s="1487">
        <f t="shared" si="11"/>
        <v>111</v>
      </c>
      <c r="R34" s="714" t="s">
        <v>17</v>
      </c>
      <c r="S34" s="715">
        <f t="shared" si="12"/>
        <v>100</v>
      </c>
      <c r="T34" s="714" t="s">
        <v>17</v>
      </c>
      <c r="U34" s="715">
        <f t="shared" si="13"/>
        <v>100</v>
      </c>
      <c r="V34" s="714" t="s">
        <v>17</v>
      </c>
      <c r="W34" s="715">
        <f t="shared" si="14"/>
        <v>100</v>
      </c>
      <c r="X34" s="1490"/>
      <c r="Y34" s="353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527" t="str">
        <f>A35</f>
        <v>成交单价（元/平方米）</v>
      </c>
      <c r="Q35" s="3527"/>
      <c r="R35" s="3528">
        <f>E35</f>
        <v>0</v>
      </c>
      <c r="S35" s="3528"/>
      <c r="T35" s="3528">
        <f>G35</f>
        <v>0</v>
      </c>
      <c r="U35" s="3528"/>
      <c r="V35" s="3528">
        <f>I35</f>
        <v>0</v>
      </c>
      <c r="W35" s="3528"/>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902"/>
      <c r="M36" s="2903"/>
      <c r="N36" s="2894"/>
      <c r="O36" s="2903"/>
      <c r="P36" s="3527" t="str">
        <f>A36</f>
        <v>比较价值（元/平方米）</v>
      </c>
      <c r="Q36" s="3527"/>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610" t="str">
        <f>A37</f>
        <v>估价对象XX用房的比较价值（楼面单价，元/平方米）</v>
      </c>
      <c r="Q37" s="3611"/>
      <c r="R37" s="3614" t="e">
        <f>IF(F1="售价",ROUND(IF(D36="简单平均",AVERAGE(R36:W36),R36*F36+T36*H36+V36*J36),0),ROUND(IF(D36="简单平均",AVERAGE(R36:V36),R36*F36+T36*H36+V36*J36),1))</f>
        <v>#DIV/0!</v>
      </c>
      <c r="S37" s="3614"/>
      <c r="T37" s="3614"/>
      <c r="U37" s="3614"/>
      <c r="V37" s="3614"/>
      <c r="W37" s="3614"/>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2022-12</v>
      </c>
      <c r="D46" s="1300">
        <f>EDATE(C46,-1)</f>
        <v>44866</v>
      </c>
      <c r="E46" s="1300">
        <f t="shared" ref="E46:O46" si="16">EDATE(D46,-1)</f>
        <v>44835</v>
      </c>
      <c r="F46" s="1300">
        <f t="shared" si="16"/>
        <v>44805</v>
      </c>
      <c r="G46" s="1300">
        <f t="shared" si="16"/>
        <v>44774</v>
      </c>
      <c r="H46" s="1300">
        <f t="shared" si="16"/>
        <v>44743</v>
      </c>
      <c r="I46" s="1300">
        <f t="shared" si="16"/>
        <v>44713</v>
      </c>
      <c r="J46" s="1300">
        <f t="shared" si="16"/>
        <v>44682</v>
      </c>
      <c r="K46" s="1300">
        <f t="shared" si="16"/>
        <v>44652</v>
      </c>
      <c r="L46" s="1300">
        <f t="shared" si="16"/>
        <v>44621</v>
      </c>
      <c r="M46" s="1300">
        <f t="shared" si="16"/>
        <v>44593</v>
      </c>
      <c r="N46" s="1300">
        <f t="shared" si="16"/>
        <v>44562</v>
      </c>
      <c r="O46" s="1300">
        <f t="shared" si="16"/>
        <v>44531</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59" t="s">
        <v>2226</v>
      </c>
      <c r="D4" s="3560"/>
      <c r="E4" s="3561" t="s">
        <v>2227</v>
      </c>
      <c r="F4" s="3562"/>
      <c r="G4" s="3559" t="s">
        <v>2228</v>
      </c>
      <c r="H4" s="3560"/>
      <c r="I4" s="3559" t="s">
        <v>2229</v>
      </c>
      <c r="J4" s="3560"/>
      <c r="K4" s="567" t="s">
        <v>2230</v>
      </c>
      <c r="L4" s="2893"/>
      <c r="M4" s="2894"/>
      <c r="N4" s="2894"/>
      <c r="O4" s="2894"/>
      <c r="P4" s="3606" t="s">
        <v>2231</v>
      </c>
      <c r="Q4" s="3607"/>
      <c r="R4" s="3604" t="s">
        <v>2227</v>
      </c>
      <c r="S4" s="3605"/>
      <c r="T4" s="3604" t="s">
        <v>2228</v>
      </c>
      <c r="U4" s="3605"/>
      <c r="V4" s="3552" t="s">
        <v>2229</v>
      </c>
      <c r="W4" s="3552"/>
      <c r="X4" s="1490"/>
      <c r="Y4" s="3604" t="s">
        <v>2231</v>
      </c>
      <c r="Z4" s="3605"/>
      <c r="AA4" s="3603" t="s">
        <v>2227</v>
      </c>
      <c r="AB4" s="3554" t="s">
        <v>2228</v>
      </c>
      <c r="AC4" s="3603" t="s">
        <v>2229</v>
      </c>
    </row>
    <row r="5" spans="1:30" ht="15">
      <c r="A5" s="364"/>
      <c r="B5" s="365"/>
      <c r="C5" s="3569" t="s">
        <v>2122</v>
      </c>
      <c r="D5" s="3570"/>
      <c r="E5" s="3571" t="s">
        <v>2123</v>
      </c>
      <c r="F5" s="3572"/>
      <c r="G5" s="3569" t="s">
        <v>2124</v>
      </c>
      <c r="H5" s="3570"/>
      <c r="I5" s="3569" t="s">
        <v>2125</v>
      </c>
      <c r="J5" s="3570"/>
      <c r="K5" s="567"/>
      <c r="L5" s="2893"/>
      <c r="M5" s="2894"/>
      <c r="N5" s="2894"/>
      <c r="O5" s="2894"/>
      <c r="P5" s="3608"/>
      <c r="Q5" s="3566"/>
      <c r="R5" s="3547"/>
      <c r="S5" s="3548"/>
      <c r="T5" s="3547"/>
      <c r="U5" s="3548"/>
      <c r="V5" s="3552"/>
      <c r="W5" s="3552"/>
      <c r="X5" s="1490"/>
      <c r="Y5" s="3547"/>
      <c r="Z5" s="3548"/>
      <c r="AA5" s="3554"/>
      <c r="AB5" s="3554"/>
      <c r="AC5" s="3554"/>
    </row>
    <row r="6" spans="1:30" ht="15.75" thickBot="1">
      <c r="A6" s="366"/>
      <c r="B6" s="367"/>
      <c r="C6" s="3573" t="s">
        <v>2126</v>
      </c>
      <c r="D6" s="3574"/>
      <c r="E6" s="3575" t="s">
        <v>2126</v>
      </c>
      <c r="F6" s="3576"/>
      <c r="G6" s="3573" t="s">
        <v>2126</v>
      </c>
      <c r="H6" s="3574"/>
      <c r="I6" s="3573" t="s">
        <v>2126</v>
      </c>
      <c r="J6" s="3574"/>
      <c r="K6" s="567" t="s">
        <v>2127</v>
      </c>
      <c r="L6" s="2893"/>
      <c r="M6" s="2894"/>
      <c r="N6" s="2894"/>
      <c r="O6" s="2894"/>
      <c r="P6" s="3609"/>
      <c r="Q6" s="3568"/>
      <c r="R6" s="3547"/>
      <c r="S6" s="3548"/>
      <c r="T6" s="3549"/>
      <c r="U6" s="3550"/>
      <c r="V6" s="3552"/>
      <c r="W6" s="3552"/>
      <c r="X6" s="1490"/>
      <c r="Y6" s="3549"/>
      <c r="Z6" s="3550"/>
      <c r="AA6" s="3555"/>
      <c r="AB6" s="3555"/>
      <c r="AC6" s="3555"/>
    </row>
    <row r="7" spans="1:30" s="113" customFormat="1" ht="15.75" thickBot="1">
      <c r="A7" s="368" t="s">
        <v>2128</v>
      </c>
      <c r="B7" s="369"/>
      <c r="C7" s="370">
        <f>'数据-取费表'!B2</f>
        <v>44902</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544" t="s">
        <v>2129</v>
      </c>
      <c r="Q7" s="3542"/>
      <c r="R7" s="710" t="s">
        <v>17</v>
      </c>
      <c r="S7" s="711">
        <f t="shared" ref="S7:S15" si="0">F7</f>
        <v>0</v>
      </c>
      <c r="T7" s="710" t="s">
        <v>17</v>
      </c>
      <c r="U7" s="711">
        <f t="shared" ref="U7:U15" si="1">H7</f>
        <v>0</v>
      </c>
      <c r="V7" s="710" t="s">
        <v>17</v>
      </c>
      <c r="W7" s="711">
        <f t="shared" ref="W7:W15" si="2">J7</f>
        <v>0</v>
      </c>
      <c r="X7" s="712"/>
      <c r="Y7" s="3544" t="s">
        <v>2129</v>
      </c>
      <c r="Z7" s="354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44" t="s">
        <v>2132</v>
      </c>
      <c r="Q8" s="3543"/>
      <c r="R8" s="710" t="s">
        <v>17</v>
      </c>
      <c r="S8" s="711">
        <f t="shared" si="0"/>
        <v>0</v>
      </c>
      <c r="T8" s="710" t="s">
        <v>17</v>
      </c>
      <c r="U8" s="711">
        <f t="shared" si="1"/>
        <v>0</v>
      </c>
      <c r="V8" s="710" t="s">
        <v>17</v>
      </c>
      <c r="W8" s="711">
        <f t="shared" si="2"/>
        <v>0</v>
      </c>
      <c r="X8" s="712"/>
      <c r="Y8" s="3544" t="s">
        <v>2132</v>
      </c>
      <c r="Z8" s="3543"/>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27" t="s">
        <v>2135</v>
      </c>
      <c r="Q9" s="1478" t="str">
        <f t="shared" ref="Q9:Q15" si="6">B9</f>
        <v>用途</v>
      </c>
      <c r="R9" s="710" t="s">
        <v>17</v>
      </c>
      <c r="S9" s="711">
        <f t="shared" si="0"/>
        <v>100</v>
      </c>
      <c r="T9" s="710" t="s">
        <v>17</v>
      </c>
      <c r="U9" s="711">
        <f t="shared" si="1"/>
        <v>100</v>
      </c>
      <c r="V9" s="710" t="s">
        <v>17</v>
      </c>
      <c r="W9" s="711">
        <f t="shared" si="2"/>
        <v>100</v>
      </c>
      <c r="X9" s="712"/>
      <c r="Y9" s="349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114</v>
      </c>
      <c r="G10" s="422"/>
      <c r="H10" s="132">
        <f>ROUND(100/'数据-取费表'!G16,0)</f>
        <v>114</v>
      </c>
      <c r="I10" s="422"/>
      <c r="J10" s="132">
        <f>ROUND(100/'数据-取费表'!G16,0)</f>
        <v>114</v>
      </c>
      <c r="K10" s="628"/>
      <c r="L10" s="2897"/>
      <c r="M10" s="2898"/>
      <c r="N10" s="2898"/>
      <c r="O10" s="2951"/>
      <c r="P10" s="3527"/>
      <c r="Q10" s="1478" t="str">
        <f t="shared" si="6"/>
        <v>土地使用年限（年）</v>
      </c>
      <c r="R10" s="710" t="s">
        <v>17</v>
      </c>
      <c r="S10" s="711">
        <f t="shared" si="0"/>
        <v>114</v>
      </c>
      <c r="T10" s="710" t="s">
        <v>17</v>
      </c>
      <c r="U10" s="711">
        <f t="shared" si="1"/>
        <v>114</v>
      </c>
      <c r="V10" s="710" t="s">
        <v>17</v>
      </c>
      <c r="W10" s="711">
        <f t="shared" si="2"/>
        <v>114</v>
      </c>
      <c r="X10" s="712"/>
      <c r="Y10" s="3499"/>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27"/>
      <c r="Q11" s="1478" t="str">
        <f t="shared" si="6"/>
        <v>容积率</v>
      </c>
      <c r="R11" s="710" t="s">
        <v>17</v>
      </c>
      <c r="S11" s="711" t="e">
        <f t="shared" si="0"/>
        <v>#N/A</v>
      </c>
      <c r="T11" s="710" t="s">
        <v>17</v>
      </c>
      <c r="U11" s="711" t="e">
        <f t="shared" si="1"/>
        <v>#N/A</v>
      </c>
      <c r="V11" s="710" t="s">
        <v>17</v>
      </c>
      <c r="W11" s="711" t="e">
        <f t="shared" si="2"/>
        <v>#N/A</v>
      </c>
      <c r="X11" s="712"/>
      <c r="Y11" s="3499"/>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27"/>
      <c r="Q12" s="1478" t="str">
        <f t="shared" si="6"/>
        <v>配建</v>
      </c>
      <c r="R12" s="710" t="s">
        <v>17</v>
      </c>
      <c r="S12" s="711">
        <f t="shared" si="0"/>
        <v>100</v>
      </c>
      <c r="T12" s="710" t="s">
        <v>17</v>
      </c>
      <c r="U12" s="711">
        <f t="shared" si="1"/>
        <v>100</v>
      </c>
      <c r="V12" s="710" t="s">
        <v>17</v>
      </c>
      <c r="W12" s="711">
        <f t="shared" si="2"/>
        <v>100</v>
      </c>
      <c r="X12" s="712"/>
      <c r="Y12" s="349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27"/>
      <c r="Q13" s="1478">
        <f t="shared" si="6"/>
        <v>111</v>
      </c>
      <c r="R13" s="710" t="s">
        <v>17</v>
      </c>
      <c r="S13" s="711">
        <f t="shared" si="0"/>
        <v>100</v>
      </c>
      <c r="T13" s="710" t="s">
        <v>17</v>
      </c>
      <c r="U13" s="711">
        <f t="shared" si="1"/>
        <v>100</v>
      </c>
      <c r="V13" s="710" t="s">
        <v>17</v>
      </c>
      <c r="W13" s="711">
        <f t="shared" si="2"/>
        <v>100</v>
      </c>
      <c r="X13" s="712"/>
      <c r="Y13" s="349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27"/>
      <c r="Q14" s="1478">
        <f t="shared" si="6"/>
        <v>111</v>
      </c>
      <c r="R14" s="710" t="s">
        <v>17</v>
      </c>
      <c r="S14" s="711">
        <f t="shared" si="0"/>
        <v>100</v>
      </c>
      <c r="T14" s="710" t="s">
        <v>17</v>
      </c>
      <c r="U14" s="711">
        <f t="shared" si="1"/>
        <v>100</v>
      </c>
      <c r="V14" s="710" t="s">
        <v>17</v>
      </c>
      <c r="W14" s="711">
        <f t="shared" si="2"/>
        <v>100</v>
      </c>
      <c r="X14" s="712"/>
      <c r="Y14" s="3499"/>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34" t="s">
        <v>2140</v>
      </c>
      <c r="Q15" s="1487" t="str">
        <f t="shared" si="6"/>
        <v>居住社区成熟度</v>
      </c>
      <c r="R15" s="714" t="s">
        <v>17</v>
      </c>
      <c r="S15" s="715">
        <f t="shared" si="0"/>
        <v>100</v>
      </c>
      <c r="T15" s="714" t="s">
        <v>17</v>
      </c>
      <c r="U15" s="715">
        <f t="shared" si="1"/>
        <v>100</v>
      </c>
      <c r="V15" s="714" t="s">
        <v>17</v>
      </c>
      <c r="W15" s="715">
        <f t="shared" si="2"/>
        <v>100</v>
      </c>
      <c r="X15" s="1490"/>
      <c r="Y15" s="353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535"/>
      <c r="Q16" s="1487"/>
      <c r="R16" s="714"/>
      <c r="S16" s="715"/>
      <c r="T16" s="714"/>
      <c r="U16" s="715"/>
      <c r="V16" s="714"/>
      <c r="W16" s="715"/>
      <c r="X16" s="1490"/>
      <c r="Y16" s="353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35"/>
      <c r="Q17" s="1487" t="str">
        <f>B17</f>
        <v>商业繁华度</v>
      </c>
      <c r="R17" s="714" t="s">
        <v>17</v>
      </c>
      <c r="S17" s="715">
        <f>F17</f>
        <v>100</v>
      </c>
      <c r="T17" s="714" t="s">
        <v>17</v>
      </c>
      <c r="U17" s="715">
        <f>H17</f>
        <v>100</v>
      </c>
      <c r="V17" s="714" t="s">
        <v>17</v>
      </c>
      <c r="W17" s="715">
        <f>J17</f>
        <v>100</v>
      </c>
      <c r="X17" s="1490"/>
      <c r="Y17" s="353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535"/>
      <c r="Q18" s="1487"/>
      <c r="R18" s="714"/>
      <c r="S18" s="715"/>
      <c r="T18" s="714"/>
      <c r="U18" s="715"/>
      <c r="V18" s="714"/>
      <c r="W18" s="715"/>
      <c r="X18" s="1490"/>
      <c r="Y18" s="353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35"/>
      <c r="Q19" s="1487" t="str">
        <f>B19</f>
        <v>办公集聚程度</v>
      </c>
      <c r="R19" s="714" t="s">
        <v>17</v>
      </c>
      <c r="S19" s="715">
        <f>F19</f>
        <v>100</v>
      </c>
      <c r="T19" s="714" t="s">
        <v>17</v>
      </c>
      <c r="U19" s="715">
        <f>H19</f>
        <v>100</v>
      </c>
      <c r="V19" s="714" t="s">
        <v>17</v>
      </c>
      <c r="W19" s="715">
        <f>J19</f>
        <v>100</v>
      </c>
      <c r="X19" s="1490"/>
      <c r="Y19" s="353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535"/>
      <c r="Q20" s="1487"/>
      <c r="R20" s="714"/>
      <c r="S20" s="715"/>
      <c r="T20" s="714"/>
      <c r="U20" s="715"/>
      <c r="V20" s="714"/>
      <c r="W20" s="715"/>
      <c r="X20" s="1490"/>
      <c r="Y20" s="353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35"/>
      <c r="Q21" s="1487" t="str">
        <f>B21</f>
        <v>交通便捷度</v>
      </c>
      <c r="R21" s="714" t="s">
        <v>17</v>
      </c>
      <c r="S21" s="715">
        <f>F21</f>
        <v>100</v>
      </c>
      <c r="T21" s="714" t="s">
        <v>17</v>
      </c>
      <c r="U21" s="715">
        <f>H21</f>
        <v>100</v>
      </c>
      <c r="V21" s="714" t="s">
        <v>17</v>
      </c>
      <c r="W21" s="715">
        <f>J21</f>
        <v>100</v>
      </c>
      <c r="X21" s="1490"/>
      <c r="Y21" s="353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535"/>
      <c r="Q22" s="1487"/>
      <c r="R22" s="714"/>
      <c r="S22" s="715"/>
      <c r="T22" s="714"/>
      <c r="U22" s="715"/>
      <c r="V22" s="714"/>
      <c r="W22" s="715"/>
      <c r="X22" s="1490"/>
      <c r="Y22" s="353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35"/>
      <c r="Q23" s="1487" t="str">
        <f t="shared" ref="Q23:Q37" si="8">B23</f>
        <v>区域土地利用方向</v>
      </c>
      <c r="R23" s="714" t="s">
        <v>17</v>
      </c>
      <c r="S23" s="715">
        <f>F23</f>
        <v>100</v>
      </c>
      <c r="T23" s="714" t="s">
        <v>17</v>
      </c>
      <c r="U23" s="715">
        <f>H23</f>
        <v>100</v>
      </c>
      <c r="V23" s="714" t="s">
        <v>17</v>
      </c>
      <c r="W23" s="715">
        <f>J23</f>
        <v>100</v>
      </c>
      <c r="X23" s="1490"/>
      <c r="Y23" s="353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535"/>
      <c r="Q24" s="1487"/>
      <c r="R24" s="714"/>
      <c r="S24" s="715"/>
      <c r="T24" s="714"/>
      <c r="U24" s="715"/>
      <c r="V24" s="714"/>
      <c r="W24" s="715"/>
      <c r="X24" s="1490"/>
      <c r="Y24" s="353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35"/>
      <c r="Q25" s="1487" t="str">
        <f t="shared" si="8"/>
        <v>自然及人文环境状况</v>
      </c>
      <c r="R25" s="714" t="s">
        <v>17</v>
      </c>
      <c r="S25" s="715">
        <f>F25</f>
        <v>100</v>
      </c>
      <c r="T25" s="714" t="s">
        <v>17</v>
      </c>
      <c r="U25" s="715">
        <f>H25</f>
        <v>100</v>
      </c>
      <c r="V25" s="714" t="s">
        <v>17</v>
      </c>
      <c r="W25" s="715">
        <f>J25</f>
        <v>100</v>
      </c>
      <c r="X25" s="1490"/>
      <c r="Y25" s="353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535"/>
      <c r="Q26" s="1487"/>
      <c r="R26" s="714"/>
      <c r="S26" s="715"/>
      <c r="T26" s="714"/>
      <c r="U26" s="715"/>
      <c r="V26" s="714"/>
      <c r="W26" s="715"/>
      <c r="X26" s="1490"/>
      <c r="Y26" s="353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35"/>
      <c r="Q27" s="1478" t="str">
        <f t="shared" si="8"/>
        <v>公共配套设施</v>
      </c>
      <c r="R27" s="710" t="s">
        <v>17</v>
      </c>
      <c r="S27" s="711">
        <f>F27</f>
        <v>100</v>
      </c>
      <c r="T27" s="710" t="s">
        <v>17</v>
      </c>
      <c r="U27" s="711">
        <f>H27</f>
        <v>100</v>
      </c>
      <c r="V27" s="710" t="s">
        <v>17</v>
      </c>
      <c r="W27" s="711">
        <f>J27</f>
        <v>100</v>
      </c>
      <c r="X27" s="712"/>
      <c r="Y27" s="3535"/>
      <c r="Z27" s="55" t="str">
        <f>Q27</f>
        <v>公共配套设施</v>
      </c>
      <c r="AA27" s="1488">
        <f>D27/F27</f>
        <v>1</v>
      </c>
      <c r="AB27" s="1488">
        <f>D27/H27</f>
        <v>1</v>
      </c>
      <c r="AC27" s="1488">
        <f>D27/J27</f>
        <v>1</v>
      </c>
    </row>
    <row r="28" spans="1:29" s="113" customFormat="1" ht="15">
      <c r="A28" s="605"/>
      <c r="B28" s="415"/>
      <c r="C28" s="2114"/>
      <c r="D28" s="407"/>
      <c r="E28" s="2041"/>
      <c r="F28" s="407"/>
      <c r="G28" s="2041"/>
      <c r="H28" s="407"/>
      <c r="I28" s="406"/>
      <c r="J28" s="407"/>
      <c r="K28" s="628"/>
      <c r="L28" s="2895"/>
      <c r="M28" s="2896"/>
      <c r="N28" s="2896"/>
      <c r="O28" s="2950"/>
      <c r="P28" s="3535"/>
      <c r="Q28" s="1478"/>
      <c r="R28" s="710"/>
      <c r="S28" s="711"/>
      <c r="T28" s="710"/>
      <c r="U28" s="711"/>
      <c r="V28" s="710"/>
      <c r="W28" s="711"/>
      <c r="X28" s="712"/>
      <c r="Y28" s="353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35"/>
      <c r="Q29" s="1478" t="str">
        <f t="shared" ref="Q29" si="9">B29</f>
        <v>基础设施水平</v>
      </c>
      <c r="R29" s="710" t="s">
        <v>17</v>
      </c>
      <c r="S29" s="711">
        <f>F29</f>
        <v>100</v>
      </c>
      <c r="T29" s="710" t="s">
        <v>17</v>
      </c>
      <c r="U29" s="711">
        <f>H29</f>
        <v>100</v>
      </c>
      <c r="V29" s="710" t="s">
        <v>17</v>
      </c>
      <c r="W29" s="711">
        <f>J29</f>
        <v>100</v>
      </c>
      <c r="X29" s="712"/>
      <c r="Y29" s="3535"/>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535"/>
      <c r="Q30" s="1478"/>
      <c r="R30" s="710"/>
      <c r="S30" s="711"/>
      <c r="T30" s="710"/>
      <c r="U30" s="711"/>
      <c r="V30" s="710"/>
      <c r="W30" s="711"/>
      <c r="X30" s="712"/>
      <c r="Y30" s="353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3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3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35"/>
      <c r="Q32" s="1487" t="str">
        <f t="shared" si="8"/>
        <v>毗邻道路的类型与等级</v>
      </c>
      <c r="R32" s="714" t="s">
        <v>17</v>
      </c>
      <c r="S32" s="715">
        <f t="shared" si="10"/>
        <v>100</v>
      </c>
      <c r="T32" s="714" t="s">
        <v>17</v>
      </c>
      <c r="U32" s="715">
        <f t="shared" si="11"/>
        <v>100</v>
      </c>
      <c r="V32" s="714" t="s">
        <v>17</v>
      </c>
      <c r="W32" s="715">
        <f t="shared" si="12"/>
        <v>100</v>
      </c>
      <c r="X32" s="1490"/>
      <c r="Y32" s="353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535"/>
      <c r="Q33" s="1487"/>
      <c r="R33" s="714"/>
      <c r="S33" s="715"/>
      <c r="T33" s="714"/>
      <c r="U33" s="715"/>
      <c r="V33" s="714"/>
      <c r="W33" s="715"/>
      <c r="X33" s="1490"/>
      <c r="Y33" s="353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35"/>
      <c r="Q34" s="1487" t="str">
        <f t="shared" si="8"/>
        <v>土地级别</v>
      </c>
      <c r="R34" s="714" t="s">
        <v>17</v>
      </c>
      <c r="S34" s="715">
        <f t="shared" si="10"/>
        <v>100</v>
      </c>
      <c r="T34" s="714" t="s">
        <v>17</v>
      </c>
      <c r="U34" s="715">
        <f t="shared" si="11"/>
        <v>100</v>
      </c>
      <c r="V34" s="714" t="s">
        <v>17</v>
      </c>
      <c r="W34" s="715">
        <f t="shared" si="12"/>
        <v>100</v>
      </c>
      <c r="X34" s="1490"/>
      <c r="Y34" s="353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35"/>
      <c r="Q35" s="1487">
        <f t="shared" si="8"/>
        <v>111</v>
      </c>
      <c r="R35" s="714" t="s">
        <v>17</v>
      </c>
      <c r="S35" s="715">
        <f t="shared" si="10"/>
        <v>100</v>
      </c>
      <c r="T35" s="714" t="s">
        <v>17</v>
      </c>
      <c r="U35" s="715">
        <f t="shared" si="11"/>
        <v>100</v>
      </c>
      <c r="V35" s="714" t="s">
        <v>17</v>
      </c>
      <c r="W35" s="715">
        <f t="shared" si="12"/>
        <v>100</v>
      </c>
      <c r="X35" s="1490"/>
      <c r="Y35" s="353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613" t="s">
        <v>2145</v>
      </c>
      <c r="Q36" s="1487">
        <f t="shared" si="8"/>
        <v>111</v>
      </c>
      <c r="R36" s="714" t="s">
        <v>17</v>
      </c>
      <c r="S36" s="715">
        <f t="shared" si="10"/>
        <v>100</v>
      </c>
      <c r="T36" s="714" t="s">
        <v>17</v>
      </c>
      <c r="U36" s="715">
        <f t="shared" si="11"/>
        <v>100</v>
      </c>
      <c r="V36" s="714" t="s">
        <v>17</v>
      </c>
      <c r="W36" s="715">
        <f t="shared" si="12"/>
        <v>100</v>
      </c>
      <c r="X36" s="1490"/>
      <c r="Y36" s="353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39"/>
      <c r="Q37" s="1487">
        <f t="shared" si="8"/>
        <v>111</v>
      </c>
      <c r="R37" s="717" t="s">
        <v>17</v>
      </c>
      <c r="S37" s="718">
        <f t="shared" si="10"/>
        <v>100</v>
      </c>
      <c r="T37" s="717" t="s">
        <v>17</v>
      </c>
      <c r="U37" s="718">
        <f t="shared" si="11"/>
        <v>100</v>
      </c>
      <c r="V37" s="717" t="s">
        <v>17</v>
      </c>
      <c r="W37" s="718">
        <f t="shared" si="12"/>
        <v>100</v>
      </c>
      <c r="X37" s="719"/>
      <c r="Y37" s="353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39"/>
      <c r="Q38" s="1487" t="str">
        <f>B38</f>
        <v>宗地面积</v>
      </c>
      <c r="R38" s="714" t="s">
        <v>17</v>
      </c>
      <c r="S38" s="715" t="e">
        <f t="shared" si="10"/>
        <v>#N/A</v>
      </c>
      <c r="T38" s="714" t="s">
        <v>17</v>
      </c>
      <c r="U38" s="715" t="e">
        <f t="shared" si="11"/>
        <v>#N/A</v>
      </c>
      <c r="V38" s="714" t="s">
        <v>17</v>
      </c>
      <c r="W38" s="715" t="e">
        <f t="shared" si="12"/>
        <v>#N/A</v>
      </c>
      <c r="X38" s="1490"/>
      <c r="Y38" s="353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539"/>
      <c r="Q39" s="1487" t="str">
        <f t="shared" ref="Q39:Q45" si="14">B39</f>
        <v>宗地形状</v>
      </c>
      <c r="R39" s="714" t="s">
        <v>17</v>
      </c>
      <c r="S39" s="715">
        <f t="shared" si="10"/>
        <v>100</v>
      </c>
      <c r="T39" s="714" t="s">
        <v>17</v>
      </c>
      <c r="U39" s="715">
        <f t="shared" si="11"/>
        <v>100</v>
      </c>
      <c r="V39" s="714" t="s">
        <v>17</v>
      </c>
      <c r="W39" s="715">
        <f t="shared" si="12"/>
        <v>100</v>
      </c>
      <c r="X39" s="1490"/>
      <c r="Y39" s="353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539"/>
      <c r="Q40" s="1487" t="str">
        <f t="shared" si="14"/>
        <v>临街宽度及深度</v>
      </c>
      <c r="R40" s="714" t="s">
        <v>17</v>
      </c>
      <c r="S40" s="715">
        <f t="shared" si="10"/>
        <v>100</v>
      </c>
      <c r="T40" s="714" t="s">
        <v>17</v>
      </c>
      <c r="U40" s="715">
        <f t="shared" si="11"/>
        <v>100</v>
      </c>
      <c r="V40" s="714" t="s">
        <v>17</v>
      </c>
      <c r="W40" s="715">
        <f t="shared" si="12"/>
        <v>100</v>
      </c>
      <c r="X40" s="1490"/>
      <c r="Y40" s="3539"/>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39"/>
      <c r="Q41" s="1487" t="str">
        <f t="shared" si="14"/>
        <v>宗地开发程度</v>
      </c>
      <c r="R41" s="710" t="s">
        <v>17</v>
      </c>
      <c r="S41" s="711">
        <f t="shared" si="10"/>
        <v>100</v>
      </c>
      <c r="T41" s="710" t="s">
        <v>17</v>
      </c>
      <c r="U41" s="711">
        <f t="shared" si="11"/>
        <v>100</v>
      </c>
      <c r="V41" s="710" t="s">
        <v>17</v>
      </c>
      <c r="W41" s="711">
        <f t="shared" si="12"/>
        <v>100</v>
      </c>
      <c r="X41" s="712"/>
      <c r="Y41" s="353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539" t="s">
        <v>2145</v>
      </c>
      <c r="Q42" s="1487" t="str">
        <f t="shared" si="14"/>
        <v>工程地质条件</v>
      </c>
      <c r="R42" s="714" t="s">
        <v>17</v>
      </c>
      <c r="S42" s="715">
        <f t="shared" si="10"/>
        <v>100</v>
      </c>
      <c r="T42" s="714" t="s">
        <v>17</v>
      </c>
      <c r="U42" s="715">
        <f t="shared" si="11"/>
        <v>100</v>
      </c>
      <c r="V42" s="714" t="s">
        <v>17</v>
      </c>
      <c r="W42" s="715">
        <f t="shared" si="12"/>
        <v>100</v>
      </c>
      <c r="X42" s="1490"/>
      <c r="Y42" s="353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39"/>
      <c r="Q43" s="1487">
        <f t="shared" si="14"/>
        <v>111</v>
      </c>
      <c r="R43" s="714" t="s">
        <v>17</v>
      </c>
      <c r="S43" s="715">
        <f t="shared" si="10"/>
        <v>100</v>
      </c>
      <c r="T43" s="714" t="s">
        <v>17</v>
      </c>
      <c r="U43" s="715">
        <f t="shared" si="11"/>
        <v>100</v>
      </c>
      <c r="V43" s="714" t="s">
        <v>17</v>
      </c>
      <c r="W43" s="715">
        <f t="shared" si="12"/>
        <v>100</v>
      </c>
      <c r="X43" s="1490"/>
      <c r="Y43" s="353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39"/>
      <c r="Q44" s="1487">
        <f t="shared" si="14"/>
        <v>111</v>
      </c>
      <c r="R44" s="714" t="s">
        <v>17</v>
      </c>
      <c r="S44" s="715">
        <f t="shared" si="10"/>
        <v>100</v>
      </c>
      <c r="T44" s="714" t="s">
        <v>17</v>
      </c>
      <c r="U44" s="715">
        <f t="shared" si="11"/>
        <v>100</v>
      </c>
      <c r="V44" s="714" t="s">
        <v>17</v>
      </c>
      <c r="W44" s="715">
        <f t="shared" si="12"/>
        <v>100</v>
      </c>
      <c r="X44" s="1490"/>
      <c r="Y44" s="3539"/>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39"/>
      <c r="Q45" s="1487">
        <f t="shared" si="14"/>
        <v>111</v>
      </c>
      <c r="R45" s="717" t="s">
        <v>17</v>
      </c>
      <c r="S45" s="718">
        <f t="shared" si="10"/>
        <v>100</v>
      </c>
      <c r="T45" s="717" t="s">
        <v>17</v>
      </c>
      <c r="U45" s="718">
        <f t="shared" si="11"/>
        <v>100</v>
      </c>
      <c r="V45" s="717" t="s">
        <v>17</v>
      </c>
      <c r="W45" s="718">
        <f t="shared" si="12"/>
        <v>100</v>
      </c>
      <c r="X45" s="719"/>
      <c r="Y45" s="3539"/>
      <c r="Z45" s="720">
        <f t="shared" si="13"/>
        <v>111</v>
      </c>
      <c r="AA45" s="1488">
        <f t="shared" si="3"/>
        <v>1</v>
      </c>
      <c r="AB45" s="1488">
        <f t="shared" si="4"/>
        <v>1</v>
      </c>
      <c r="AC45" s="1488">
        <f t="shared" si="5"/>
        <v>1</v>
      </c>
    </row>
    <row r="46" spans="1:29" ht="15">
      <c r="A46" s="438" t="s">
        <v>2300</v>
      </c>
      <c r="B46" s="2118" t="s">
        <v>2336</v>
      </c>
      <c r="C46" s="638" t="s">
        <v>1</v>
      </c>
      <c r="D46" s="440"/>
      <c r="E46" s="441"/>
      <c r="F46" s="442"/>
      <c r="G46" s="443"/>
      <c r="H46" s="444"/>
      <c r="I46" s="441"/>
      <c r="J46" s="444"/>
      <c r="K46" s="723"/>
      <c r="L46" s="2902"/>
      <c r="M46" s="2903"/>
      <c r="N46" s="2894"/>
      <c r="O46" s="2903"/>
      <c r="P46" s="3527" t="str">
        <f>A46</f>
        <v>成交单价</v>
      </c>
      <c r="Q46" s="3527"/>
      <c r="R46" s="3552">
        <f>E46</f>
        <v>0</v>
      </c>
      <c r="S46" s="3552"/>
      <c r="T46" s="3552">
        <f>G46</f>
        <v>0</v>
      </c>
      <c r="U46" s="3552"/>
      <c r="V46" s="3552">
        <f>I46</f>
        <v>0</v>
      </c>
      <c r="W46" s="3552"/>
      <c r="X46" s="699"/>
      <c r="Y46" s="721"/>
      <c r="Z46" s="699"/>
      <c r="AA46" s="699"/>
      <c r="AB46" s="699"/>
      <c r="AC46" s="699"/>
    </row>
    <row r="47" spans="1:29" ht="15.75" thickBot="1">
      <c r="A47" s="445" t="s">
        <v>2249</v>
      </c>
      <c r="B47" s="639"/>
      <c r="C47" s="448" t="e">
        <f>R48</f>
        <v>#DIV/0!</v>
      </c>
      <c r="D47" s="2488" t="s">
        <v>2639</v>
      </c>
      <c r="E47" s="448" t="e">
        <f>R47</f>
        <v>#DIV/0!</v>
      </c>
      <c r="F47" s="2489"/>
      <c r="G47" s="447" t="e">
        <f>T47</f>
        <v>#DIV/0!</v>
      </c>
      <c r="H47" s="2489"/>
      <c r="I47" s="448" t="e">
        <f>V47</f>
        <v>#DIV/0!</v>
      </c>
      <c r="J47" s="2489"/>
      <c r="K47" s="2491">
        <f>F47+H47+J47</f>
        <v>0</v>
      </c>
      <c r="L47" s="2902"/>
      <c r="M47" s="2903"/>
      <c r="N47" s="2903"/>
      <c r="O47" s="2903"/>
      <c r="P47" s="3527" t="str">
        <f>A47</f>
        <v>比较价值（元/平方米）</v>
      </c>
      <c r="Q47" s="3527"/>
      <c r="R47" s="3615" t="e">
        <f>ROUND(PRODUCT(R46,AA7:AA45),0)</f>
        <v>#DIV/0!</v>
      </c>
      <c r="S47" s="3615"/>
      <c r="T47" s="3615" t="e">
        <f>ROUND(PRODUCT(T46,AB7:AB45),0)</f>
        <v>#DIV/0!</v>
      </c>
      <c r="U47" s="3615"/>
      <c r="V47" s="3615" t="e">
        <f>ROUND(PRODUCT(V46,AC7:AC45),0)</f>
        <v>#DIV/0!</v>
      </c>
      <c r="W47" s="361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610" t="str">
        <f>A48</f>
        <v>估价对象XX用房的比较价值（楼面单价，元/平方米）</v>
      </c>
      <c r="Q48" s="3611"/>
      <c r="R48" s="3616" t="e">
        <f>ROUND(IF(D47="简单平均",AVERAGE(R47:W47),R47*F47+T47*H47+V47*J47),0)</f>
        <v>#DIV/0!</v>
      </c>
      <c r="S48" s="3616"/>
      <c r="T48" s="3616"/>
      <c r="U48" s="3616"/>
      <c r="V48" s="3616"/>
      <c r="W48" s="3616"/>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2" t="s">
        <v>2343</v>
      </c>
      <c r="G55" s="3559" t="s">
        <v>2344</v>
      </c>
      <c r="H55" s="3617"/>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42113.560000000005</v>
      </c>
      <c r="F56" s="998" t="e">
        <f t="shared" ref="F56:F64" si="15">ROUND(B56*E56/10000,0)</f>
        <v>#DIV/0!</v>
      </c>
      <c r="G56" s="3526"/>
      <c r="H56" s="3527"/>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9280.83</v>
      </c>
      <c r="F64" s="998" t="e">
        <f t="shared" si="15"/>
        <v>#DIV/0!</v>
      </c>
      <c r="G64" s="2124"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51394.390000000007</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59" t="s">
        <v>2226</v>
      </c>
      <c r="D4" s="3560"/>
      <c r="E4" s="3561" t="s">
        <v>2227</v>
      </c>
      <c r="F4" s="3562"/>
      <c r="G4" s="3559" t="s">
        <v>2228</v>
      </c>
      <c r="H4" s="3560"/>
      <c r="I4" s="3559" t="s">
        <v>2229</v>
      </c>
      <c r="J4" s="3560"/>
      <c r="K4" s="567" t="s">
        <v>2230</v>
      </c>
      <c r="L4" s="2893"/>
      <c r="M4" s="2894"/>
      <c r="N4" s="2894"/>
      <c r="O4" s="2894"/>
      <c r="P4" s="3606" t="s">
        <v>2231</v>
      </c>
      <c r="Q4" s="3607"/>
      <c r="R4" s="3604" t="s">
        <v>2227</v>
      </c>
      <c r="S4" s="3605"/>
      <c r="T4" s="3604" t="s">
        <v>2228</v>
      </c>
      <c r="U4" s="3605"/>
      <c r="V4" s="3552" t="s">
        <v>2229</v>
      </c>
      <c r="W4" s="3552"/>
      <c r="X4" s="1490"/>
      <c r="Y4" s="3604" t="s">
        <v>2231</v>
      </c>
      <c r="Z4" s="3605"/>
      <c r="AA4" s="3603" t="s">
        <v>2227</v>
      </c>
      <c r="AB4" s="3554" t="s">
        <v>2228</v>
      </c>
      <c r="AC4" s="3603" t="s">
        <v>2229</v>
      </c>
    </row>
    <row r="5" spans="1:29" ht="15">
      <c r="A5" s="364"/>
      <c r="B5" s="365"/>
      <c r="C5" s="3569" t="s">
        <v>2122</v>
      </c>
      <c r="D5" s="3570"/>
      <c r="E5" s="3571" t="s">
        <v>2123</v>
      </c>
      <c r="F5" s="3572"/>
      <c r="G5" s="3569" t="s">
        <v>2124</v>
      </c>
      <c r="H5" s="3570"/>
      <c r="I5" s="3569" t="s">
        <v>2125</v>
      </c>
      <c r="J5" s="3570"/>
      <c r="K5" s="567"/>
      <c r="L5" s="2893"/>
      <c r="M5" s="2894"/>
      <c r="N5" s="2894"/>
      <c r="O5" s="2894"/>
      <c r="P5" s="3608"/>
      <c r="Q5" s="3566"/>
      <c r="R5" s="3547"/>
      <c r="S5" s="3548"/>
      <c r="T5" s="3547"/>
      <c r="U5" s="3548"/>
      <c r="V5" s="3552"/>
      <c r="W5" s="3552"/>
      <c r="X5" s="1490"/>
      <c r="Y5" s="3547"/>
      <c r="Z5" s="3548"/>
      <c r="AA5" s="3554"/>
      <c r="AB5" s="3554"/>
      <c r="AC5" s="3554"/>
    </row>
    <row r="6" spans="1:29" ht="15.75" thickBot="1">
      <c r="A6" s="366"/>
      <c r="B6" s="367"/>
      <c r="C6" s="3618" t="s">
        <v>2376</v>
      </c>
      <c r="D6" s="3619"/>
      <c r="E6" s="3620" t="s">
        <v>2376</v>
      </c>
      <c r="F6" s="3621"/>
      <c r="G6" s="3618" t="s">
        <v>2376</v>
      </c>
      <c r="H6" s="3619"/>
      <c r="I6" s="3618" t="s">
        <v>2376</v>
      </c>
      <c r="J6" s="3619"/>
      <c r="K6" s="567" t="s">
        <v>2127</v>
      </c>
      <c r="L6" s="2893"/>
      <c r="M6" s="2894"/>
      <c r="N6" s="2894"/>
      <c r="O6" s="2894"/>
      <c r="P6" s="3609"/>
      <c r="Q6" s="3568"/>
      <c r="R6" s="3547"/>
      <c r="S6" s="3548"/>
      <c r="T6" s="3549"/>
      <c r="U6" s="3550"/>
      <c r="V6" s="3552"/>
      <c r="W6" s="3552"/>
      <c r="X6" s="1490"/>
      <c r="Y6" s="3549"/>
      <c r="Z6" s="3550"/>
      <c r="AA6" s="3555"/>
      <c r="AB6" s="3555"/>
      <c r="AC6" s="3555"/>
    </row>
    <row r="7" spans="1:29" s="113" customFormat="1" ht="15.75" thickBot="1">
      <c r="A7" s="368" t="s">
        <v>2128</v>
      </c>
      <c r="B7" s="369"/>
      <c r="C7" s="370">
        <f>'数据-取费表'!B2</f>
        <v>44902</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44" t="s">
        <v>2129</v>
      </c>
      <c r="Q7" s="3542"/>
      <c r="R7" s="710" t="s">
        <v>17</v>
      </c>
      <c r="S7" s="711">
        <f t="shared" ref="S7:S15" si="0">F7</f>
        <v>0</v>
      </c>
      <c r="T7" s="710" t="s">
        <v>17</v>
      </c>
      <c r="U7" s="711">
        <f t="shared" ref="U7:U15" si="1">H7</f>
        <v>0</v>
      </c>
      <c r="V7" s="710" t="s">
        <v>17</v>
      </c>
      <c r="W7" s="711">
        <f t="shared" ref="W7:W15" si="2">J7</f>
        <v>0</v>
      </c>
      <c r="X7" s="712"/>
      <c r="Y7" s="3544" t="s">
        <v>2129</v>
      </c>
      <c r="Z7" s="354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44" t="s">
        <v>2132</v>
      </c>
      <c r="Q8" s="3543"/>
      <c r="R8" s="710" t="s">
        <v>17</v>
      </c>
      <c r="S8" s="711">
        <f t="shared" si="0"/>
        <v>0</v>
      </c>
      <c r="T8" s="710" t="s">
        <v>17</v>
      </c>
      <c r="U8" s="711">
        <f t="shared" si="1"/>
        <v>0</v>
      </c>
      <c r="V8" s="710" t="s">
        <v>17</v>
      </c>
      <c r="W8" s="711">
        <f t="shared" si="2"/>
        <v>0</v>
      </c>
      <c r="X8" s="712"/>
      <c r="Y8" s="3544" t="s">
        <v>2132</v>
      </c>
      <c r="Z8" s="3543"/>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27" t="s">
        <v>2135</v>
      </c>
      <c r="Q9" s="1478" t="str">
        <f t="shared" ref="Q9:Q15" si="6">B9</f>
        <v>用途</v>
      </c>
      <c r="R9" s="710" t="s">
        <v>17</v>
      </c>
      <c r="S9" s="711">
        <f t="shared" si="0"/>
        <v>100</v>
      </c>
      <c r="T9" s="710" t="s">
        <v>17</v>
      </c>
      <c r="U9" s="711">
        <f t="shared" si="1"/>
        <v>100</v>
      </c>
      <c r="V9" s="710" t="s">
        <v>17</v>
      </c>
      <c r="W9" s="711">
        <f t="shared" si="2"/>
        <v>100</v>
      </c>
      <c r="X9" s="712"/>
      <c r="Y9" s="349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114</v>
      </c>
      <c r="G10" s="391"/>
      <c r="H10" s="132">
        <f>ROUND(100/'数据-取费表'!G16,0)</f>
        <v>114</v>
      </c>
      <c r="I10" s="391"/>
      <c r="J10" s="132">
        <f>ROUND(100/'数据-取费表'!G16,0)</f>
        <v>114</v>
      </c>
      <c r="K10" s="628"/>
      <c r="L10" s="2897"/>
      <c r="M10" s="2898"/>
      <c r="N10" s="2898"/>
      <c r="O10" s="2951"/>
      <c r="P10" s="3527"/>
      <c r="Q10" s="1478" t="str">
        <f t="shared" si="6"/>
        <v>土地使用年限（年）</v>
      </c>
      <c r="R10" s="710" t="s">
        <v>17</v>
      </c>
      <c r="S10" s="711">
        <f t="shared" si="0"/>
        <v>114</v>
      </c>
      <c r="T10" s="710" t="s">
        <v>17</v>
      </c>
      <c r="U10" s="711">
        <f t="shared" si="1"/>
        <v>114</v>
      </c>
      <c r="V10" s="710" t="s">
        <v>17</v>
      </c>
      <c r="W10" s="711">
        <f t="shared" si="2"/>
        <v>114</v>
      </c>
      <c r="X10" s="712"/>
      <c r="Y10" s="3499"/>
      <c r="Z10" s="55" t="str">
        <f t="shared" si="7"/>
        <v>土地使用年限（年）</v>
      </c>
      <c r="AA10" s="713">
        <f t="shared" si="3"/>
        <v>0.8771929824561403</v>
      </c>
      <c r="AB10" s="713">
        <f t="shared" si="4"/>
        <v>0.8771929824561403</v>
      </c>
      <c r="AC10" s="713">
        <f t="shared" si="5"/>
        <v>0.8771929824561403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27"/>
      <c r="Q11" s="1478" t="str">
        <f t="shared" si="6"/>
        <v>容积率</v>
      </c>
      <c r="R11" s="710" t="s">
        <v>17</v>
      </c>
      <c r="S11" s="711" t="e">
        <f t="shared" si="0"/>
        <v>#N/A</v>
      </c>
      <c r="T11" s="710" t="s">
        <v>17</v>
      </c>
      <c r="U11" s="711" t="e">
        <f t="shared" si="1"/>
        <v>#N/A</v>
      </c>
      <c r="V11" s="710" t="s">
        <v>17</v>
      </c>
      <c r="W11" s="711" t="e">
        <f t="shared" si="2"/>
        <v>#N/A</v>
      </c>
      <c r="X11" s="712"/>
      <c r="Y11" s="349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27"/>
      <c r="Q12" s="1478">
        <f t="shared" si="6"/>
        <v>111</v>
      </c>
      <c r="R12" s="710" t="s">
        <v>17</v>
      </c>
      <c r="S12" s="711">
        <f t="shared" si="0"/>
        <v>100</v>
      </c>
      <c r="T12" s="710" t="s">
        <v>17</v>
      </c>
      <c r="U12" s="711">
        <f t="shared" si="1"/>
        <v>100</v>
      </c>
      <c r="V12" s="710" t="s">
        <v>17</v>
      </c>
      <c r="W12" s="711">
        <f t="shared" si="2"/>
        <v>100</v>
      </c>
      <c r="X12" s="712"/>
      <c r="Y12" s="349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27"/>
      <c r="Q13" s="1478">
        <f t="shared" si="6"/>
        <v>111</v>
      </c>
      <c r="R13" s="710" t="s">
        <v>17</v>
      </c>
      <c r="S13" s="711">
        <f t="shared" si="0"/>
        <v>100</v>
      </c>
      <c r="T13" s="710" t="s">
        <v>17</v>
      </c>
      <c r="U13" s="711">
        <f t="shared" si="1"/>
        <v>100</v>
      </c>
      <c r="V13" s="710" t="s">
        <v>17</v>
      </c>
      <c r="W13" s="711">
        <f t="shared" si="2"/>
        <v>100</v>
      </c>
      <c r="X13" s="712"/>
      <c r="Y13" s="349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27"/>
      <c r="Q14" s="1478">
        <f t="shared" si="6"/>
        <v>111</v>
      </c>
      <c r="R14" s="710" t="s">
        <v>17</v>
      </c>
      <c r="S14" s="711">
        <f t="shared" si="0"/>
        <v>100</v>
      </c>
      <c r="T14" s="710" t="s">
        <v>17</v>
      </c>
      <c r="U14" s="711">
        <f t="shared" si="1"/>
        <v>100</v>
      </c>
      <c r="V14" s="710" t="s">
        <v>17</v>
      </c>
      <c r="W14" s="711">
        <f t="shared" si="2"/>
        <v>100</v>
      </c>
      <c r="X14" s="712"/>
      <c r="Y14" s="3499"/>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34" t="s">
        <v>2140</v>
      </c>
      <c r="Q15" s="1487" t="str">
        <f t="shared" si="6"/>
        <v>产业集聚程度</v>
      </c>
      <c r="R15" s="714" t="s">
        <v>17</v>
      </c>
      <c r="S15" s="715">
        <f t="shared" si="0"/>
        <v>100</v>
      </c>
      <c r="T15" s="714" t="s">
        <v>17</v>
      </c>
      <c r="U15" s="715">
        <f t="shared" si="1"/>
        <v>100</v>
      </c>
      <c r="V15" s="714" t="s">
        <v>17</v>
      </c>
      <c r="W15" s="715">
        <f t="shared" si="2"/>
        <v>100</v>
      </c>
      <c r="X15" s="1490"/>
      <c r="Y15" s="353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535"/>
      <c r="Q16" s="1487"/>
      <c r="R16" s="714"/>
      <c r="S16" s="715"/>
      <c r="T16" s="714"/>
      <c r="U16" s="715"/>
      <c r="V16" s="714"/>
      <c r="W16" s="715"/>
      <c r="X16" s="1490"/>
      <c r="Y16" s="353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35"/>
      <c r="Q17" s="1487" t="str">
        <f>B17</f>
        <v>交通便捷度</v>
      </c>
      <c r="R17" s="714" t="s">
        <v>17</v>
      </c>
      <c r="S17" s="715">
        <f>F17</f>
        <v>100</v>
      </c>
      <c r="T17" s="714" t="s">
        <v>17</v>
      </c>
      <c r="U17" s="715">
        <f>H17</f>
        <v>100</v>
      </c>
      <c r="V17" s="714" t="s">
        <v>17</v>
      </c>
      <c r="W17" s="715">
        <f>J17</f>
        <v>100</v>
      </c>
      <c r="X17" s="1490"/>
      <c r="Y17" s="353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535"/>
      <c r="Q18" s="1487"/>
      <c r="R18" s="714"/>
      <c r="S18" s="715"/>
      <c r="T18" s="714"/>
      <c r="U18" s="715"/>
      <c r="V18" s="714"/>
      <c r="W18" s="715"/>
      <c r="X18" s="1490"/>
      <c r="Y18" s="353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35"/>
      <c r="Q19" s="1487" t="str">
        <f t="shared" ref="Q19:Q33" si="8">B19</f>
        <v>区域土地利用方向</v>
      </c>
      <c r="R19" s="714" t="s">
        <v>17</v>
      </c>
      <c r="S19" s="715">
        <f>F19</f>
        <v>100</v>
      </c>
      <c r="T19" s="714" t="s">
        <v>17</v>
      </c>
      <c r="U19" s="715">
        <f>H19</f>
        <v>100</v>
      </c>
      <c r="V19" s="714" t="s">
        <v>17</v>
      </c>
      <c r="W19" s="715">
        <f>J19</f>
        <v>100</v>
      </c>
      <c r="X19" s="1490"/>
      <c r="Y19" s="353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535"/>
      <c r="Q20" s="1487"/>
      <c r="R20" s="714"/>
      <c r="S20" s="715"/>
      <c r="T20" s="714"/>
      <c r="U20" s="715"/>
      <c r="V20" s="714"/>
      <c r="W20" s="715"/>
      <c r="X20" s="1490"/>
      <c r="Y20" s="353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35"/>
      <c r="Q21" s="1487" t="str">
        <f t="shared" si="8"/>
        <v>环境状况</v>
      </c>
      <c r="R21" s="714" t="s">
        <v>17</v>
      </c>
      <c r="S21" s="715">
        <f>F21</f>
        <v>100</v>
      </c>
      <c r="T21" s="714" t="s">
        <v>17</v>
      </c>
      <c r="U21" s="715">
        <f>H21</f>
        <v>100</v>
      </c>
      <c r="V21" s="714" t="s">
        <v>17</v>
      </c>
      <c r="W21" s="715">
        <f>J21</f>
        <v>100</v>
      </c>
      <c r="X21" s="1490"/>
      <c r="Y21" s="353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535"/>
      <c r="Q22" s="1487"/>
      <c r="R22" s="714"/>
      <c r="S22" s="715"/>
      <c r="T22" s="714"/>
      <c r="U22" s="715"/>
      <c r="V22" s="714"/>
      <c r="W22" s="715"/>
      <c r="X22" s="1490"/>
      <c r="Y22" s="353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35"/>
      <c r="Q23" s="1478" t="str">
        <f t="shared" si="8"/>
        <v>公共配套设施</v>
      </c>
      <c r="R23" s="710" t="s">
        <v>17</v>
      </c>
      <c r="S23" s="711">
        <f>F23</f>
        <v>100</v>
      </c>
      <c r="T23" s="710" t="s">
        <v>17</v>
      </c>
      <c r="U23" s="711">
        <f>H23</f>
        <v>100</v>
      </c>
      <c r="V23" s="710" t="s">
        <v>17</v>
      </c>
      <c r="W23" s="711">
        <f>J23</f>
        <v>100</v>
      </c>
      <c r="X23" s="712"/>
      <c r="Y23" s="3535"/>
      <c r="Z23" s="55" t="str">
        <f>Q23</f>
        <v>公共配套设施</v>
      </c>
      <c r="AA23" s="1488">
        <f>D23/F23</f>
        <v>1</v>
      </c>
      <c r="AB23" s="1488">
        <f>D23/H23</f>
        <v>1</v>
      </c>
      <c r="AC23" s="1488">
        <f>D23/J23</f>
        <v>1</v>
      </c>
    </row>
    <row r="24" spans="1:29" s="113" customFormat="1" ht="15">
      <c r="A24" s="605"/>
      <c r="B24" s="588"/>
      <c r="C24" s="2114"/>
      <c r="D24" s="407"/>
      <c r="E24" s="2041"/>
      <c r="F24" s="407"/>
      <c r="G24" s="2041"/>
      <c r="H24" s="407"/>
      <c r="I24" s="406"/>
      <c r="J24" s="407"/>
      <c r="K24" s="628"/>
      <c r="L24" s="2895"/>
      <c r="M24" s="2896"/>
      <c r="N24" s="2896"/>
      <c r="O24" s="2950"/>
      <c r="P24" s="3535"/>
      <c r="Q24" s="1478"/>
      <c r="R24" s="710"/>
      <c r="S24" s="711"/>
      <c r="T24" s="710"/>
      <c r="U24" s="711"/>
      <c r="V24" s="710"/>
      <c r="W24" s="711"/>
      <c r="X24" s="712"/>
      <c r="Y24" s="353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35"/>
      <c r="Q25" s="1478" t="str">
        <f t="shared" ref="Q25" si="9">B25</f>
        <v>基础设施水平</v>
      </c>
      <c r="R25" s="710" t="s">
        <v>17</v>
      </c>
      <c r="S25" s="711">
        <f>F25</f>
        <v>100</v>
      </c>
      <c r="T25" s="710" t="s">
        <v>17</v>
      </c>
      <c r="U25" s="711">
        <f>H25</f>
        <v>100</v>
      </c>
      <c r="V25" s="710" t="s">
        <v>17</v>
      </c>
      <c r="W25" s="711">
        <f>J25</f>
        <v>100</v>
      </c>
      <c r="X25" s="712"/>
      <c r="Y25" s="3535"/>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535"/>
      <c r="Q26" s="1478"/>
      <c r="R26" s="710"/>
      <c r="S26" s="711"/>
      <c r="T26" s="710"/>
      <c r="U26" s="711"/>
      <c r="V26" s="710"/>
      <c r="W26" s="711"/>
      <c r="X26" s="712"/>
      <c r="Y26" s="353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3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35"/>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35"/>
      <c r="Q28" s="1487" t="str">
        <f t="shared" si="8"/>
        <v>毗邻道路的类型与等级</v>
      </c>
      <c r="R28" s="714" t="s">
        <v>17</v>
      </c>
      <c r="S28" s="715">
        <f t="shared" si="10"/>
        <v>100</v>
      </c>
      <c r="T28" s="714" t="s">
        <v>17</v>
      </c>
      <c r="U28" s="715">
        <f t="shared" si="11"/>
        <v>100</v>
      </c>
      <c r="V28" s="714" t="s">
        <v>17</v>
      </c>
      <c r="W28" s="715">
        <f t="shared" si="12"/>
        <v>100</v>
      </c>
      <c r="X28" s="1490"/>
      <c r="Y28" s="353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535"/>
      <c r="Q29" s="1487"/>
      <c r="R29" s="714"/>
      <c r="S29" s="715"/>
      <c r="T29" s="714"/>
      <c r="U29" s="715"/>
      <c r="V29" s="714"/>
      <c r="W29" s="715"/>
      <c r="X29" s="1490"/>
      <c r="Y29" s="353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35"/>
      <c r="Q30" s="1487" t="str">
        <f t="shared" si="8"/>
        <v>土地级别</v>
      </c>
      <c r="R30" s="714" t="s">
        <v>17</v>
      </c>
      <c r="S30" s="715">
        <f t="shared" si="10"/>
        <v>100</v>
      </c>
      <c r="T30" s="714" t="s">
        <v>17</v>
      </c>
      <c r="U30" s="715">
        <f t="shared" si="11"/>
        <v>100</v>
      </c>
      <c r="V30" s="714" t="s">
        <v>17</v>
      </c>
      <c r="W30" s="715">
        <f t="shared" si="12"/>
        <v>100</v>
      </c>
      <c r="X30" s="1490"/>
      <c r="Y30" s="3535"/>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35"/>
      <c r="Q31" s="1487">
        <f t="shared" si="8"/>
        <v>111</v>
      </c>
      <c r="R31" s="714" t="s">
        <v>17</v>
      </c>
      <c r="S31" s="715">
        <f t="shared" si="10"/>
        <v>100</v>
      </c>
      <c r="T31" s="714" t="s">
        <v>17</v>
      </c>
      <c r="U31" s="715">
        <f t="shared" si="11"/>
        <v>100</v>
      </c>
      <c r="V31" s="714" t="s">
        <v>17</v>
      </c>
      <c r="W31" s="715">
        <f t="shared" si="12"/>
        <v>100</v>
      </c>
      <c r="X31" s="1490"/>
      <c r="Y31" s="3535"/>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613" t="s">
        <v>2145</v>
      </c>
      <c r="Q32" s="1487">
        <f t="shared" si="8"/>
        <v>111</v>
      </c>
      <c r="R32" s="714" t="s">
        <v>17</v>
      </c>
      <c r="S32" s="715">
        <f t="shared" si="10"/>
        <v>100</v>
      </c>
      <c r="T32" s="714" t="s">
        <v>17</v>
      </c>
      <c r="U32" s="715">
        <f t="shared" si="11"/>
        <v>100</v>
      </c>
      <c r="V32" s="714" t="s">
        <v>17</v>
      </c>
      <c r="W32" s="715">
        <f t="shared" si="12"/>
        <v>100</v>
      </c>
      <c r="X32" s="1490"/>
      <c r="Y32" s="3539"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39"/>
      <c r="Q33" s="1487">
        <f t="shared" si="8"/>
        <v>111</v>
      </c>
      <c r="R33" s="717" t="s">
        <v>17</v>
      </c>
      <c r="S33" s="718">
        <f t="shared" si="10"/>
        <v>100</v>
      </c>
      <c r="T33" s="717" t="s">
        <v>17</v>
      </c>
      <c r="U33" s="718">
        <f t="shared" si="11"/>
        <v>100</v>
      </c>
      <c r="V33" s="717" t="s">
        <v>17</v>
      </c>
      <c r="W33" s="718">
        <f t="shared" si="12"/>
        <v>100</v>
      </c>
      <c r="X33" s="719"/>
      <c r="Y33" s="353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39"/>
      <c r="Q34" s="1487" t="str">
        <f>B34</f>
        <v>宗地面积</v>
      </c>
      <c r="R34" s="714" t="s">
        <v>17</v>
      </c>
      <c r="S34" s="715" t="e">
        <f t="shared" si="10"/>
        <v>#N/A</v>
      </c>
      <c r="T34" s="714" t="s">
        <v>17</v>
      </c>
      <c r="U34" s="715" t="e">
        <f t="shared" si="11"/>
        <v>#N/A</v>
      </c>
      <c r="V34" s="714" t="s">
        <v>17</v>
      </c>
      <c r="W34" s="715" t="e">
        <f t="shared" si="12"/>
        <v>#N/A</v>
      </c>
      <c r="X34" s="1490"/>
      <c r="Y34" s="353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539"/>
      <c r="Q35" s="1487" t="str">
        <f t="shared" ref="Q35:Q40" si="14">B35</f>
        <v>宗地形状</v>
      </c>
      <c r="R35" s="714" t="s">
        <v>17</v>
      </c>
      <c r="S35" s="715">
        <f t="shared" si="10"/>
        <v>100</v>
      </c>
      <c r="T35" s="714" t="s">
        <v>17</v>
      </c>
      <c r="U35" s="715">
        <f t="shared" si="11"/>
        <v>100</v>
      </c>
      <c r="V35" s="714" t="s">
        <v>17</v>
      </c>
      <c r="W35" s="715">
        <f t="shared" si="12"/>
        <v>100</v>
      </c>
      <c r="X35" s="1490"/>
      <c r="Y35" s="3539"/>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39"/>
      <c r="Q36" s="1487" t="str">
        <f t="shared" si="14"/>
        <v>宗地开发程度</v>
      </c>
      <c r="R36" s="710" t="s">
        <v>17</v>
      </c>
      <c r="S36" s="711">
        <f t="shared" si="10"/>
        <v>100</v>
      </c>
      <c r="T36" s="710" t="s">
        <v>17</v>
      </c>
      <c r="U36" s="711">
        <f t="shared" si="11"/>
        <v>100</v>
      </c>
      <c r="V36" s="710" t="s">
        <v>17</v>
      </c>
      <c r="W36" s="711">
        <f t="shared" si="12"/>
        <v>100</v>
      </c>
      <c r="X36" s="712"/>
      <c r="Y36" s="353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539" t="s">
        <v>2145</v>
      </c>
      <c r="Q37" s="1487" t="str">
        <f t="shared" si="14"/>
        <v>工程地质条件</v>
      </c>
      <c r="R37" s="714" t="s">
        <v>17</v>
      </c>
      <c r="S37" s="715">
        <f t="shared" si="10"/>
        <v>100</v>
      </c>
      <c r="T37" s="714" t="s">
        <v>17</v>
      </c>
      <c r="U37" s="715">
        <f t="shared" si="11"/>
        <v>100</v>
      </c>
      <c r="V37" s="714" t="s">
        <v>17</v>
      </c>
      <c r="W37" s="715">
        <f t="shared" si="12"/>
        <v>100</v>
      </c>
      <c r="X37" s="1490"/>
      <c r="Y37" s="353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39"/>
      <c r="Q38" s="1487">
        <f t="shared" si="14"/>
        <v>111</v>
      </c>
      <c r="R38" s="714" t="s">
        <v>17</v>
      </c>
      <c r="S38" s="715">
        <f t="shared" si="10"/>
        <v>100</v>
      </c>
      <c r="T38" s="714" t="s">
        <v>17</v>
      </c>
      <c r="U38" s="715">
        <f t="shared" si="11"/>
        <v>100</v>
      </c>
      <c r="V38" s="714" t="s">
        <v>17</v>
      </c>
      <c r="W38" s="715">
        <f t="shared" si="12"/>
        <v>100</v>
      </c>
      <c r="X38" s="1490"/>
      <c r="Y38" s="353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39"/>
      <c r="Q39" s="1487">
        <f t="shared" si="14"/>
        <v>111</v>
      </c>
      <c r="R39" s="714" t="s">
        <v>17</v>
      </c>
      <c r="S39" s="715">
        <f t="shared" si="10"/>
        <v>100</v>
      </c>
      <c r="T39" s="714" t="s">
        <v>17</v>
      </c>
      <c r="U39" s="715">
        <f t="shared" si="11"/>
        <v>100</v>
      </c>
      <c r="V39" s="714" t="s">
        <v>17</v>
      </c>
      <c r="W39" s="715">
        <f t="shared" si="12"/>
        <v>100</v>
      </c>
      <c r="X39" s="1490"/>
      <c r="Y39" s="3539"/>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39"/>
      <c r="Q40" s="1487">
        <f t="shared" si="14"/>
        <v>111</v>
      </c>
      <c r="R40" s="717" t="s">
        <v>17</v>
      </c>
      <c r="S40" s="718">
        <f t="shared" si="10"/>
        <v>100</v>
      </c>
      <c r="T40" s="717" t="s">
        <v>17</v>
      </c>
      <c r="U40" s="718">
        <f t="shared" si="11"/>
        <v>100</v>
      </c>
      <c r="V40" s="717" t="s">
        <v>17</v>
      </c>
      <c r="W40" s="718">
        <f t="shared" si="12"/>
        <v>100</v>
      </c>
      <c r="X40" s="719"/>
      <c r="Y40" s="3539"/>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902"/>
      <c r="M41" s="2894"/>
      <c r="N41" s="2894"/>
      <c r="O41" s="2903"/>
      <c r="P41" s="3527" t="str">
        <f>A41</f>
        <v>成交单价</v>
      </c>
      <c r="Q41" s="3527"/>
      <c r="R41" s="3552">
        <f>E41</f>
        <v>0</v>
      </c>
      <c r="S41" s="3552"/>
      <c r="T41" s="3552">
        <f>G41</f>
        <v>0</v>
      </c>
      <c r="U41" s="3552"/>
      <c r="V41" s="3552">
        <f>I41</f>
        <v>0</v>
      </c>
      <c r="W41" s="3552"/>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902"/>
      <c r="M42" s="2894"/>
      <c r="N42" s="2894"/>
      <c r="O42" s="2903"/>
      <c r="P42" s="3527" t="str">
        <f>A42</f>
        <v>比较价值（元/平方米）</v>
      </c>
      <c r="Q42" s="3527"/>
      <c r="R42" s="3615" t="e">
        <f>ROUND(PRODUCT(R41,AA7:AA40),0)</f>
        <v>#DIV/0!</v>
      </c>
      <c r="S42" s="3615"/>
      <c r="T42" s="3615" t="e">
        <f>ROUND(PRODUCT(T41,AB7:AB40),0)</f>
        <v>#DIV/0!</v>
      </c>
      <c r="U42" s="3615"/>
      <c r="V42" s="3615" t="e">
        <f>ROUND(PRODUCT(V41,AC7:AC40),0)</f>
        <v>#DIV/0!</v>
      </c>
      <c r="W42" s="361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610" t="str">
        <f>A43</f>
        <v>估价对象XX用房的比较价值（楼面单价，元/平方米）</v>
      </c>
      <c r="Q43" s="3611"/>
      <c r="R43" s="3616" t="e">
        <f>ROUND(IF(D42="简单平均",AVERAGE(R42:W42),R42*F42+T42*H42+V42*J42),0)</f>
        <v>#DIV/0!</v>
      </c>
      <c r="S43" s="3616"/>
      <c r="T43" s="3616"/>
      <c r="U43" s="3616"/>
      <c r="V43" s="3616"/>
      <c r="W43" s="3616"/>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559" t="s">
        <v>2344</v>
      </c>
      <c r="H50" s="3617"/>
      <c r="I50" s="1491" t="s">
        <v>2380</v>
      </c>
      <c r="J50" s="1491">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42113.560000000005</v>
      </c>
      <c r="F51" s="647" t="e">
        <f t="shared" ref="F51:F60" si="15">ROUND(B51*E51/10000,0)</f>
        <v>#DIV/0!</v>
      </c>
      <c r="G51" s="3526"/>
      <c r="H51" s="3527"/>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9280.83</v>
      </c>
      <c r="F60" s="647" t="e">
        <f t="shared" si="15"/>
        <v>#DIV/0!</v>
      </c>
      <c r="G60" s="2124"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7268.84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5.79</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41"/>
      <c r="B4" s="3642"/>
      <c r="C4" s="3642"/>
      <c r="D4" s="3643"/>
      <c r="E4" s="3643"/>
      <c r="F4" s="3643"/>
      <c r="G4" s="3643"/>
      <c r="H4" s="3643"/>
      <c r="I4" s="3643"/>
      <c r="J4" s="3644"/>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622"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5.79</v>
      </c>
      <c r="AA7" s="1331"/>
      <c r="AB7" s="1331"/>
      <c r="AC7" s="1332"/>
      <c r="AD7" s="1333"/>
      <c r="AE7" s="1333"/>
      <c r="AF7" s="1333"/>
      <c r="AG7" s="1333"/>
      <c r="AH7" s="1333"/>
      <c r="AI7" s="1333"/>
      <c r="AJ7" s="1334"/>
    </row>
    <row r="8" spans="1:36" ht="15">
      <c r="A8" s="3645"/>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38" t="s">
        <v>2419</v>
      </c>
      <c r="X8" s="363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645"/>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4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45"/>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4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45"/>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40" t="s">
        <v>2443</v>
      </c>
      <c r="X11" s="1339" t="s">
        <v>2444</v>
      </c>
      <c r="Y11" s="1340">
        <f>$G$3</f>
        <v>5.79</v>
      </c>
      <c r="Z11" s="1340">
        <f t="shared" ref="Z11:AJ11" si="3">$G$3</f>
        <v>5.79</v>
      </c>
      <c r="AA11" s="1340">
        <f t="shared" si="3"/>
        <v>5.79</v>
      </c>
      <c r="AB11" s="1340">
        <f t="shared" si="3"/>
        <v>5.79</v>
      </c>
      <c r="AC11" s="1340">
        <f t="shared" si="3"/>
        <v>5.79</v>
      </c>
      <c r="AD11" s="1340">
        <f t="shared" si="3"/>
        <v>5.79</v>
      </c>
      <c r="AE11" s="1340">
        <f t="shared" si="3"/>
        <v>5.79</v>
      </c>
      <c r="AF11" s="1340">
        <f t="shared" si="3"/>
        <v>5.79</v>
      </c>
      <c r="AG11" s="1340">
        <f t="shared" si="3"/>
        <v>5.79</v>
      </c>
      <c r="AH11" s="1340">
        <f t="shared" si="3"/>
        <v>5.79</v>
      </c>
      <c r="AI11" s="1340">
        <f t="shared" si="3"/>
        <v>5.79</v>
      </c>
      <c r="AJ11" s="1340">
        <f t="shared" si="3"/>
        <v>5.79</v>
      </c>
    </row>
    <row r="12" spans="1:36" ht="25.5" thickBot="1">
      <c r="A12" s="3622"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4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46"/>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640"/>
      <c r="X13" s="1341"/>
      <c r="Y13" s="1338">
        <f>(-0.163*(Y12^2)-0.59*Y12+7617)*(10^(-4))/Y11</f>
        <v>0.13155440414507771</v>
      </c>
      <c r="Z13" s="1338">
        <f t="shared" ref="Z13:AJ13" si="5">(-0.163*(Z12^2)-0.59*Z12+7617)*(10^(-4))/Z11</f>
        <v>0.13155440414507771</v>
      </c>
      <c r="AA13" s="1338">
        <f t="shared" si="5"/>
        <v>0.13155440414507771</v>
      </c>
      <c r="AB13" s="1338">
        <f t="shared" si="5"/>
        <v>0.13155440414507771</v>
      </c>
      <c r="AC13" s="1338">
        <f t="shared" si="5"/>
        <v>0.13155440414507771</v>
      </c>
      <c r="AD13" s="1338">
        <f t="shared" si="5"/>
        <v>0.13155440414507771</v>
      </c>
      <c r="AE13" s="1338">
        <f t="shared" si="5"/>
        <v>0.13155440414507771</v>
      </c>
      <c r="AF13" s="1338">
        <f t="shared" si="5"/>
        <v>0.13155440414507771</v>
      </c>
      <c r="AG13" s="1338">
        <f t="shared" si="5"/>
        <v>0.13155440414507771</v>
      </c>
      <c r="AH13" s="1338">
        <f t="shared" si="5"/>
        <v>0.13155440414507771</v>
      </c>
      <c r="AI13" s="1338">
        <f t="shared" si="5"/>
        <v>0.13155440414507771</v>
      </c>
      <c r="AJ13" s="1338">
        <f t="shared" si="5"/>
        <v>0.13155440414507771</v>
      </c>
    </row>
    <row r="14" spans="1:36" ht="15">
      <c r="A14" s="3646"/>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647"/>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622" t="s">
        <v>2462</v>
      </c>
      <c r="B16" s="2159" t="s">
        <v>2463</v>
      </c>
      <c r="C16" s="2321" t="e">
        <f>ROUND(IF(F17="与级别开发程度一致",0,(G17-E17)/C17),0)</f>
        <v>#DIV/0!</v>
      </c>
      <c r="D16" s="3635" t="s">
        <v>2467</v>
      </c>
      <c r="E16" s="3636"/>
      <c r="F16" s="3635" t="s">
        <v>2464</v>
      </c>
      <c r="G16" s="3636"/>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623"/>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44902</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2482</v>
      </c>
      <c r="C21" s="857">
        <f>IF(B21="容积率修正",IF(G3&lt;=10,D22,J22),C23)</f>
        <v>0</v>
      </c>
      <c r="D21" s="2215"/>
      <c r="E21" s="2215"/>
      <c r="F21" s="2215"/>
      <c r="G21" s="2215"/>
      <c r="H21" s="2215"/>
      <c r="I21" s="2215"/>
      <c r="J21" s="2216"/>
      <c r="K21" s="1240"/>
      <c r="L21" s="2968"/>
      <c r="M21" s="2968"/>
      <c r="N21" s="2217"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2" t="s">
        <v>2484</v>
      </c>
      <c r="B22" s="2218" t="s">
        <v>2485</v>
      </c>
      <c r="C22" s="1487" t="s">
        <v>2486</v>
      </c>
      <c r="D22" s="1487">
        <f>IF(E22=G22,F22,IF(G3&lt;=10,ROUND(F22+(H22-F22)*(G3-E22)/(G22-E22),4),"——"))</f>
        <v>0</v>
      </c>
      <c r="E22" s="837">
        <f>ROUNDDOWN(G3,1)</f>
        <v>5.7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5.8</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8"/>
      <c r="M24" s="2968"/>
      <c r="N24" s="2227"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2493</v>
      </c>
      <c r="C25" s="851"/>
      <c r="D25" s="2162"/>
      <c r="E25" s="2162"/>
      <c r="F25" s="2229"/>
      <c r="G25" s="2162"/>
      <c r="H25" s="2162"/>
      <c r="I25" s="2162"/>
      <c r="J25" s="2163"/>
      <c r="K25" s="1233"/>
      <c r="L25" s="2133"/>
      <c r="M25" s="2133"/>
      <c r="N25" s="2963" t="s">
        <v>2494</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6" t="s">
        <v>2393</v>
      </c>
      <c r="M26" s="2160" t="s">
        <v>2458</v>
      </c>
      <c r="N26" s="2160" t="s">
        <v>2459</v>
      </c>
      <c r="O26" s="2160" t="s">
        <v>2460</v>
      </c>
      <c r="P26" s="2967"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32"/>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37"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633"/>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3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33"/>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63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634"/>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34"/>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2528</v>
      </c>
      <c r="B48" s="2282" t="str">
        <f>估价对象房地状况!C4</f>
        <v>估价对象位于XX商圈，周边商业氛围成熟，人流量大，商业繁华度好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2529</v>
      </c>
      <c r="B49" s="2283" t="str">
        <f>估价对象房地状况!C18</f>
        <v>估价对象周边道路状况、公共交通通达情况、停车便捷程度，综合评价交通便捷度较好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2536</v>
      </c>
      <c r="B54" s="1447" t="str">
        <f>估价对象房地状况!C21</f>
        <v>估价对象所在区域公共配套设施齐备情况</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2538</v>
      </c>
      <c r="B56" s="2288" t="str">
        <f>估价对象房地状况!C20</f>
        <v>区域自然环境：；人文环境；综合评价环境状况一般</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2541</v>
      </c>
      <c r="B59" s="2282" t="str">
        <f>估价对象房地状况!C17</f>
        <v>估价对象位于XX商圈，周边办公楼项目较多，入驻率高，办公集聚程度较好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2529</v>
      </c>
      <c r="B60" s="2283" t="str">
        <f>估价对象房地状况!C18</f>
        <v>估价对象周边道路状况、公共交通通达情况、停车便捷程度，综合评价交通便捷度较好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2536</v>
      </c>
      <c r="B65" s="1447" t="str">
        <f>估价对象房地状况!C21</f>
        <v>估价对象所在区域公共配套设施齐备情况</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2538</v>
      </c>
      <c r="B67" s="2289" t="str">
        <f>估价对象房地状况!C20</f>
        <v>区域自然环境：；人文环境；综合评价环境状况一般</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2543</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2529</v>
      </c>
      <c r="B71" s="2283" t="str">
        <f>估价对象房地状况!C18</f>
        <v>估价对象周边道路状况、公共交通通达情况、停车便捷程度，综合评价交通便捷度较好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2536</v>
      </c>
      <c r="B74" s="1447" t="str">
        <f>估价对象房地状况!C21</f>
        <v>估价对象所在区域公共配套设施齐备情况</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2538</v>
      </c>
      <c r="B77" s="2282" t="str">
        <f>估价对象房地状况!C20</f>
        <v>区域自然环境：；人文环境；综合评价环境状况一般</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624" t="s">
        <v>2550</v>
      </c>
      <c r="B90" s="3624"/>
      <c r="C90" s="3624"/>
      <c r="D90" s="3624"/>
      <c r="E90" s="3624"/>
      <c r="F90" s="3624"/>
      <c r="G90" s="3624"/>
      <c r="H90" s="3624"/>
      <c r="I90" s="3624"/>
      <c r="J90" s="3624"/>
      <c r="K90" s="2293"/>
      <c r="L90" s="2293"/>
      <c r="M90" s="2293"/>
      <c r="N90" s="2293"/>
    </row>
    <row r="91" spans="1:37">
      <c r="A91" s="3626" t="s">
        <v>2551</v>
      </c>
      <c r="B91" s="3626" t="s">
        <v>2552</v>
      </c>
      <c r="C91" s="2247" t="s">
        <v>2553</v>
      </c>
      <c r="D91" s="2248"/>
      <c r="E91" s="2248"/>
      <c r="F91" s="2248"/>
      <c r="G91" s="2248"/>
      <c r="H91" s="2248"/>
      <c r="I91" s="2248"/>
      <c r="J91" s="2294"/>
      <c r="K91" s="2295"/>
      <c r="L91" s="2295"/>
      <c r="M91" s="2295"/>
      <c r="N91" s="2295"/>
    </row>
    <row r="92" spans="1:37">
      <c r="A92" s="3626"/>
      <c r="B92" s="362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627"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2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2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2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2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2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28"/>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2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27" t="s">
        <v>2555</v>
      </c>
      <c r="B101" s="2300" t="s">
        <v>2556</v>
      </c>
      <c r="C101" s="2301">
        <f>$G$3</f>
        <v>5.79</v>
      </c>
      <c r="D101" s="2301">
        <f t="shared" ref="D101:N101" si="31">$G$3</f>
        <v>5.79</v>
      </c>
      <c r="E101" s="2301">
        <f t="shared" si="31"/>
        <v>5.79</v>
      </c>
      <c r="F101" s="2301">
        <f t="shared" si="31"/>
        <v>5.79</v>
      </c>
      <c r="G101" s="2301">
        <f t="shared" si="31"/>
        <v>5.79</v>
      </c>
      <c r="H101" s="2301">
        <f t="shared" si="31"/>
        <v>5.79</v>
      </c>
      <c r="I101" s="2301">
        <f t="shared" si="31"/>
        <v>5.79</v>
      </c>
      <c r="J101" s="2301">
        <f t="shared" si="31"/>
        <v>5.79</v>
      </c>
      <c r="K101" s="2301">
        <f t="shared" si="31"/>
        <v>5.79</v>
      </c>
      <c r="L101" s="2301">
        <f t="shared" si="31"/>
        <v>5.79</v>
      </c>
      <c r="M101" s="2301">
        <f t="shared" si="31"/>
        <v>5.79</v>
      </c>
      <c r="N101" s="2301">
        <f t="shared" si="31"/>
        <v>5.79</v>
      </c>
    </row>
    <row r="102" spans="1:14">
      <c r="A102" s="3628"/>
      <c r="B102" s="2296">
        <v>1</v>
      </c>
      <c r="C102" s="2297">
        <f>1.9362/C101</f>
        <v>0.33440414507772021</v>
      </c>
      <c r="D102" s="2297">
        <f>1.9362/D101</f>
        <v>0.33440414507772021</v>
      </c>
      <c r="E102" s="2297">
        <f>1.8629/E101</f>
        <v>0.32174438687392054</v>
      </c>
      <c r="F102" s="2297">
        <f>1.8629/F101</f>
        <v>0.32174438687392054</v>
      </c>
      <c r="G102" s="2297">
        <f>1.8629/G101</f>
        <v>0.32174438687392054</v>
      </c>
      <c r="H102" s="2297">
        <f>1.8629/H101</f>
        <v>0.32174438687392054</v>
      </c>
      <c r="I102" s="2297">
        <f>1.8629/I101</f>
        <v>0.32174438687392054</v>
      </c>
      <c r="J102" s="2297">
        <f>1.942/J101</f>
        <v>0.33540587219343693</v>
      </c>
      <c r="K102" s="2297">
        <f>1.942/K101</f>
        <v>0.33540587219343693</v>
      </c>
      <c r="L102" s="2297">
        <f>1.942/L101</f>
        <v>0.33540587219343693</v>
      </c>
      <c r="M102" s="2297">
        <f>1.942/M101</f>
        <v>0.33540587219343693</v>
      </c>
      <c r="N102" s="2297">
        <f>1.942/N101</f>
        <v>0.33540587219343693</v>
      </c>
    </row>
    <row r="103" spans="1:14">
      <c r="A103" s="3628"/>
      <c r="B103" s="2296">
        <v>2</v>
      </c>
      <c r="C103" s="2297">
        <f>1.4198/C101</f>
        <v>0.24521588946459411</v>
      </c>
      <c r="D103" s="2297">
        <f>1.4198/D101</f>
        <v>0.24521588946459411</v>
      </c>
      <c r="E103" s="2297">
        <f>1.3372/E101</f>
        <v>0.23094991364421416</v>
      </c>
      <c r="F103" s="2297">
        <f>1.3372/F101</f>
        <v>0.23094991364421416</v>
      </c>
      <c r="G103" s="2297">
        <f>1.3372/G101</f>
        <v>0.23094991364421416</v>
      </c>
      <c r="H103" s="2297">
        <f>1.3372/H101</f>
        <v>0.23094991364421416</v>
      </c>
      <c r="I103" s="2297">
        <f>1.3372/I101</f>
        <v>0.23094991364421416</v>
      </c>
      <c r="J103" s="2297">
        <f>1.2799/J101</f>
        <v>0.22105354058721935</v>
      </c>
      <c r="K103" s="2297">
        <f>1.2799/K101</f>
        <v>0.22105354058721935</v>
      </c>
      <c r="L103" s="2297">
        <f>1.2799/L101</f>
        <v>0.22105354058721935</v>
      </c>
      <c r="M103" s="2297">
        <f>1.2799/M101</f>
        <v>0.22105354058721935</v>
      </c>
      <c r="N103" s="2297">
        <f>1.2799/N101</f>
        <v>0.22105354058721935</v>
      </c>
    </row>
    <row r="104" spans="1:14">
      <c r="A104" s="3628"/>
      <c r="B104" s="2296">
        <v>3</v>
      </c>
      <c r="C104" s="2297">
        <f>1.1594/C101</f>
        <v>0.20024179620034541</v>
      </c>
      <c r="D104" s="2297">
        <f>1.1594/D101</f>
        <v>0.20024179620034541</v>
      </c>
      <c r="E104" s="2297">
        <f>1.0788/E101</f>
        <v>0.18632124352331605</v>
      </c>
      <c r="F104" s="2297">
        <f>1.0788/F101</f>
        <v>0.18632124352331605</v>
      </c>
      <c r="G104" s="2297">
        <f>1.0788/G101</f>
        <v>0.18632124352331605</v>
      </c>
      <c r="H104" s="2297">
        <f>1.0788/H101</f>
        <v>0.18632124352331605</v>
      </c>
      <c r="I104" s="2297">
        <f>1.0788/I101</f>
        <v>0.18632124352331605</v>
      </c>
      <c r="J104" s="2297">
        <f>1.0072/J101</f>
        <v>0.17395509499136444</v>
      </c>
      <c r="K104" s="2297">
        <f>1.0072/K101</f>
        <v>0.17395509499136444</v>
      </c>
      <c r="L104" s="2297">
        <f>1.0072/L101</f>
        <v>0.17395509499136444</v>
      </c>
      <c r="M104" s="2297">
        <f>1.0072/M101</f>
        <v>0.17395509499136444</v>
      </c>
      <c r="N104" s="2297">
        <f>1.0072/N101</f>
        <v>0.17395509499136444</v>
      </c>
    </row>
    <row r="105" spans="1:14">
      <c r="A105" s="3628"/>
      <c r="B105" s="2296">
        <v>4</v>
      </c>
      <c r="C105" s="2297">
        <f>0.9622/C101</f>
        <v>0.16618307426597584</v>
      </c>
      <c r="D105" s="2297">
        <f>0.9622/D101</f>
        <v>0.16618307426597584</v>
      </c>
      <c r="E105" s="2297">
        <f>0.8656/E101</f>
        <v>0.14949913644214163</v>
      </c>
      <c r="F105" s="2297">
        <f>0.8656/F101</f>
        <v>0.14949913644214163</v>
      </c>
      <c r="G105" s="2297">
        <f>0.8656/G101</f>
        <v>0.14949913644214163</v>
      </c>
      <c r="H105" s="2297">
        <f>0.8656/H101</f>
        <v>0.14949913644214163</v>
      </c>
      <c r="I105" s="2297">
        <f>0.8656/I101</f>
        <v>0.14949913644214163</v>
      </c>
      <c r="J105" s="2297">
        <f>0.7525/J101</f>
        <v>0.12996545768566492</v>
      </c>
      <c r="K105" s="2297">
        <f>0.7525/K101</f>
        <v>0.12996545768566492</v>
      </c>
      <c r="L105" s="2297">
        <f>0.7525/L101</f>
        <v>0.12996545768566492</v>
      </c>
      <c r="M105" s="2297">
        <f>0.7525/M101</f>
        <v>0.12996545768566492</v>
      </c>
      <c r="N105" s="2297">
        <f>0.7525/N101</f>
        <v>0.12996545768566492</v>
      </c>
    </row>
    <row r="106" spans="1:14">
      <c r="A106" s="3628"/>
      <c r="B106" s="2296">
        <v>5</v>
      </c>
      <c r="C106" s="2297">
        <f>0.8417/C101</f>
        <v>0.1453713298791019</v>
      </c>
      <c r="D106" s="2297">
        <f>0.8417/D101</f>
        <v>0.1453713298791019</v>
      </c>
      <c r="E106" s="2297">
        <f>0.7371/E101</f>
        <v>0.12730569948186529</v>
      </c>
      <c r="F106" s="2297">
        <f>0.7371/F101</f>
        <v>0.12730569948186529</v>
      </c>
      <c r="G106" s="2297">
        <f>0.7371/G101</f>
        <v>0.12730569948186529</v>
      </c>
      <c r="H106" s="2297">
        <f>0.7371/H101</f>
        <v>0.12730569948186529</v>
      </c>
      <c r="I106" s="2297">
        <f>0.7371/I101</f>
        <v>0.12730569948186529</v>
      </c>
      <c r="J106" s="2297">
        <f>0.5659/J101</f>
        <v>9.7737478411053527E-2</v>
      </c>
      <c r="K106" s="2297">
        <f>0.5659/K101</f>
        <v>9.7737478411053527E-2</v>
      </c>
      <c r="L106" s="2297">
        <f>0.5659/L101</f>
        <v>9.7737478411053527E-2</v>
      </c>
      <c r="M106" s="2297">
        <f>0.5659/M101</f>
        <v>9.7737478411053527E-2</v>
      </c>
      <c r="N106" s="2297">
        <f>0.5659/N101</f>
        <v>9.7737478411053527E-2</v>
      </c>
    </row>
    <row r="107" spans="1:14">
      <c r="A107" s="3628"/>
      <c r="B107" s="2296">
        <v>6</v>
      </c>
      <c r="C107" s="2297">
        <f>0.7608/C101</f>
        <v>0.13139896373056995</v>
      </c>
      <c r="D107" s="2297">
        <f>0.7608/D101</f>
        <v>0.13139896373056995</v>
      </c>
      <c r="E107" s="2297">
        <f>0.6482/E101</f>
        <v>0.11195164075993091</v>
      </c>
      <c r="F107" s="2297">
        <f>0.6482/F101</f>
        <v>0.11195164075993091</v>
      </c>
      <c r="G107" s="2297">
        <f>0.6482/G101</f>
        <v>0.11195164075993091</v>
      </c>
      <c r="H107" s="2297">
        <f>0.6482/H101</f>
        <v>0.11195164075993091</v>
      </c>
      <c r="I107" s="2297">
        <f>0.6482/I101</f>
        <v>0.11195164075993091</v>
      </c>
      <c r="J107" s="2297">
        <f>0.4525/J101</f>
        <v>7.8151986183074271E-2</v>
      </c>
      <c r="K107" s="2297">
        <f>0.4525/K101</f>
        <v>7.8151986183074271E-2</v>
      </c>
      <c r="L107" s="2297">
        <f>0.4525/L101</f>
        <v>7.8151986183074271E-2</v>
      </c>
      <c r="M107" s="2297">
        <f>0.4525/M101</f>
        <v>7.8151986183074271E-2</v>
      </c>
      <c r="N107" s="2297">
        <f>0.4525/N101</f>
        <v>7.8151986183074271E-2</v>
      </c>
    </row>
    <row r="108" spans="1:14">
      <c r="A108" s="3628"/>
      <c r="B108" s="3630"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29"/>
      <c r="B109" s="3631"/>
      <c r="C109" s="2299">
        <f>(-0.163*(C108^2)-0.59*C108+7617)*(10^(-4))/C101</f>
        <v>0.13155440414507771</v>
      </c>
      <c r="D109" s="2299">
        <f>(-0.163*(D108^2)-0.59*D108+7617)*(10^(-4))/D101</f>
        <v>0.13155440414507771</v>
      </c>
      <c r="E109" s="2299">
        <f>(-0.161*(E108^2)-7.509*E108+6533)*(10^(-4))/E101</f>
        <v>0.11283246977547495</v>
      </c>
      <c r="F109" s="2299">
        <f>(-0.161*(F108^2)-7.509*F108+6533)*(10^(-4))/F101</f>
        <v>0.11283246977547495</v>
      </c>
      <c r="G109" s="2299">
        <f>(-0.161*(G108^2)-7.509*G108+6533)*(10^(-4))/G101</f>
        <v>0.11283246977547495</v>
      </c>
      <c r="H109" s="2299">
        <f>(-0.161*(H108^2)-7.509*H108+6533)*(10^(-4))/H101</f>
        <v>0.11283246977547495</v>
      </c>
      <c r="I109" s="2299">
        <f>(-0.161*(I108^2)-7.509*I108+6533)*(10^(-4))/I101</f>
        <v>0.11283246977547495</v>
      </c>
      <c r="J109" s="2299">
        <f>(-0.214*(J108^2)-21.991*J108+4665)*(10^(-4))/J101</f>
        <v>8.0569948186528503E-2</v>
      </c>
      <c r="K109" s="2299">
        <f>(-0.214*(K108^2)-21.991*K108+4665)*(10^(-4))/K101</f>
        <v>8.0569948186528503E-2</v>
      </c>
      <c r="L109" s="2299">
        <f>(-0.214*(L108^2)-21.991*L108+4665)*(10^(-4))/L101</f>
        <v>8.0569948186528503E-2</v>
      </c>
      <c r="M109" s="2299">
        <f>(-0.214*(M108^2)-21.991*M108+4665)*(10^(-4))/M101</f>
        <v>8.0569948186528503E-2</v>
      </c>
      <c r="N109" s="2299">
        <f>(-0.214*(N108^2)-21.991*N108+4665)*(10^(-4))/N101</f>
        <v>8.0569948186528503E-2</v>
      </c>
    </row>
    <row r="110" spans="1:14">
      <c r="A110" s="3625" t="s">
        <v>2558</v>
      </c>
      <c r="B110" s="3625"/>
      <c r="C110" s="3625"/>
      <c r="D110" s="3625"/>
      <c r="E110" s="3625"/>
      <c r="F110" s="3625"/>
      <c r="G110" s="3625"/>
      <c r="H110" s="3625"/>
      <c r="I110" s="3625"/>
      <c r="J110" s="3625"/>
      <c r="K110" s="2302"/>
      <c r="L110" s="2302"/>
      <c r="M110" s="2302"/>
      <c r="N110" s="2302"/>
    </row>
    <row r="112" spans="1:14" ht="13.5" thickBot="1"/>
    <row r="113" spans="1:13" ht="25.5" thickBot="1">
      <c r="A113" s="824" t="s">
        <v>2559</v>
      </c>
      <c r="B113" s="1178">
        <f>G3</f>
        <v>5.79</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0.87909999999999999</v>
      </c>
      <c r="C115" s="831">
        <f>B115</f>
        <v>0.87909999999999999</v>
      </c>
      <c r="D115" s="831">
        <f>ROUND(0.8331-0.0109*B113,4)</f>
        <v>0.77</v>
      </c>
      <c r="E115" s="831">
        <f>D115</f>
        <v>0.77</v>
      </c>
      <c r="F115" s="831">
        <f>E115</f>
        <v>0.77</v>
      </c>
      <c r="G115" s="831">
        <f>F115</f>
        <v>0.77</v>
      </c>
      <c r="H115" s="831">
        <f>G115</f>
        <v>0.77</v>
      </c>
      <c r="I115" s="831">
        <f>ROUND(0.689-0.0155*B113,4)</f>
        <v>0.59930000000000005</v>
      </c>
      <c r="J115" s="831">
        <f t="shared" ref="J115:M118" si="33">I115</f>
        <v>0.59930000000000005</v>
      </c>
      <c r="K115" s="831">
        <f t="shared" si="33"/>
        <v>0.59930000000000005</v>
      </c>
      <c r="L115" s="831">
        <f t="shared" si="33"/>
        <v>0.59930000000000005</v>
      </c>
      <c r="M115" s="832">
        <f t="shared" si="33"/>
        <v>0.59930000000000005</v>
      </c>
    </row>
    <row r="116" spans="1:13">
      <c r="A116" s="830" t="s">
        <v>2459</v>
      </c>
      <c r="B116" s="831">
        <f>ROUND(0.949-0.012*B113,4)</f>
        <v>0.87949999999999995</v>
      </c>
      <c r="C116" s="831">
        <f>B116</f>
        <v>0.87949999999999995</v>
      </c>
      <c r="D116" s="831">
        <f>ROUND(0.8567-0.013*B113,4)</f>
        <v>0.78139999999999998</v>
      </c>
      <c r="E116" s="831">
        <f t="shared" ref="E116:H117" si="34">D116</f>
        <v>0.78139999999999998</v>
      </c>
      <c r="F116" s="831">
        <f t="shared" si="34"/>
        <v>0.78139999999999998</v>
      </c>
      <c r="G116" s="831">
        <f t="shared" si="34"/>
        <v>0.78139999999999998</v>
      </c>
      <c r="H116" s="831">
        <f t="shared" si="34"/>
        <v>0.78139999999999998</v>
      </c>
      <c r="I116" s="831">
        <f>ROUND(0.7694-0.014*B113,4)</f>
        <v>0.68830000000000002</v>
      </c>
      <c r="J116" s="831">
        <f t="shared" si="33"/>
        <v>0.68830000000000002</v>
      </c>
      <c r="K116" s="831">
        <f t="shared" si="33"/>
        <v>0.68830000000000002</v>
      </c>
      <c r="L116" s="831">
        <f t="shared" si="33"/>
        <v>0.68830000000000002</v>
      </c>
      <c r="M116" s="832">
        <f t="shared" si="33"/>
        <v>0.68830000000000002</v>
      </c>
    </row>
    <row r="117" spans="1:13">
      <c r="A117" s="830" t="s">
        <v>2460</v>
      </c>
      <c r="B117" s="831">
        <f>ROUND(0.8808-0.006*B113,4)</f>
        <v>0.84609999999999996</v>
      </c>
      <c r="C117" s="831">
        <f>B117</f>
        <v>0.84609999999999996</v>
      </c>
      <c r="D117" s="831">
        <f>ROUND(0.8748-0.008*B113,4)</f>
        <v>0.82850000000000001</v>
      </c>
      <c r="E117" s="831">
        <f t="shared" si="34"/>
        <v>0.82850000000000001</v>
      </c>
      <c r="F117" s="831">
        <f t="shared" si="34"/>
        <v>0.82850000000000001</v>
      </c>
      <c r="G117" s="831">
        <f t="shared" si="34"/>
        <v>0.82850000000000001</v>
      </c>
      <c r="H117" s="831">
        <f t="shared" si="34"/>
        <v>0.82850000000000001</v>
      </c>
      <c r="I117" s="831">
        <f>ROUND(0.7412-0.0095*B113,4)</f>
        <v>0.68620000000000003</v>
      </c>
      <c r="J117" s="831">
        <f t="shared" si="33"/>
        <v>0.68620000000000003</v>
      </c>
      <c r="K117" s="831">
        <f t="shared" si="33"/>
        <v>0.68620000000000003</v>
      </c>
      <c r="L117" s="831">
        <f t="shared" si="33"/>
        <v>0.68620000000000003</v>
      </c>
      <c r="M117" s="832">
        <f t="shared" si="33"/>
        <v>0.68620000000000003</v>
      </c>
    </row>
    <row r="118" spans="1:13" ht="13.5" thickBot="1">
      <c r="A118" s="670" t="s">
        <v>2461</v>
      </c>
      <c r="B118" s="833">
        <f>ROUND(0.7275-0.01*B113,4)</f>
        <v>0.66959999999999997</v>
      </c>
      <c r="C118" s="833">
        <f>B118</f>
        <v>0.66959999999999997</v>
      </c>
      <c r="D118" s="833">
        <f>ROUND(0.7043-0.012*B113,4)</f>
        <v>0.63480000000000003</v>
      </c>
      <c r="E118" s="833">
        <f>D118</f>
        <v>0.63480000000000003</v>
      </c>
      <c r="F118" s="833">
        <f>E118</f>
        <v>0.63480000000000003</v>
      </c>
      <c r="G118" s="833">
        <f>ROUND(0.6299-0.0122*B113,4)</f>
        <v>0.55930000000000002</v>
      </c>
      <c r="H118" s="833">
        <f>G118</f>
        <v>0.55930000000000002</v>
      </c>
      <c r="I118" s="833">
        <f>ROUND(0.5667-0.0136*B113,4)</f>
        <v>0.48799999999999999</v>
      </c>
      <c r="J118" s="833">
        <f t="shared" si="33"/>
        <v>0.48799999999999999</v>
      </c>
      <c r="K118" s="833">
        <f t="shared" si="33"/>
        <v>0.48799999999999999</v>
      </c>
      <c r="L118" s="833">
        <f t="shared" si="33"/>
        <v>0.48799999999999999</v>
      </c>
      <c r="M118" s="834">
        <f t="shared" si="33"/>
        <v>0.48799999999999999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655" t="s">
        <v>2955</v>
      </c>
      <c r="B20" s="3648" t="s">
        <v>2956</v>
      </c>
      <c r="C20" s="3212" t="s">
        <v>2957</v>
      </c>
      <c r="D20" s="3213"/>
      <c r="E20" s="3214">
        <v>1</v>
      </c>
      <c r="F20" s="3215" t="s">
        <v>2958</v>
      </c>
      <c r="G20" s="807"/>
      <c r="H20" s="801"/>
      <c r="I20" s="801"/>
    </row>
    <row r="21" spans="1:13" s="808" customFormat="1" ht="19.5" customHeight="1">
      <c r="A21" s="3656"/>
      <c r="B21" s="3649"/>
      <c r="C21" s="805" t="s">
        <v>2959</v>
      </c>
      <c r="D21" s="806"/>
      <c r="E21" s="3216">
        <v>1</v>
      </c>
      <c r="F21" s="3215" t="s">
        <v>2960</v>
      </c>
      <c r="G21" s="807"/>
      <c r="H21" s="801"/>
      <c r="I21" s="801"/>
    </row>
    <row r="22" spans="1:13" s="808" customFormat="1" ht="19.5" customHeight="1">
      <c r="A22" s="3656"/>
      <c r="B22" s="3649"/>
      <c r="C22" s="805" t="s">
        <v>2961</v>
      </c>
      <c r="D22" s="806"/>
      <c r="E22" s="3216">
        <v>0.9</v>
      </c>
      <c r="F22" s="3215" t="s">
        <v>2962</v>
      </c>
      <c r="G22" s="807"/>
      <c r="H22" s="801"/>
      <c r="I22" s="801"/>
    </row>
    <row r="23" spans="1:13" s="808" customFormat="1" ht="19.5" customHeight="1">
      <c r="A23" s="3656"/>
      <c r="B23" s="3649"/>
      <c r="C23" s="805" t="s">
        <v>2963</v>
      </c>
      <c r="D23" s="806"/>
      <c r="E23" s="3216">
        <v>0.9</v>
      </c>
      <c r="F23" s="3215" t="s">
        <v>2964</v>
      </c>
      <c r="G23" s="807"/>
      <c r="H23" s="801"/>
      <c r="I23" s="801"/>
    </row>
    <row r="24" spans="1:13" s="808" customFormat="1" ht="19.5" customHeight="1">
      <c r="A24" s="3656"/>
      <c r="B24" s="3649"/>
      <c r="C24" s="805" t="s">
        <v>2965</v>
      </c>
      <c r="D24" s="806"/>
      <c r="E24" s="3216">
        <v>0.8</v>
      </c>
      <c r="F24" s="3215" t="s">
        <v>2966</v>
      </c>
      <c r="G24" s="807"/>
      <c r="H24" s="801"/>
      <c r="I24" s="801"/>
    </row>
    <row r="25" spans="1:13" s="808" customFormat="1" ht="19.5" customHeight="1" thickBot="1">
      <c r="A25" s="3657"/>
      <c r="B25" s="3650"/>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651" t="s">
        <v>2972</v>
      </c>
      <c r="B27" s="3648" t="s">
        <v>2972</v>
      </c>
      <c r="C27" s="3212" t="s">
        <v>2973</v>
      </c>
      <c r="D27" s="3213"/>
      <c r="E27" s="3214">
        <v>1</v>
      </c>
      <c r="F27" s="3215" t="s">
        <v>2974</v>
      </c>
      <c r="G27" s="807"/>
      <c r="H27" s="801"/>
      <c r="I27" s="801"/>
    </row>
    <row r="28" spans="1:13" s="808" customFormat="1" ht="19.5" customHeight="1">
      <c r="A28" s="3652"/>
      <c r="B28" s="3649"/>
      <c r="C28" s="805" t="s">
        <v>2975</v>
      </c>
      <c r="D28" s="806"/>
      <c r="E28" s="3216">
        <v>1</v>
      </c>
      <c r="F28" s="3215" t="s">
        <v>2976</v>
      </c>
      <c r="G28" s="807"/>
      <c r="H28" s="801"/>
      <c r="I28" s="801"/>
    </row>
    <row r="29" spans="1:13" s="808" customFormat="1" ht="19.5" customHeight="1">
      <c r="A29" s="3652"/>
      <c r="B29" s="3649"/>
      <c r="C29" s="805" t="s">
        <v>2977</v>
      </c>
      <c r="D29" s="806"/>
      <c r="E29" s="3216">
        <v>0.8</v>
      </c>
      <c r="F29" s="3215" t="s">
        <v>2978</v>
      </c>
      <c r="G29" s="807"/>
      <c r="H29" s="801"/>
      <c r="I29" s="801"/>
    </row>
    <row r="30" spans="1:13" s="808" customFormat="1" ht="19.5" customHeight="1">
      <c r="A30" s="3652"/>
      <c r="B30" s="3649"/>
      <c r="C30" s="805" t="s">
        <v>2979</v>
      </c>
      <c r="D30" s="806"/>
      <c r="E30" s="3216">
        <v>0.8</v>
      </c>
      <c r="F30" s="3215" t="s">
        <v>2980</v>
      </c>
      <c r="G30" s="807"/>
      <c r="H30" s="801"/>
      <c r="I30" s="801"/>
    </row>
    <row r="31" spans="1:13" s="808" customFormat="1" ht="19.5" customHeight="1">
      <c r="A31" s="3652"/>
      <c r="B31" s="3649"/>
      <c r="C31" s="805" t="s">
        <v>2981</v>
      </c>
      <c r="D31" s="806"/>
      <c r="E31" s="3216">
        <v>0.8</v>
      </c>
      <c r="F31" s="3215" t="s">
        <v>2982</v>
      </c>
      <c r="G31" s="807"/>
      <c r="H31" s="801"/>
      <c r="I31" s="801"/>
    </row>
    <row r="32" spans="1:13" s="808" customFormat="1" ht="19.5" customHeight="1">
      <c r="A32" s="3652"/>
      <c r="B32" s="3649"/>
      <c r="C32" s="805" t="s">
        <v>2983</v>
      </c>
      <c r="D32" s="806"/>
      <c r="E32" s="3216">
        <v>0.7</v>
      </c>
      <c r="F32" s="3215" t="s">
        <v>2984</v>
      </c>
      <c r="G32" s="807"/>
      <c r="H32" s="801"/>
      <c r="I32" s="801"/>
    </row>
    <row r="33" spans="1:9" s="808" customFormat="1" ht="19.5" customHeight="1">
      <c r="A33" s="3652"/>
      <c r="B33" s="3649"/>
      <c r="C33" s="805" t="s">
        <v>2985</v>
      </c>
      <c r="D33" s="806"/>
      <c r="E33" s="3216">
        <v>0.8</v>
      </c>
      <c r="F33" s="3215" t="s">
        <v>2986</v>
      </c>
      <c r="G33" s="807"/>
      <c r="H33" s="801"/>
      <c r="I33" s="801"/>
    </row>
    <row r="34" spans="1:9" s="808" customFormat="1" ht="19.5" customHeight="1">
      <c r="A34" s="3652"/>
      <c r="B34" s="3649"/>
      <c r="C34" s="805" t="s">
        <v>2987</v>
      </c>
      <c r="D34" s="806"/>
      <c r="E34" s="3216">
        <v>0.6</v>
      </c>
      <c r="F34" s="3215" t="s">
        <v>2988</v>
      </c>
      <c r="G34" s="807"/>
      <c r="H34" s="801"/>
      <c r="I34" s="801"/>
    </row>
    <row r="35" spans="1:9" s="808" customFormat="1" ht="19.5" customHeight="1">
      <c r="A35" s="3652"/>
      <c r="B35" s="3649"/>
      <c r="C35" s="805" t="s">
        <v>2989</v>
      </c>
      <c r="D35" s="806"/>
      <c r="E35" s="3216">
        <v>0.2</v>
      </c>
      <c r="F35" s="3215" t="s">
        <v>2990</v>
      </c>
      <c r="G35" s="807"/>
      <c r="H35" s="801"/>
      <c r="I35" s="801"/>
    </row>
    <row r="36" spans="1:9" s="808" customFormat="1" ht="19.5" customHeight="1">
      <c r="A36" s="3652"/>
      <c r="B36" s="3649"/>
      <c r="C36" s="805" t="s">
        <v>2991</v>
      </c>
      <c r="D36" s="806"/>
      <c r="E36" s="3216">
        <v>0.2</v>
      </c>
      <c r="F36" s="3215" t="s">
        <v>2992</v>
      </c>
      <c r="G36" s="807"/>
      <c r="H36" s="801"/>
      <c r="I36" s="801"/>
    </row>
    <row r="37" spans="1:9" s="808" customFormat="1" ht="19.5" customHeight="1">
      <c r="A37" s="3652"/>
      <c r="B37" s="3654" t="s">
        <v>2993</v>
      </c>
      <c r="C37" s="805" t="s">
        <v>2994</v>
      </c>
      <c r="D37" s="806"/>
      <c r="E37" s="3216">
        <v>0.6</v>
      </c>
      <c r="F37" s="3215" t="s">
        <v>2995</v>
      </c>
      <c r="G37" s="807"/>
      <c r="H37" s="801"/>
      <c r="I37" s="801"/>
    </row>
    <row r="38" spans="1:9" s="808" customFormat="1" ht="19.5" customHeight="1">
      <c r="A38" s="3652"/>
      <c r="B38" s="3649"/>
      <c r="C38" s="805" t="s">
        <v>2996</v>
      </c>
      <c r="D38" s="806"/>
      <c r="E38" s="3216">
        <v>0.6</v>
      </c>
      <c r="F38" s="3215" t="s">
        <v>2997</v>
      </c>
      <c r="G38" s="807"/>
      <c r="H38" s="801"/>
      <c r="I38" s="801"/>
    </row>
    <row r="39" spans="1:9" s="808" customFormat="1" ht="19.5" customHeight="1" thickBot="1">
      <c r="A39" s="3653"/>
      <c r="B39" s="3650"/>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655" t="s">
        <v>3003</v>
      </c>
      <c r="B41" s="3648" t="s">
        <v>3004</v>
      </c>
      <c r="C41" s="3212" t="s">
        <v>3005</v>
      </c>
      <c r="D41" s="3213"/>
      <c r="E41" s="3214">
        <v>1</v>
      </c>
      <c r="F41" s="3215" t="s">
        <v>3006</v>
      </c>
      <c r="G41" s="807"/>
      <c r="H41" s="801"/>
      <c r="I41" s="801"/>
    </row>
    <row r="42" spans="1:9" s="808" customFormat="1" ht="19.5" customHeight="1">
      <c r="A42" s="3656"/>
      <c r="B42" s="3649"/>
      <c r="C42" s="805" t="s">
        <v>3007</v>
      </c>
      <c r="D42" s="806"/>
      <c r="E42" s="3216">
        <v>1</v>
      </c>
      <c r="F42" s="3215" t="s">
        <v>3008</v>
      </c>
      <c r="G42" s="807"/>
      <c r="H42" s="801"/>
      <c r="I42" s="801"/>
    </row>
    <row r="43" spans="1:9" s="808" customFormat="1" ht="19.5" customHeight="1">
      <c r="A43" s="3656"/>
      <c r="B43" s="3658"/>
      <c r="C43" s="805" t="s">
        <v>3009</v>
      </c>
      <c r="D43" s="806"/>
      <c r="E43" s="3216">
        <v>1.5</v>
      </c>
      <c r="F43" s="3215" t="s">
        <v>3010</v>
      </c>
      <c r="G43" s="807"/>
      <c r="H43" s="801"/>
      <c r="I43" s="801"/>
    </row>
    <row r="44" spans="1:9" s="808" customFormat="1" ht="19.5" customHeight="1">
      <c r="A44" s="3656"/>
      <c r="B44" s="3225" t="s">
        <v>2972</v>
      </c>
      <c r="C44" s="805" t="s">
        <v>3011</v>
      </c>
      <c r="D44" s="806"/>
      <c r="E44" s="3216">
        <v>2</v>
      </c>
      <c r="F44" s="3215" t="s">
        <v>3012</v>
      </c>
      <c r="G44" s="807"/>
      <c r="H44" s="801"/>
      <c r="I44" s="801"/>
    </row>
    <row r="45" spans="1:9" s="808" customFormat="1" ht="19.5" customHeight="1">
      <c r="A45" s="3656"/>
      <c r="B45" s="3654" t="s">
        <v>3013</v>
      </c>
      <c r="C45" s="805" t="s">
        <v>3014</v>
      </c>
      <c r="D45" s="806"/>
      <c r="E45" s="3216">
        <v>1</v>
      </c>
      <c r="F45" s="3215" t="s">
        <v>3015</v>
      </c>
      <c r="G45" s="807"/>
      <c r="H45" s="801"/>
      <c r="I45" s="801"/>
    </row>
    <row r="46" spans="1:9" s="808" customFormat="1" ht="19.5" customHeight="1">
      <c r="A46" s="3656"/>
      <c r="B46" s="3649"/>
      <c r="C46" s="805" t="s">
        <v>3016</v>
      </c>
      <c r="D46" s="806"/>
      <c r="E46" s="3216">
        <v>1</v>
      </c>
      <c r="F46" s="3215" t="s">
        <v>3017</v>
      </c>
      <c r="G46" s="807"/>
      <c r="H46" s="801"/>
      <c r="I46" s="801"/>
    </row>
    <row r="47" spans="1:9" s="808" customFormat="1" ht="19.5" customHeight="1">
      <c r="A47" s="3656"/>
      <c r="B47" s="3649"/>
      <c r="C47" s="805" t="s">
        <v>3018</v>
      </c>
      <c r="D47" s="806"/>
      <c r="E47" s="3216">
        <v>1</v>
      </c>
      <c r="F47" s="3215" t="s">
        <v>3019</v>
      </c>
      <c r="G47" s="807"/>
      <c r="H47" s="801"/>
      <c r="I47" s="801"/>
    </row>
    <row r="48" spans="1:9" s="808" customFormat="1" ht="19.5" customHeight="1">
      <c r="A48" s="3656"/>
      <c r="B48" s="3649"/>
      <c r="C48" s="805" t="s">
        <v>3020</v>
      </c>
      <c r="D48" s="806"/>
      <c r="E48" s="3216">
        <v>1</v>
      </c>
      <c r="F48" s="3215" t="s">
        <v>3021</v>
      </c>
      <c r="G48" s="807"/>
      <c r="H48" s="801"/>
      <c r="I48" s="801"/>
    </row>
    <row r="49" spans="1:9" s="808" customFormat="1" ht="19.5" customHeight="1">
      <c r="A49" s="3656"/>
      <c r="B49" s="3649"/>
      <c r="C49" s="805" t="s">
        <v>3022</v>
      </c>
      <c r="D49" s="806"/>
      <c r="E49" s="3216">
        <v>1</v>
      </c>
      <c r="F49" s="3215" t="s">
        <v>3023</v>
      </c>
      <c r="G49" s="807"/>
      <c r="H49" s="801"/>
      <c r="I49" s="801"/>
    </row>
    <row r="50" spans="1:9" s="808" customFormat="1" ht="19.5" customHeight="1">
      <c r="A50" s="3656"/>
      <c r="B50" s="3649"/>
      <c r="C50" s="805" t="s">
        <v>3024</v>
      </c>
      <c r="D50" s="806"/>
      <c r="E50" s="3216">
        <v>1</v>
      </c>
      <c r="F50" s="3215" t="s">
        <v>3025</v>
      </c>
      <c r="G50" s="807"/>
      <c r="H50" s="801"/>
      <c r="I50" s="801"/>
    </row>
    <row r="51" spans="1:9" s="808" customFormat="1" ht="19.5" customHeight="1" thickBot="1">
      <c r="A51" s="3657"/>
      <c r="B51" s="3650"/>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654" t="s">
        <v>3029</v>
      </c>
      <c r="C73" s="3205" t="s">
        <v>3030</v>
      </c>
      <c r="D73" s="3205" t="s">
        <v>3031</v>
      </c>
      <c r="E73" s="3226">
        <v>0.2</v>
      </c>
      <c r="F73" s="3225">
        <v>25</v>
      </c>
    </row>
    <row r="74" spans="1:7" s="801" customFormat="1" ht="24">
      <c r="A74" s="3225">
        <v>2</v>
      </c>
      <c r="B74" s="3649"/>
      <c r="C74" s="3205" t="s">
        <v>3032</v>
      </c>
      <c r="D74" s="3205" t="s">
        <v>3033</v>
      </c>
      <c r="E74" s="3226">
        <v>0.2</v>
      </c>
      <c r="F74" s="3225">
        <v>25</v>
      </c>
    </row>
    <row r="75" spans="1:7" s="801" customFormat="1" ht="24">
      <c r="A75" s="3225">
        <v>3</v>
      </c>
      <c r="B75" s="3649"/>
      <c r="C75" s="3205" t="s">
        <v>3034</v>
      </c>
      <c r="D75" s="3205" t="s">
        <v>3035</v>
      </c>
      <c r="E75" s="3226">
        <v>0.2</v>
      </c>
      <c r="F75" s="3225">
        <v>25</v>
      </c>
    </row>
    <row r="76" spans="1:7" s="801" customFormat="1" ht="13.5">
      <c r="A76" s="3225">
        <v>4</v>
      </c>
      <c r="B76" s="3649"/>
      <c r="C76" s="3205" t="s">
        <v>3036</v>
      </c>
      <c r="D76" s="3205" t="s">
        <v>3037</v>
      </c>
      <c r="E76" s="3226">
        <v>0.15</v>
      </c>
      <c r="F76" s="3225">
        <v>20</v>
      </c>
    </row>
    <row r="77" spans="1:7" s="801" customFormat="1" ht="24">
      <c r="A77" s="3225">
        <v>5</v>
      </c>
      <c r="B77" s="3649"/>
      <c r="C77" s="3205" t="s">
        <v>3038</v>
      </c>
      <c r="D77" s="3205" t="s">
        <v>3039</v>
      </c>
      <c r="E77" s="3226">
        <v>0.15</v>
      </c>
      <c r="F77" s="3225">
        <v>20</v>
      </c>
    </row>
    <row r="78" spans="1:7" s="801" customFormat="1" ht="24">
      <c r="A78" s="3225">
        <v>6</v>
      </c>
      <c r="B78" s="3649"/>
      <c r="C78" s="3205" t="s">
        <v>3040</v>
      </c>
      <c r="D78" s="3205" t="s">
        <v>3041</v>
      </c>
      <c r="E78" s="3226">
        <v>0.15</v>
      </c>
      <c r="F78" s="3225">
        <v>20</v>
      </c>
    </row>
    <row r="79" spans="1:7" s="801" customFormat="1" ht="24">
      <c r="A79" s="3225">
        <v>7</v>
      </c>
      <c r="B79" s="3649"/>
      <c r="C79" s="3205" t="s">
        <v>3042</v>
      </c>
      <c r="D79" s="3205" t="s">
        <v>3043</v>
      </c>
      <c r="E79" s="3226">
        <v>0.15</v>
      </c>
      <c r="F79" s="3225">
        <v>20</v>
      </c>
    </row>
    <row r="80" spans="1:7" s="801" customFormat="1" ht="24">
      <c r="A80" s="3225">
        <v>8</v>
      </c>
      <c r="B80" s="3649"/>
      <c r="C80" s="3205" t="s">
        <v>3044</v>
      </c>
      <c r="D80" s="3205" t="s">
        <v>3045</v>
      </c>
      <c r="E80" s="3226">
        <v>0.1</v>
      </c>
      <c r="F80" s="3225">
        <v>15</v>
      </c>
    </row>
    <row r="81" spans="1:6" s="801" customFormat="1" ht="24">
      <c r="A81" s="3225">
        <v>9</v>
      </c>
      <c r="B81" s="3649"/>
      <c r="C81" s="3205" t="s">
        <v>3046</v>
      </c>
      <c r="D81" s="3205" t="s">
        <v>3047</v>
      </c>
      <c r="E81" s="3226">
        <v>0.1</v>
      </c>
      <c r="F81" s="3225">
        <v>15</v>
      </c>
    </row>
    <row r="82" spans="1:6" s="801" customFormat="1" ht="24">
      <c r="A82" s="3225">
        <v>10</v>
      </c>
      <c r="B82" s="3649"/>
      <c r="C82" s="3205" t="s">
        <v>3048</v>
      </c>
      <c r="D82" s="3205" t="s">
        <v>3049</v>
      </c>
      <c r="E82" s="3226">
        <v>0.1</v>
      </c>
      <c r="F82" s="3225">
        <v>15</v>
      </c>
    </row>
    <row r="83" spans="1:6" s="801" customFormat="1" ht="24">
      <c r="A83" s="3225">
        <v>11</v>
      </c>
      <c r="B83" s="3649"/>
      <c r="C83" s="3205" t="s">
        <v>3050</v>
      </c>
      <c r="D83" s="3205" t="s">
        <v>3051</v>
      </c>
      <c r="E83" s="3226">
        <v>0.1</v>
      </c>
      <c r="F83" s="3225">
        <v>15</v>
      </c>
    </row>
    <row r="84" spans="1:6" s="801" customFormat="1" ht="24">
      <c r="A84" s="3225">
        <v>12</v>
      </c>
      <c r="B84" s="3649"/>
      <c r="C84" s="3205" t="s">
        <v>3052</v>
      </c>
      <c r="D84" s="3205" t="s">
        <v>3053</v>
      </c>
      <c r="E84" s="3226">
        <v>0.1</v>
      </c>
      <c r="F84" s="3225">
        <v>15</v>
      </c>
    </row>
    <row r="85" spans="1:6" s="801" customFormat="1" ht="13.5">
      <c r="A85" s="3225">
        <v>13</v>
      </c>
      <c r="B85" s="3649"/>
      <c r="C85" s="3205" t="s">
        <v>3054</v>
      </c>
      <c r="D85" s="3205" t="s">
        <v>3055</v>
      </c>
      <c r="E85" s="3226">
        <v>0.1</v>
      </c>
      <c r="F85" s="3225">
        <v>15</v>
      </c>
    </row>
    <row r="86" spans="1:6" s="801" customFormat="1" ht="13.5">
      <c r="A86" s="3225">
        <v>14</v>
      </c>
      <c r="B86" s="3649"/>
      <c r="C86" s="3205" t="s">
        <v>3056</v>
      </c>
      <c r="D86" s="3205" t="s">
        <v>3057</v>
      </c>
      <c r="E86" s="3226">
        <v>0.1</v>
      </c>
      <c r="F86" s="3225">
        <v>15</v>
      </c>
    </row>
    <row r="87" spans="1:6" s="801" customFormat="1" ht="13.5">
      <c r="A87" s="3225">
        <v>15</v>
      </c>
      <c r="B87" s="3649"/>
      <c r="C87" s="3205" t="s">
        <v>3058</v>
      </c>
      <c r="D87" s="3205" t="s">
        <v>3059</v>
      </c>
      <c r="E87" s="3226">
        <v>0.1</v>
      </c>
      <c r="F87" s="3225">
        <v>15</v>
      </c>
    </row>
    <row r="88" spans="1:6" s="801" customFormat="1" ht="24">
      <c r="A88" s="3225">
        <v>16</v>
      </c>
      <c r="B88" s="3649"/>
      <c r="C88" s="3205" t="s">
        <v>3060</v>
      </c>
      <c r="D88" s="3205" t="s">
        <v>3061</v>
      </c>
      <c r="E88" s="3226">
        <v>0.1</v>
      </c>
      <c r="F88" s="3225">
        <v>15</v>
      </c>
    </row>
    <row r="89" spans="1:6" s="801" customFormat="1" ht="24">
      <c r="A89" s="3225">
        <v>17</v>
      </c>
      <c r="B89" s="3658"/>
      <c r="C89" s="3205" t="s">
        <v>3062</v>
      </c>
      <c r="D89" s="3205" t="s">
        <v>3063</v>
      </c>
      <c r="E89" s="3226">
        <v>0.1</v>
      </c>
      <c r="F89" s="3225">
        <v>15</v>
      </c>
    </row>
    <row r="90" spans="1:6" s="801" customFormat="1" ht="13.5">
      <c r="A90" s="3225">
        <v>18</v>
      </c>
      <c r="B90" s="3654" t="s">
        <v>3064</v>
      </c>
      <c r="C90" s="3205" t="s">
        <v>3065</v>
      </c>
      <c r="D90" s="3205" t="s">
        <v>3066</v>
      </c>
      <c r="E90" s="3226">
        <v>0.2</v>
      </c>
      <c r="F90" s="3225">
        <v>25</v>
      </c>
    </row>
    <row r="91" spans="1:6" s="801" customFormat="1" ht="24">
      <c r="A91" s="3225">
        <v>19</v>
      </c>
      <c r="B91" s="3649"/>
      <c r="C91" s="3205" t="s">
        <v>3067</v>
      </c>
      <c r="D91" s="3205" t="s">
        <v>3068</v>
      </c>
      <c r="E91" s="3226">
        <v>0.2</v>
      </c>
      <c r="F91" s="3225">
        <v>25</v>
      </c>
    </row>
    <row r="92" spans="1:6" s="801" customFormat="1" ht="13.5">
      <c r="A92" s="3225">
        <v>20</v>
      </c>
      <c r="B92" s="3649"/>
      <c r="C92" s="3205" t="s">
        <v>3069</v>
      </c>
      <c r="D92" s="3205" t="s">
        <v>3070</v>
      </c>
      <c r="E92" s="3226">
        <v>0.15</v>
      </c>
      <c r="F92" s="3225">
        <v>20</v>
      </c>
    </row>
    <row r="93" spans="1:6" s="801" customFormat="1" ht="24">
      <c r="A93" s="3225">
        <v>21</v>
      </c>
      <c r="B93" s="3649"/>
      <c r="C93" s="3205" t="s">
        <v>3071</v>
      </c>
      <c r="D93" s="3205" t="s">
        <v>3072</v>
      </c>
      <c r="E93" s="3226">
        <v>0.15</v>
      </c>
      <c r="F93" s="3225">
        <v>20</v>
      </c>
    </row>
    <row r="94" spans="1:6" s="801" customFormat="1" ht="24">
      <c r="A94" s="3225">
        <v>22</v>
      </c>
      <c r="B94" s="3649"/>
      <c r="C94" s="3205" t="s">
        <v>3073</v>
      </c>
      <c r="D94" s="3205" t="s">
        <v>3074</v>
      </c>
      <c r="E94" s="3226">
        <v>0.15</v>
      </c>
      <c r="F94" s="3225">
        <v>20</v>
      </c>
    </row>
    <row r="95" spans="1:6" s="801" customFormat="1" ht="36">
      <c r="A95" s="3225">
        <v>23</v>
      </c>
      <c r="B95" s="3649"/>
      <c r="C95" s="3205" t="s">
        <v>3075</v>
      </c>
      <c r="D95" s="3205" t="s">
        <v>3076</v>
      </c>
      <c r="E95" s="3226">
        <v>0.15</v>
      </c>
      <c r="F95" s="3225">
        <v>20</v>
      </c>
    </row>
    <row r="96" spans="1:6" s="801" customFormat="1" ht="13.5">
      <c r="A96" s="3225">
        <v>24</v>
      </c>
      <c r="B96" s="3649"/>
      <c r="C96" s="3205" t="s">
        <v>3077</v>
      </c>
      <c r="D96" s="3205" t="s">
        <v>3078</v>
      </c>
      <c r="E96" s="3226">
        <v>0.1</v>
      </c>
      <c r="F96" s="3225">
        <v>15</v>
      </c>
    </row>
    <row r="97" spans="1:6" s="801" customFormat="1" ht="24">
      <c r="A97" s="3225">
        <v>25</v>
      </c>
      <c r="B97" s="3649"/>
      <c r="C97" s="3205" t="s">
        <v>3079</v>
      </c>
      <c r="D97" s="3205" t="s">
        <v>3080</v>
      </c>
      <c r="E97" s="3226">
        <v>0.1</v>
      </c>
      <c r="F97" s="3225">
        <v>15</v>
      </c>
    </row>
    <row r="98" spans="1:6" s="801" customFormat="1" ht="24">
      <c r="A98" s="3225">
        <v>26</v>
      </c>
      <c r="B98" s="3649"/>
      <c r="C98" s="3205" t="s">
        <v>3081</v>
      </c>
      <c r="D98" s="3205" t="s">
        <v>3082</v>
      </c>
      <c r="E98" s="3226">
        <v>0.1</v>
      </c>
      <c r="F98" s="3225">
        <v>15</v>
      </c>
    </row>
    <row r="99" spans="1:6" s="801" customFormat="1" ht="24">
      <c r="A99" s="3225">
        <v>27</v>
      </c>
      <c r="B99" s="3649"/>
      <c r="C99" s="3205" t="s">
        <v>3083</v>
      </c>
      <c r="D99" s="3205" t="s">
        <v>3084</v>
      </c>
      <c r="E99" s="3226">
        <v>0.1</v>
      </c>
      <c r="F99" s="3225">
        <v>15</v>
      </c>
    </row>
    <row r="100" spans="1:6" s="801" customFormat="1" ht="24">
      <c r="A100" s="3225">
        <v>28</v>
      </c>
      <c r="B100" s="3649"/>
      <c r="C100" s="3205" t="s">
        <v>3085</v>
      </c>
      <c r="D100" s="3205" t="s">
        <v>3086</v>
      </c>
      <c r="E100" s="3226">
        <v>0.1</v>
      </c>
      <c r="F100" s="3225">
        <v>15</v>
      </c>
    </row>
    <row r="101" spans="1:6" s="801" customFormat="1" ht="24">
      <c r="A101" s="3225">
        <v>29</v>
      </c>
      <c r="B101" s="3649"/>
      <c r="C101" s="3205" t="s">
        <v>3087</v>
      </c>
      <c r="D101" s="3205" t="s">
        <v>3088</v>
      </c>
      <c r="E101" s="3226">
        <v>0.1</v>
      </c>
      <c r="F101" s="3225">
        <v>15</v>
      </c>
    </row>
    <row r="102" spans="1:6" s="801" customFormat="1" ht="24">
      <c r="A102" s="3225">
        <v>30</v>
      </c>
      <c r="B102" s="3649"/>
      <c r="C102" s="3205" t="s">
        <v>3089</v>
      </c>
      <c r="D102" s="3205" t="s">
        <v>3090</v>
      </c>
      <c r="E102" s="3226">
        <v>0.1</v>
      </c>
      <c r="F102" s="3225">
        <v>15</v>
      </c>
    </row>
    <row r="103" spans="1:6" s="801" customFormat="1" ht="24">
      <c r="A103" s="3225">
        <v>31</v>
      </c>
      <c r="B103" s="3649"/>
      <c r="C103" s="3205" t="s">
        <v>3091</v>
      </c>
      <c r="D103" s="3205" t="s">
        <v>3092</v>
      </c>
      <c r="E103" s="3226">
        <v>0.1</v>
      </c>
      <c r="F103" s="3225">
        <v>15</v>
      </c>
    </row>
    <row r="104" spans="1:6" s="801" customFormat="1" ht="24">
      <c r="A104" s="3225">
        <v>32</v>
      </c>
      <c r="B104" s="3649"/>
      <c r="C104" s="3205" t="s">
        <v>3093</v>
      </c>
      <c r="D104" s="3205" t="s">
        <v>3094</v>
      </c>
      <c r="E104" s="3226">
        <v>0.1</v>
      </c>
      <c r="F104" s="3225">
        <v>15</v>
      </c>
    </row>
    <row r="105" spans="1:6" s="801" customFormat="1" ht="24">
      <c r="A105" s="3225">
        <v>33</v>
      </c>
      <c r="B105" s="3649"/>
      <c r="C105" s="3205" t="s">
        <v>3095</v>
      </c>
      <c r="D105" s="3205" t="s">
        <v>3096</v>
      </c>
      <c r="E105" s="3226">
        <v>0.1</v>
      </c>
      <c r="F105" s="3225">
        <v>15</v>
      </c>
    </row>
    <row r="106" spans="1:6" s="801" customFormat="1" ht="24">
      <c r="A106" s="3225">
        <v>34</v>
      </c>
      <c r="B106" s="3658"/>
      <c r="C106" s="3205" t="s">
        <v>3097</v>
      </c>
      <c r="D106" s="3205" t="s">
        <v>3098</v>
      </c>
      <c r="E106" s="3226">
        <v>0.1</v>
      </c>
      <c r="F106" s="3225">
        <v>15</v>
      </c>
    </row>
    <row r="107" spans="1:6" s="801" customFormat="1" ht="24">
      <c r="A107" s="3225">
        <v>35</v>
      </c>
      <c r="B107" s="3654" t="s">
        <v>3099</v>
      </c>
      <c r="C107" s="3225" t="s">
        <v>3100</v>
      </c>
      <c r="D107" s="3205" t="s">
        <v>3101</v>
      </c>
      <c r="E107" s="3226">
        <v>0.15</v>
      </c>
      <c r="F107" s="3225">
        <v>20</v>
      </c>
    </row>
    <row r="108" spans="1:6" s="801" customFormat="1" ht="24">
      <c r="A108" s="3225">
        <v>36</v>
      </c>
      <c r="B108" s="3649"/>
      <c r="C108" s="3225" t="s">
        <v>3102</v>
      </c>
      <c r="D108" s="3205" t="s">
        <v>3103</v>
      </c>
      <c r="E108" s="3226">
        <v>0.15</v>
      </c>
      <c r="F108" s="3225">
        <v>20</v>
      </c>
    </row>
    <row r="109" spans="1:6" s="801" customFormat="1" ht="24">
      <c r="A109" s="3225">
        <v>37</v>
      </c>
      <c r="B109" s="3649"/>
      <c r="C109" s="3225" t="s">
        <v>3104</v>
      </c>
      <c r="D109" s="3205" t="s">
        <v>3105</v>
      </c>
      <c r="E109" s="3226">
        <v>0.15</v>
      </c>
      <c r="F109" s="3225">
        <v>20</v>
      </c>
    </row>
    <row r="110" spans="1:6" s="801" customFormat="1" ht="13.5">
      <c r="A110" s="3225">
        <v>38</v>
      </c>
      <c r="B110" s="3649"/>
      <c r="C110" s="3225" t="s">
        <v>3106</v>
      </c>
      <c r="D110" s="3205" t="s">
        <v>3107</v>
      </c>
      <c r="E110" s="3226">
        <v>0.1</v>
      </c>
      <c r="F110" s="3225">
        <v>15</v>
      </c>
    </row>
    <row r="111" spans="1:6" s="801" customFormat="1" ht="24">
      <c r="A111" s="3225">
        <v>39</v>
      </c>
      <c r="B111" s="3649"/>
      <c r="C111" s="3225" t="s">
        <v>3108</v>
      </c>
      <c r="D111" s="3205" t="s">
        <v>3109</v>
      </c>
      <c r="E111" s="3226">
        <v>0.1</v>
      </c>
      <c r="F111" s="3225">
        <v>15</v>
      </c>
    </row>
    <row r="112" spans="1:6" s="801" customFormat="1" ht="24">
      <c r="A112" s="3225">
        <v>40</v>
      </c>
      <c r="B112" s="3658"/>
      <c r="C112" s="3225" t="s">
        <v>3110</v>
      </c>
      <c r="D112" s="3205" t="s">
        <v>3111</v>
      </c>
      <c r="E112" s="3226">
        <v>0.1</v>
      </c>
      <c r="F112" s="3225">
        <v>15</v>
      </c>
    </row>
    <row r="113" spans="1:6" s="801" customFormat="1" ht="24">
      <c r="A113" s="3225">
        <v>41</v>
      </c>
      <c r="B113" s="3659" t="s">
        <v>3112</v>
      </c>
      <c r="C113" s="3225" t="s">
        <v>3113</v>
      </c>
      <c r="D113" s="3205" t="s">
        <v>3114</v>
      </c>
      <c r="E113" s="3226">
        <v>0.1</v>
      </c>
      <c r="F113" s="3225">
        <v>15</v>
      </c>
    </row>
    <row r="114" spans="1:6" s="801" customFormat="1" ht="13.5">
      <c r="A114" s="3225">
        <v>42</v>
      </c>
      <c r="B114" s="3659"/>
      <c r="C114" s="3225" t="s">
        <v>3115</v>
      </c>
      <c r="D114" s="3205" t="s">
        <v>3116</v>
      </c>
      <c r="E114" s="3226">
        <v>0.1</v>
      </c>
      <c r="F114" s="3225">
        <v>15</v>
      </c>
    </row>
    <row r="115" spans="1:6" s="801" customFormat="1" ht="24">
      <c r="A115" s="3225">
        <v>43</v>
      </c>
      <c r="B115" s="3659"/>
      <c r="C115" s="3225" t="s">
        <v>3117</v>
      </c>
      <c r="D115" s="3205" t="s">
        <v>3118</v>
      </c>
      <c r="E115" s="3226">
        <v>0.1</v>
      </c>
      <c r="F115" s="3225">
        <v>15</v>
      </c>
    </row>
    <row r="116" spans="1:6" s="801" customFormat="1" ht="24">
      <c r="A116" s="3225">
        <v>44</v>
      </c>
      <c r="B116" s="3654" t="s">
        <v>3119</v>
      </c>
      <c r="C116" s="3225" t="s">
        <v>3120</v>
      </c>
      <c r="D116" s="3205" t="s">
        <v>3121</v>
      </c>
      <c r="E116" s="3226">
        <v>0.1</v>
      </c>
      <c r="F116" s="3225">
        <v>15</v>
      </c>
    </row>
    <row r="117" spans="1:6" s="801" customFormat="1" ht="24">
      <c r="A117" s="3225">
        <v>45</v>
      </c>
      <c r="B117" s="3658"/>
      <c r="C117" s="3205" t="s">
        <v>3122</v>
      </c>
      <c r="D117" s="3205" t="s">
        <v>3123</v>
      </c>
      <c r="E117" s="3226">
        <v>0.1</v>
      </c>
      <c r="F117" s="3225">
        <v>15</v>
      </c>
    </row>
    <row r="118" spans="1:6" s="801" customFormat="1" ht="24">
      <c r="A118" s="3225">
        <v>46</v>
      </c>
      <c r="B118" s="3654" t="s">
        <v>3124</v>
      </c>
      <c r="C118" s="3225" t="s">
        <v>3125</v>
      </c>
      <c r="D118" s="3205" t="s">
        <v>3126</v>
      </c>
      <c r="E118" s="3226">
        <v>0.1</v>
      </c>
      <c r="F118" s="3225">
        <v>15</v>
      </c>
    </row>
    <row r="119" spans="1:6" s="801" customFormat="1" ht="24">
      <c r="A119" s="3225">
        <v>47</v>
      </c>
      <c r="B119" s="3658"/>
      <c r="C119" s="3225" t="s">
        <v>3127</v>
      </c>
      <c r="D119" s="3205" t="s">
        <v>3128</v>
      </c>
      <c r="E119" s="3226">
        <v>0.1</v>
      </c>
      <c r="F119" s="3225">
        <v>15</v>
      </c>
    </row>
    <row r="120" spans="1:6" s="801" customFormat="1" ht="24">
      <c r="A120" s="3225">
        <v>48</v>
      </c>
      <c r="B120" s="3654" t="s">
        <v>3129</v>
      </c>
      <c r="C120" s="3225" t="s">
        <v>3130</v>
      </c>
      <c r="D120" s="3205" t="s">
        <v>3131</v>
      </c>
      <c r="E120" s="3226">
        <v>0.1</v>
      </c>
      <c r="F120" s="3225">
        <v>15</v>
      </c>
    </row>
    <row r="121" spans="1:6" s="801" customFormat="1" ht="13.5">
      <c r="A121" s="3225">
        <v>49</v>
      </c>
      <c r="B121" s="3658"/>
      <c r="C121" s="3225" t="s">
        <v>3132</v>
      </c>
      <c r="D121" s="3205" t="s">
        <v>3133</v>
      </c>
      <c r="E121" s="3226">
        <v>0.1</v>
      </c>
      <c r="F121" s="3225">
        <v>15</v>
      </c>
    </row>
    <row r="122" spans="1:6" s="801" customFormat="1" ht="24">
      <c r="A122" s="3225">
        <v>50</v>
      </c>
      <c r="B122" s="3659" t="s">
        <v>3134</v>
      </c>
      <c r="C122" s="3225" t="s">
        <v>3135</v>
      </c>
      <c r="D122" s="3205" t="s">
        <v>3136</v>
      </c>
      <c r="E122" s="3226">
        <v>0.1</v>
      </c>
      <c r="F122" s="3225">
        <v>15</v>
      </c>
    </row>
    <row r="123" spans="1:6" s="801" customFormat="1" ht="24">
      <c r="A123" s="3225">
        <v>51</v>
      </c>
      <c r="B123" s="3659"/>
      <c r="C123" s="3225" t="s">
        <v>3137</v>
      </c>
      <c r="D123" s="3205" t="s">
        <v>3138</v>
      </c>
      <c r="E123" s="3226">
        <v>0.1</v>
      </c>
      <c r="F123" s="3225">
        <v>15</v>
      </c>
    </row>
    <row r="124" spans="1:6" s="801" customFormat="1" ht="24">
      <c r="A124" s="3225">
        <v>52</v>
      </c>
      <c r="B124" s="3659" t="s">
        <v>3139</v>
      </c>
      <c r="C124" s="3225" t="s">
        <v>3140</v>
      </c>
      <c r="D124" s="3205" t="s">
        <v>3141</v>
      </c>
      <c r="E124" s="3226">
        <v>0.1</v>
      </c>
      <c r="F124" s="3225">
        <v>15</v>
      </c>
    </row>
    <row r="125" spans="1:6" s="801" customFormat="1" ht="24">
      <c r="A125" s="3225">
        <v>53</v>
      </c>
      <c r="B125" s="3659"/>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659" t="s">
        <v>3147</v>
      </c>
      <c r="C127" s="3225" t="s">
        <v>3148</v>
      </c>
      <c r="D127" s="3205" t="s">
        <v>3149</v>
      </c>
      <c r="E127" s="3226">
        <v>0.1</v>
      </c>
      <c r="F127" s="3225">
        <v>15</v>
      </c>
    </row>
    <row r="128" spans="1:6" ht="13.5">
      <c r="A128" s="3225">
        <v>56</v>
      </c>
      <c r="B128" s="3659"/>
      <c r="C128" s="3225" t="s">
        <v>3150</v>
      </c>
      <c r="D128" s="3205" t="s">
        <v>3151</v>
      </c>
      <c r="E128" s="3226">
        <v>0.1</v>
      </c>
      <c r="F128" s="3225">
        <v>15</v>
      </c>
    </row>
    <row r="129" spans="1:6" ht="24">
      <c r="A129" s="3225">
        <v>57</v>
      </c>
      <c r="B129" s="3659"/>
      <c r="C129" s="3225" t="s">
        <v>3152</v>
      </c>
      <c r="D129" s="3205" t="s">
        <v>3153</v>
      </c>
      <c r="E129" s="3226">
        <v>0.1</v>
      </c>
      <c r="F129" s="3225">
        <v>15</v>
      </c>
    </row>
    <row r="130" spans="1:6" ht="24">
      <c r="A130" s="3225">
        <v>58</v>
      </c>
      <c r="B130" s="3659" t="s">
        <v>3154</v>
      </c>
      <c r="C130" s="3225" t="s">
        <v>3155</v>
      </c>
      <c r="D130" s="3205" t="s">
        <v>3156</v>
      </c>
      <c r="E130" s="3226">
        <v>0.1</v>
      </c>
      <c r="F130" s="3225">
        <v>15</v>
      </c>
    </row>
    <row r="131" spans="1:6" ht="24">
      <c r="A131" s="3225">
        <v>59</v>
      </c>
      <c r="B131" s="3659"/>
      <c r="C131" s="3225" t="s">
        <v>3157</v>
      </c>
      <c r="D131" s="3205" t="s">
        <v>3158</v>
      </c>
      <c r="E131" s="3226">
        <v>0.1</v>
      </c>
      <c r="F131" s="3225">
        <v>15</v>
      </c>
    </row>
    <row r="132" spans="1:6" ht="24">
      <c r="A132" s="3225">
        <v>60</v>
      </c>
      <c r="B132" s="3654" t="s">
        <v>3159</v>
      </c>
      <c r="C132" s="3225" t="s">
        <v>3160</v>
      </c>
      <c r="D132" s="3205" t="s">
        <v>3161</v>
      </c>
      <c r="E132" s="3226">
        <v>0.1</v>
      </c>
      <c r="F132" s="3225">
        <v>15</v>
      </c>
    </row>
    <row r="133" spans="1:6" ht="24">
      <c r="A133" s="3225">
        <v>61</v>
      </c>
      <c r="B133" s="3658"/>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659" t="s">
        <v>3167</v>
      </c>
      <c r="C135" s="3225" t="s">
        <v>3168</v>
      </c>
      <c r="D135" s="3205" t="s">
        <v>3169</v>
      </c>
      <c r="E135" s="3226">
        <v>0.1</v>
      </c>
      <c r="F135" s="3225">
        <v>15</v>
      </c>
    </row>
    <row r="136" spans="1:6" ht="13.5">
      <c r="A136" s="3225">
        <v>64</v>
      </c>
      <c r="B136" s="3659"/>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65" t="s">
        <v>877</v>
      </c>
      <c r="C1" s="3665"/>
      <c r="D1" s="3665"/>
      <c r="E1" s="3665"/>
      <c r="F1" s="3665"/>
      <c r="G1" s="3661" t="s">
        <v>878</v>
      </c>
      <c r="H1" s="3661"/>
      <c r="I1" s="3661"/>
      <c r="J1" s="3661"/>
      <c r="K1" s="3661"/>
      <c r="L1" s="3661"/>
      <c r="N1" s="3661" t="s">
        <v>879</v>
      </c>
      <c r="O1" s="3661"/>
      <c r="P1" s="3661"/>
      <c r="Q1" s="3661"/>
      <c r="S1" s="3661" t="s">
        <v>880</v>
      </c>
      <c r="T1" s="3661"/>
      <c r="U1" s="3661"/>
      <c r="V1" s="3661"/>
      <c r="X1" s="3660" t="s">
        <v>881</v>
      </c>
      <c r="Y1" s="3661"/>
      <c r="Z1" s="3661"/>
      <c r="AA1" s="3661"/>
      <c r="AB1" s="3661"/>
      <c r="AD1" s="3660" t="s">
        <v>882</v>
      </c>
      <c r="AE1" s="3661"/>
      <c r="AF1" s="3661"/>
      <c r="AG1" s="3661"/>
      <c r="AH1" s="366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6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6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6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7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6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6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6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7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6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6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6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6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6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6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6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6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6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6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6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6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6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6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6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6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6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6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6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6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6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6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6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6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6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6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6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6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6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6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6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6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6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6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6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6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6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6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6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6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6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6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6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6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6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6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6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6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6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6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6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6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62">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63">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63">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64">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62">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63">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63">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64">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74" t="s">
        <v>2584</v>
      </c>
      <c r="D1" s="3675"/>
      <c r="E1" s="3675"/>
      <c r="F1" s="3675"/>
      <c r="G1" s="3675"/>
      <c r="H1" s="3675"/>
      <c r="I1" s="3675"/>
      <c r="J1" s="3675"/>
      <c r="K1" s="3675"/>
      <c r="L1" s="3675"/>
      <c r="M1" s="3675"/>
      <c r="N1" s="3675"/>
      <c r="O1" s="3675"/>
      <c r="P1" s="3675"/>
      <c r="Q1" s="3675"/>
      <c r="R1" s="3675"/>
      <c r="S1" s="3676"/>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71" t="s">
        <v>33</v>
      </c>
      <c r="D22" s="3672"/>
      <c r="E22" s="3672"/>
      <c r="F22" s="3672"/>
      <c r="G22" s="3672"/>
      <c r="H22" s="3672"/>
      <c r="I22" s="3672"/>
      <c r="J22" s="3672"/>
      <c r="K22" s="3672"/>
      <c r="L22" s="3672"/>
      <c r="M22" s="3672"/>
      <c r="N22" s="3672"/>
      <c r="O22" s="3672"/>
      <c r="P22" s="3672"/>
      <c r="Q22" s="367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8">
      <c r="A3" s="3340" t="str">
        <f>IF(项目基本情况!B9="房地产市场价值","估价结果一览表（市场价值不需“结果表-1”）","估价结果一览表")</f>
        <v>估价结果一览表</v>
      </c>
      <c r="B3" s="3340"/>
      <c r="C3" s="3340"/>
      <c r="D3" s="3340"/>
      <c r="E3" s="3340"/>
    </row>
    <row r="4" spans="1:5" ht="19.5" thickBot="1">
      <c r="A4" s="1629"/>
      <c r="B4" s="3338" t="s">
        <v>1354</v>
      </c>
      <c r="C4" s="3338"/>
      <c r="D4" s="3338"/>
      <c r="E4" s="1629"/>
    </row>
    <row r="5" spans="1:5" ht="16.5" thickTop="1">
      <c r="A5" s="1627"/>
      <c r="B5" s="3336" t="s">
        <v>1346</v>
      </c>
      <c r="C5" s="1630" t="s">
        <v>1347</v>
      </c>
      <c r="D5" s="940">
        <f ca="1">结果表!H101</f>
        <v>244092</v>
      </c>
      <c r="E5" s="1627"/>
    </row>
    <row r="6" spans="1:5" ht="15.75">
      <c r="A6" s="1627"/>
      <c r="B6" s="3336"/>
      <c r="C6" s="1630" t="s">
        <v>1348</v>
      </c>
      <c r="D6" s="940" t="str">
        <f ca="1">NUMBERSTRING(INT(D5*10000),2)&amp;"元整"</f>
        <v>贰拾肆亿肆仟零玖拾贰万元整</v>
      </c>
      <c r="E6" s="1627"/>
    </row>
    <row r="7" spans="1:5" ht="15.75">
      <c r="A7" s="1627"/>
      <c r="B7" s="3341"/>
      <c r="C7" s="1631" t="s">
        <v>1349</v>
      </c>
      <c r="D7" s="941">
        <f ca="1">结果表!H102</f>
        <v>47494</v>
      </c>
      <c r="E7" s="1627"/>
    </row>
    <row r="8" spans="1:5" ht="15.75">
      <c r="A8" s="1627"/>
      <c r="B8" s="3342" t="str">
        <f>结果表!E103</f>
        <v>2.估价师知悉的法定优先受偿款</v>
      </c>
      <c r="C8" s="1632" t="s">
        <v>1350</v>
      </c>
      <c r="D8" s="941">
        <f>结果表!H103</f>
        <v>0</v>
      </c>
      <c r="E8" s="1627"/>
    </row>
    <row r="9" spans="1:5" ht="15.75">
      <c r="A9" s="1627"/>
      <c r="B9" s="3344"/>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335" t="str">
        <f>结果表!E107</f>
        <v>3.房地产抵押价值</v>
      </c>
      <c r="C13" s="1635" t="s">
        <v>1347</v>
      </c>
      <c r="D13" s="943">
        <f ca="1">结果表!H107</f>
        <v>244092</v>
      </c>
      <c r="E13" s="1627"/>
    </row>
    <row r="14" spans="1:5" ht="15.75">
      <c r="A14" s="1627"/>
      <c r="B14" s="3336"/>
      <c r="C14" s="1630" t="s">
        <v>1348</v>
      </c>
      <c r="D14" s="940" t="str">
        <f ca="1">NUMBERSTRING(INT(D13*10000),2)&amp;"元整"</f>
        <v>贰拾肆亿肆仟零玖拾贰万元整</v>
      </c>
      <c r="E14" s="1627"/>
    </row>
    <row r="15" spans="1:5" ht="15">
      <c r="A15" s="1627"/>
      <c r="B15" s="3341"/>
      <c r="C15" s="1631" t="s">
        <v>1358</v>
      </c>
      <c r="D15" s="949">
        <f ca="1">结果表!H108</f>
        <v>47494</v>
      </c>
      <c r="E15" s="1627"/>
    </row>
    <row r="16" spans="1:5" ht="15">
      <c r="A16" s="1627"/>
      <c r="B16" s="3342" t="str">
        <f>结果表!E109</f>
        <v>——</v>
      </c>
      <c r="C16" s="1635" t="s">
        <v>1359</v>
      </c>
      <c r="D16" s="1636" t="str">
        <f>结果表!H109</f>
        <v>——</v>
      </c>
      <c r="E16" s="1627"/>
    </row>
    <row r="17" spans="1:5" ht="15.75">
      <c r="A17" s="1627"/>
      <c r="B17" s="3343"/>
      <c r="C17" s="1630" t="s">
        <v>1360</v>
      </c>
      <c r="D17" s="940" t="e">
        <f>NUMBERSTRING(INT(D16*10000),2)&amp;"元整"</f>
        <v>#VALUE!</v>
      </c>
      <c r="E17" s="1627"/>
    </row>
    <row r="18" spans="1:5" ht="15">
      <c r="A18" s="1627"/>
      <c r="B18" s="3344"/>
      <c r="C18" s="1631" t="s">
        <v>1349</v>
      </c>
      <c r="D18" s="949" t="str">
        <f>结果表!H110</f>
        <v>——</v>
      </c>
      <c r="E18" s="1627"/>
    </row>
    <row r="19" spans="1:5" ht="15.75">
      <c r="A19" s="1627"/>
      <c r="B19" s="3335" t="str">
        <f>结果表!E111</f>
        <v>——</v>
      </c>
      <c r="C19" s="1635" t="s">
        <v>1347</v>
      </c>
      <c r="D19" s="941" t="str">
        <f>结果表!H111</f>
        <v>——</v>
      </c>
      <c r="E19" s="1627"/>
    </row>
    <row r="20" spans="1:5" ht="15.75">
      <c r="A20" s="1627"/>
      <c r="B20" s="3336"/>
      <c r="C20" s="1630" t="s">
        <v>1360</v>
      </c>
      <c r="D20" s="940" t="e">
        <f>NUMBERSTRING(INT(D19*10000),2)&amp;"元整"</f>
        <v>#VALUE!</v>
      </c>
      <c r="E20" s="1627"/>
    </row>
    <row r="21" spans="1:5" ht="15.75" thickBot="1">
      <c r="A21" s="1627"/>
      <c r="B21" s="3337"/>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59250</v>
      </c>
      <c r="C2" s="2" t="s">
        <v>133</v>
      </c>
      <c r="D2" s="205"/>
      <c r="E2" s="205"/>
      <c r="F2" s="205"/>
      <c r="G2" s="205"/>
    </row>
    <row r="3" spans="1:7" s="206" customFormat="1" ht="18" customHeight="1" thickBot="1">
      <c r="A3" s="209" t="s">
        <v>85</v>
      </c>
      <c r="B3" s="210">
        <f ca="1">ROUND(B2*10000/'数据-汇总表'!E3,0)</f>
        <v>11528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1028</v>
      </c>
      <c r="D10" s="935">
        <f>'数据-汇总表'!E6</f>
        <v>51394.390000000007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1028</v>
      </c>
      <c r="D19" s="939">
        <f>'数据-汇总表'!E3</f>
        <v>51394.390000000007</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1851</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87</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3311</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3311</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29509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27881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25697</v>
      </c>
      <c r="D34" s="223"/>
      <c r="E34" s="226"/>
      <c r="F34" s="263">
        <f>IF('数据-取费表'!B24=0,1,'数据-取费表'!N16)</f>
        <v>1</v>
      </c>
      <c r="G34" s="225" t="s">
        <v>116</v>
      </c>
    </row>
    <row r="35" spans="1:7" ht="13.5" customHeight="1">
      <c r="A35" s="869" t="s">
        <v>615</v>
      </c>
      <c r="B35" s="221" t="s">
        <v>60</v>
      </c>
      <c r="C35" s="226">
        <f>ROUND(C34*F35,0)</f>
        <v>771</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1028</v>
      </c>
      <c r="D37" s="223">
        <f>'数据-汇总表'!E3</f>
        <v>51394.390000000007</v>
      </c>
      <c r="E37" s="255">
        <f>'数据-取费表'!B35</f>
        <v>200</v>
      </c>
      <c r="F37" s="265"/>
      <c r="G37" s="267" t="s">
        <v>119</v>
      </c>
    </row>
    <row r="38" spans="1:7" ht="13.5" customHeight="1">
      <c r="A38" s="869" t="s">
        <v>618</v>
      </c>
      <c r="B38" s="221" t="s">
        <v>63</v>
      </c>
      <c r="C38" s="226">
        <f>ROUND(C34*F38,0)</f>
        <v>385</v>
      </c>
      <c r="D38" s="226"/>
      <c r="E38" s="226"/>
      <c r="F38" s="265">
        <f>'数据-取费表'!B36</f>
        <v>1.4999999999999999E-2</v>
      </c>
      <c r="G38" s="225" t="s">
        <v>117</v>
      </c>
    </row>
    <row r="39" spans="1:7" s="220" customFormat="1" ht="13.5" customHeight="1">
      <c r="A39" s="866" t="s">
        <v>602</v>
      </c>
      <c r="B39" s="216" t="s">
        <v>104</v>
      </c>
      <c r="C39" s="238">
        <f>ROUND(C33*F20,0)</f>
        <v>558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1180</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1157</v>
      </c>
      <c r="D42" s="244"/>
      <c r="E42" s="244"/>
      <c r="F42" s="245"/>
      <c r="G42" s="3523" t="s">
        <v>121</v>
      </c>
    </row>
    <row r="43" spans="1:7" ht="13.5" customHeight="1">
      <c r="A43" s="869" t="s">
        <v>611</v>
      </c>
      <c r="B43" s="221" t="s">
        <v>851</v>
      </c>
      <c r="C43" s="244">
        <f ca="1">ROUND(IF('数据-取费表'!B22&lt;=1,C39*F22*'数据-取费表'!B21/2,C39*(POWER((1+F22),'数据-取费表'!B21/2)-1)),0)</f>
        <v>23</v>
      </c>
      <c r="D43" s="244"/>
      <c r="E43" s="244"/>
      <c r="F43" s="245"/>
      <c r="G43" s="3524"/>
    </row>
    <row r="44" spans="1:7" ht="13.5" customHeight="1">
      <c r="A44" s="869" t="s">
        <v>612</v>
      </c>
      <c r="B44" s="221" t="s">
        <v>853</v>
      </c>
      <c r="C44" s="244">
        <f ca="1">ROUND(IF('数据-取费表'!B22&lt;=1,C40*F22*'数据-取费表'!B21/2,C40*(POWER((1+F22),'数据-取费表'!B21/2)-1)),4)</f>
        <v>8.0000000000000004E-4</v>
      </c>
      <c r="D44" s="244"/>
      <c r="E44" s="244"/>
      <c r="F44" s="245"/>
      <c r="G44" s="3525"/>
    </row>
    <row r="45" spans="1:7" s="220" customFormat="1" ht="13.5" customHeight="1">
      <c r="A45" s="866" t="s">
        <v>605</v>
      </c>
      <c r="B45" s="250" t="s">
        <v>112</v>
      </c>
      <c r="C45" s="251">
        <f>C46</f>
        <v>4266</v>
      </c>
      <c r="D45" s="241">
        <f>C47</f>
        <v>3.0000000000000001E-3</v>
      </c>
      <c r="E45" s="242" t="s">
        <v>129</v>
      </c>
      <c r="F45" s="252"/>
      <c r="G45" s="253" t="s">
        <v>859</v>
      </c>
    </row>
    <row r="46" spans="1:7" s="220" customFormat="1" ht="13.5" customHeight="1">
      <c r="A46" s="869" t="s">
        <v>613</v>
      </c>
      <c r="B46" s="254" t="s">
        <v>852</v>
      </c>
      <c r="C46" s="255">
        <f>ROUND((C33+C39)*F27,0)</f>
        <v>4266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36717</v>
      </c>
      <c r="D49" s="238"/>
      <c r="E49" s="238"/>
      <c r="F49" s="270"/>
      <c r="G49" s="240" t="s">
        <v>860</v>
      </c>
    </row>
    <row r="50" spans="1:7" s="264" customFormat="1" ht="24">
      <c r="A50" s="866" t="s">
        <v>608</v>
      </c>
      <c r="B50" s="216" t="s">
        <v>124</v>
      </c>
      <c r="C50" s="238"/>
      <c r="D50" s="238"/>
      <c r="E50" s="238"/>
      <c r="F50" s="270">
        <f>IF('数据-取费表'!B24=0,'数据-取费表'!N16,1)</f>
        <v>0.81</v>
      </c>
      <c r="G50" s="253" t="s">
        <v>125</v>
      </c>
    </row>
    <row r="51" spans="1:7" ht="16.5" customHeight="1">
      <c r="A51" s="866" t="s">
        <v>609</v>
      </c>
      <c r="B51" s="216" t="s">
        <v>132</v>
      </c>
      <c r="C51" s="238">
        <f ca="1">ROUND(C49*F50,0)</f>
        <v>29741</v>
      </c>
      <c r="D51" s="238"/>
      <c r="E51" s="238"/>
      <c r="F51" s="270"/>
      <c r="G51" s="240" t="s">
        <v>64</v>
      </c>
    </row>
    <row r="52" spans="1:7" s="214" customFormat="1" ht="16.5" thickBot="1">
      <c r="A52" s="271" t="s">
        <v>65</v>
      </c>
      <c r="B52" s="272"/>
      <c r="C52" s="273">
        <f ca="1">C31+C51</f>
        <v>59250</v>
      </c>
      <c r="D52" s="272"/>
      <c r="E52" s="272"/>
      <c r="F52" s="272"/>
      <c r="G52" s="274"/>
    </row>
    <row r="55" spans="1:7" ht="15">
      <c r="B55" s="276" t="s">
        <v>66</v>
      </c>
      <c r="C55" s="277"/>
    </row>
    <row r="56" spans="1:7">
      <c r="B56" s="279" t="s">
        <v>67</v>
      </c>
      <c r="C56" s="280">
        <f ca="1">ROUND(C51/C52,3)</f>
        <v>0.502</v>
      </c>
    </row>
    <row r="57" spans="1:7">
      <c r="B57" s="279" t="s">
        <v>68</v>
      </c>
      <c r="C57" s="281">
        <f ca="1">1-C56</f>
        <v>0.498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77" t="s">
        <v>156</v>
      </c>
      <c r="B1" s="3677"/>
      <c r="C1" s="3677"/>
      <c r="D1" s="3677"/>
      <c r="E1" s="3677"/>
      <c r="F1" s="36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78" t="s">
        <v>169</v>
      </c>
      <c r="B2" s="3678"/>
      <c r="C2" s="3678"/>
      <c r="D2" s="3678"/>
      <c r="E2" s="3678"/>
      <c r="F2" s="36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7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8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77" t="s">
        <v>658</v>
      </c>
      <c r="B1" s="367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44902</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2815</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7"/>
  <sheetViews>
    <sheetView topLeftCell="F28" workbookViewId="0">
      <selection activeCell="P37" sqref="P37"/>
    </sheetView>
  </sheetViews>
  <sheetFormatPr defaultColWidth="9" defaultRowHeight="12"/>
  <cols>
    <col min="1" max="8" width="9" style="3230"/>
    <col min="9" max="9" width="10.625" style="3230" customWidth="1"/>
    <col min="10" max="16384" width="9" style="3230"/>
  </cols>
  <sheetData>
    <row r="2" spans="2:14">
      <c r="I2" s="3231"/>
      <c r="J2" s="3231" t="s">
        <v>3207</v>
      </c>
      <c r="K2" s="3231" t="s">
        <v>3208</v>
      </c>
      <c r="L2" s="3231" t="s">
        <v>3212</v>
      </c>
      <c r="M2" s="3231" t="s">
        <v>3209</v>
      </c>
      <c r="N2" s="3231"/>
    </row>
    <row r="3" spans="2:14">
      <c r="B3" s="3231">
        <v>-208</v>
      </c>
      <c r="C3" s="3231">
        <v>145.96</v>
      </c>
      <c r="D3" s="3231"/>
      <c r="F3" s="3231" t="s">
        <v>3185</v>
      </c>
      <c r="G3" s="3231">
        <f>C4+C9</f>
        <v>6008.59</v>
      </c>
      <c r="I3" s="3231" t="s">
        <v>3187</v>
      </c>
      <c r="J3" s="3231">
        <f>C12+C13+C14+C15</f>
        <v>1511.58</v>
      </c>
      <c r="K3" s="3234">
        <v>7</v>
      </c>
      <c r="L3" s="3231">
        <v>1</v>
      </c>
      <c r="M3" s="3231">
        <f>ROUND(K3*J3*365/10000,0)</f>
        <v>386</v>
      </c>
      <c r="N3" s="3231" t="s">
        <v>3213</v>
      </c>
    </row>
    <row r="4" spans="2:14">
      <c r="B4" s="3231">
        <v>-211</v>
      </c>
      <c r="C4" s="3231">
        <v>4739.22</v>
      </c>
      <c r="D4" s="3231" t="s">
        <v>3182</v>
      </c>
      <c r="F4" s="3231" t="s">
        <v>3186</v>
      </c>
      <c r="G4" s="3231">
        <f>C3+C5+C6+C7+C8+C10+C16+C20+C22+C24+C26+C28+C30+C32+C34+C36+C38+C40+C42+C44+C46+C48+C50+C52+C54+C56+C11</f>
        <v>3738.9599999999982</v>
      </c>
      <c r="I4" s="3231" t="s">
        <v>3188</v>
      </c>
      <c r="J4" s="3231">
        <f>C17</f>
        <v>2106.6999999999998</v>
      </c>
      <c r="K4" s="3231">
        <f>K3*L4</f>
        <v>4.2</v>
      </c>
      <c r="L4" s="3231">
        <v>0.6</v>
      </c>
      <c r="M4" s="3231">
        <f>ROUND(K4*J4*365/10000,0)</f>
        <v>323</v>
      </c>
      <c r="N4" s="3231"/>
    </row>
    <row r="5" spans="2:14">
      <c r="B5" s="3231">
        <v>-212</v>
      </c>
      <c r="C5" s="3231">
        <v>82.83</v>
      </c>
      <c r="D5" s="3231"/>
      <c r="F5" s="3231" t="s">
        <v>3183</v>
      </c>
      <c r="G5" s="3231">
        <f>C12+C13+C14+C15+C17+C18</f>
        <v>6444.44</v>
      </c>
      <c r="I5" s="3231" t="s">
        <v>3189</v>
      </c>
      <c r="J5" s="3231">
        <f>C18</f>
        <v>2826.16</v>
      </c>
      <c r="K5" s="3231">
        <f>K3*L5</f>
        <v>3.5</v>
      </c>
      <c r="L5" s="3231">
        <v>0.5</v>
      </c>
      <c r="M5" s="3231">
        <f>ROUND(K5*J5*365/10000,0)</f>
        <v>361</v>
      </c>
      <c r="N5" s="3231"/>
    </row>
    <row r="6" spans="2:14">
      <c r="B6" s="3231">
        <v>-108</v>
      </c>
      <c r="C6" s="3231">
        <v>155.66</v>
      </c>
      <c r="D6" s="3231"/>
      <c r="F6" s="3231" t="s">
        <v>3184</v>
      </c>
      <c r="G6" s="3231">
        <f>C19+C21+C23+C25+C27+C29+C31+C33+C35+C37+C39+C41+C43+C45+C47+C49+C51+C53+C55</f>
        <v>35202.400000000001</v>
      </c>
      <c r="I6" s="3231" t="s">
        <v>3205</v>
      </c>
      <c r="J6" s="3231">
        <f>G6</f>
        <v>35202.400000000001</v>
      </c>
      <c r="K6" s="3231">
        <v>8</v>
      </c>
      <c r="L6" s="3231"/>
      <c r="M6" s="3231">
        <f>ROUND(K6*J6*365/10000,0)</f>
        <v>10279</v>
      </c>
      <c r="N6" s="3231" t="s">
        <v>3210</v>
      </c>
    </row>
    <row r="7" spans="2:14">
      <c r="B7" s="3231">
        <v>-109</v>
      </c>
      <c r="C7" s="3231">
        <v>1170.43</v>
      </c>
      <c r="D7" s="3231"/>
      <c r="F7" s="3231"/>
      <c r="G7" s="3231">
        <f>SUM(G3:G6)</f>
        <v>51394.39</v>
      </c>
      <c r="I7" s="3231" t="s">
        <v>3206</v>
      </c>
      <c r="J7" s="3231">
        <f>G3</f>
        <v>6008.59</v>
      </c>
      <c r="K7" s="3231">
        <f>ROUND(800/J10/30,2)</f>
        <v>0.76</v>
      </c>
      <c r="L7" s="3231"/>
      <c r="M7" s="3231">
        <f>ROUND(K7*J7*365/10000,0)</f>
        <v>167</v>
      </c>
      <c r="N7" s="3231" t="s">
        <v>3211</v>
      </c>
    </row>
    <row r="8" spans="2:14">
      <c r="B8" s="3231">
        <v>-110</v>
      </c>
      <c r="C8" s="3231">
        <v>943.54</v>
      </c>
      <c r="D8" s="3231"/>
      <c r="I8" s="3231"/>
      <c r="J8" s="3231">
        <f>SUM(J3:J7)</f>
        <v>47655.430000000008</v>
      </c>
      <c r="K8" s="3231">
        <f>M8/J8/365*10000</f>
        <v>6.6205855096694846</v>
      </c>
      <c r="L8" s="3231"/>
      <c r="M8" s="3305">
        <f>SUM(M3:M7)</f>
        <v>11516</v>
      </c>
      <c r="N8" s="3231"/>
    </row>
    <row r="9" spans="2:14">
      <c r="B9" s="3231">
        <v>-111</v>
      </c>
      <c r="C9" s="3231">
        <v>1269.3699999999999</v>
      </c>
      <c r="D9" s="3231" t="s">
        <v>3182</v>
      </c>
    </row>
    <row r="10" spans="2:14">
      <c r="B10" s="3231">
        <v>-112</v>
      </c>
      <c r="C10" s="3231">
        <v>18.04</v>
      </c>
      <c r="D10" s="3231"/>
      <c r="F10" s="3231" t="s">
        <v>3227</v>
      </c>
      <c r="G10" s="3231">
        <f>C3+C5+C6+C7+C8+C10+C11</f>
        <v>3272.24</v>
      </c>
      <c r="I10" s="3230" t="s">
        <v>3214</v>
      </c>
      <c r="J10" s="3230">
        <v>35</v>
      </c>
    </row>
    <row r="11" spans="2:14">
      <c r="B11" s="3231" t="s">
        <v>3181</v>
      </c>
      <c r="C11" s="3231">
        <v>755.78</v>
      </c>
      <c r="D11" s="3231" t="s">
        <v>3181</v>
      </c>
      <c r="F11" s="3231" t="s">
        <v>3228</v>
      </c>
      <c r="G11" s="3231">
        <f>C16+C20+C22+C24+C26+C28+C30+C32+C34+C36+C38+C40+C42+C44+C46+C48+C50+C52+C54+C56</f>
        <v>466.71999999999997</v>
      </c>
    </row>
    <row r="12" spans="2:14">
      <c r="B12" s="3231">
        <v>101</v>
      </c>
      <c r="C12" s="3231">
        <v>274.29000000000002</v>
      </c>
      <c r="D12" s="3231" t="s">
        <v>3183</v>
      </c>
    </row>
    <row r="13" spans="2:14">
      <c r="B13" s="3231">
        <v>102</v>
      </c>
      <c r="C13" s="3231">
        <v>278.12</v>
      </c>
      <c r="D13" s="3231" t="s">
        <v>3183</v>
      </c>
    </row>
    <row r="14" spans="2:14">
      <c r="B14" s="3231">
        <v>103</v>
      </c>
      <c r="C14" s="3231">
        <v>783.78</v>
      </c>
      <c r="D14" s="3231" t="s">
        <v>3183</v>
      </c>
      <c r="G14" s="3319">
        <f>G3</f>
        <v>6008.59</v>
      </c>
      <c r="H14" s="3319">
        <v>1.5</v>
      </c>
      <c r="I14" s="3319">
        <f>H14*G14</f>
        <v>9012.8850000000002</v>
      </c>
    </row>
    <row r="15" spans="2:14">
      <c r="B15" s="3231">
        <v>104</v>
      </c>
      <c r="C15" s="3231">
        <v>175.39</v>
      </c>
      <c r="D15" s="3231" t="s">
        <v>3183</v>
      </c>
      <c r="G15" s="3319">
        <f>G5+G6</f>
        <v>41646.840000000004</v>
      </c>
      <c r="H15" s="3319">
        <v>7.5</v>
      </c>
      <c r="I15" s="3319">
        <f>H15*G15</f>
        <v>312351.30000000005</v>
      </c>
    </row>
    <row r="16" spans="2:14">
      <c r="B16" s="3231">
        <v>112</v>
      </c>
      <c r="C16" s="3231">
        <v>26.71</v>
      </c>
      <c r="D16" s="3231"/>
      <c r="G16" s="3319"/>
      <c r="H16" s="3319">
        <f>I16/G7</f>
        <v>6.2529039648101685</v>
      </c>
      <c r="I16" s="3319">
        <f>I14+I15</f>
        <v>321364.18500000006</v>
      </c>
    </row>
    <row r="17" spans="2:17">
      <c r="B17" s="3231">
        <v>201</v>
      </c>
      <c r="C17" s="3231">
        <v>2106.6999999999998</v>
      </c>
      <c r="D17" s="3231" t="s">
        <v>3183</v>
      </c>
    </row>
    <row r="18" spans="2:17">
      <c r="B18" s="3231">
        <v>301</v>
      </c>
      <c r="C18" s="3231">
        <v>2826.16</v>
      </c>
      <c r="D18" s="3231" t="s">
        <v>3183</v>
      </c>
      <c r="H18" s="3231" t="s">
        <v>3215</v>
      </c>
      <c r="I18" s="3231" t="s">
        <v>3219</v>
      </c>
      <c r="J18" s="3231" t="s">
        <v>3220</v>
      </c>
      <c r="K18" s="3231" t="s">
        <v>3221</v>
      </c>
      <c r="L18" s="3231"/>
    </row>
    <row r="19" spans="2:17">
      <c r="B19" s="3231">
        <v>401</v>
      </c>
      <c r="C19" s="3231">
        <v>2343.2199999999998</v>
      </c>
      <c r="D19" s="3231" t="s">
        <v>3184</v>
      </c>
      <c r="H19" s="3231" t="s">
        <v>3216</v>
      </c>
      <c r="I19" s="3231">
        <v>200</v>
      </c>
      <c r="J19" s="3233">
        <f>I19/I21</f>
        <v>0.15384615384615385</v>
      </c>
      <c r="K19" s="3231">
        <v>1</v>
      </c>
      <c r="L19" s="3231">
        <f>J19*K19</f>
        <v>0.15384615384615385</v>
      </c>
    </row>
    <row r="20" spans="2:17">
      <c r="B20" s="3231">
        <v>402</v>
      </c>
      <c r="C20" s="3231">
        <v>48.82</v>
      </c>
      <c r="D20" s="3231"/>
      <c r="H20" s="3231" t="s">
        <v>3217</v>
      </c>
      <c r="I20" s="3231">
        <v>1100</v>
      </c>
      <c r="J20" s="3233">
        <f>I20/I21</f>
        <v>0.84615384615384615</v>
      </c>
      <c r="K20" s="3231">
        <v>0.7</v>
      </c>
      <c r="L20" s="3231">
        <f>K20*J20</f>
        <v>0.59230769230769231</v>
      </c>
    </row>
    <row r="21" spans="2:17">
      <c r="B21" s="3231">
        <v>501</v>
      </c>
      <c r="C21" s="3231">
        <v>2234.73</v>
      </c>
      <c r="D21" s="3231" t="s">
        <v>3184</v>
      </c>
      <c r="H21" s="3231" t="s">
        <v>3218</v>
      </c>
      <c r="I21" s="3231">
        <v>1300</v>
      </c>
      <c r="J21" s="3231"/>
      <c r="K21" s="3231">
        <v>5.5</v>
      </c>
      <c r="L21" s="3231"/>
    </row>
    <row r="22" spans="2:17">
      <c r="B22" s="3231">
        <v>502</v>
      </c>
      <c r="C22" s="3231">
        <v>49.12</v>
      </c>
      <c r="D22" s="3231"/>
      <c r="H22" s="3231"/>
      <c r="I22" s="3231"/>
      <c r="J22" s="3231" t="s">
        <v>3222</v>
      </c>
      <c r="K22" s="3231">
        <f>K21/(L20+L19)</f>
        <v>7.3711340206185563</v>
      </c>
      <c r="L22" s="3231"/>
    </row>
    <row r="23" spans="2:17">
      <c r="B23" s="3231">
        <v>601</v>
      </c>
      <c r="C23" s="3231">
        <v>2392.2399999999998</v>
      </c>
      <c r="D23" s="3231" t="s">
        <v>3184</v>
      </c>
    </row>
    <row r="24" spans="2:17">
      <c r="B24" s="3231">
        <v>602</v>
      </c>
      <c r="C24" s="3231">
        <v>6.89</v>
      </c>
      <c r="D24" s="3231"/>
    </row>
    <row r="25" spans="2:17">
      <c r="B25" s="3231">
        <v>701</v>
      </c>
      <c r="C25" s="3231">
        <v>2211.62</v>
      </c>
      <c r="D25" s="3231" t="s">
        <v>3184</v>
      </c>
    </row>
    <row r="26" spans="2:17" ht="62.25" customHeight="1">
      <c r="B26" s="3231">
        <v>702</v>
      </c>
      <c r="C26" s="3231">
        <v>6.95</v>
      </c>
      <c r="D26" s="3231"/>
      <c r="M26" s="3681" t="s">
        <v>3223</v>
      </c>
      <c r="N26" s="3681"/>
      <c r="O26" s="3681"/>
      <c r="P26" s="3681"/>
      <c r="Q26" s="3681"/>
    </row>
    <row r="27" spans="2:17">
      <c r="B27" s="3231">
        <v>801</v>
      </c>
      <c r="C27" s="3231">
        <v>2291.85</v>
      </c>
      <c r="D27" s="3231" t="s">
        <v>3184</v>
      </c>
      <c r="L27" s="3230" t="s">
        <v>3224</v>
      </c>
      <c r="M27" s="3230">
        <f>5617/22107/365*10000</f>
        <v>6.9611621187363335</v>
      </c>
    </row>
    <row r="28" spans="2:17">
      <c r="B28" s="3231">
        <v>802</v>
      </c>
      <c r="C28" s="3231">
        <v>6.91</v>
      </c>
      <c r="D28" s="3231"/>
    </row>
    <row r="29" spans="2:17">
      <c r="B29" s="3231">
        <v>901</v>
      </c>
      <c r="C29" s="3231">
        <v>2109.98</v>
      </c>
      <c r="D29" s="3231" t="s">
        <v>3184</v>
      </c>
    </row>
    <row r="30" spans="2:17">
      <c r="B30" s="3231">
        <v>902</v>
      </c>
      <c r="C30" s="3231">
        <v>6.97</v>
      </c>
      <c r="D30" s="3231"/>
    </row>
    <row r="31" spans="2:17">
      <c r="B31" s="3231">
        <v>1001</v>
      </c>
      <c r="C31" s="3231">
        <v>2187.4</v>
      </c>
      <c r="D31" s="3231" t="s">
        <v>3184</v>
      </c>
      <c r="H31" s="3230">
        <f>H32*0.7</f>
        <v>23100</v>
      </c>
      <c r="L31" s="3230" t="s">
        <v>3380</v>
      </c>
    </row>
    <row r="32" spans="2:17">
      <c r="B32" s="3231">
        <v>1002</v>
      </c>
      <c r="C32" s="3231">
        <v>6.93</v>
      </c>
      <c r="D32" s="3231"/>
      <c r="H32" s="3230">
        <v>33000</v>
      </c>
    </row>
    <row r="33" spans="2:13">
      <c r="B33" s="3231">
        <v>1101</v>
      </c>
      <c r="C33" s="3231">
        <v>2006.33</v>
      </c>
      <c r="D33" s="3231" t="s">
        <v>3184</v>
      </c>
      <c r="K33" s="3230">
        <v>2019</v>
      </c>
      <c r="L33" s="3230">
        <v>9930</v>
      </c>
    </row>
    <row r="34" spans="2:13">
      <c r="B34" s="3231">
        <v>1102</v>
      </c>
      <c r="C34" s="3231">
        <v>6.99</v>
      </c>
      <c r="D34" s="3231"/>
      <c r="K34" s="3230">
        <v>2020</v>
      </c>
      <c r="L34" s="3230">
        <v>6948</v>
      </c>
    </row>
    <row r="35" spans="2:13">
      <c r="B35" s="3231">
        <v>1201</v>
      </c>
      <c r="C35" s="3231">
        <v>2082.3000000000002</v>
      </c>
      <c r="D35" s="3231" t="s">
        <v>3184</v>
      </c>
      <c r="K35" s="3230">
        <v>2021</v>
      </c>
      <c r="L35" s="3230">
        <v>6254</v>
      </c>
    </row>
    <row r="36" spans="2:13">
      <c r="B36" s="3231">
        <v>1202</v>
      </c>
      <c r="C36" s="3231">
        <v>6.95</v>
      </c>
      <c r="D36" s="3231"/>
    </row>
    <row r="37" spans="2:13">
      <c r="B37" s="3231">
        <v>1301</v>
      </c>
      <c r="C37" s="3231">
        <v>1900.02</v>
      </c>
      <c r="D37" s="3231" t="s">
        <v>3184</v>
      </c>
    </row>
    <row r="38" spans="2:13">
      <c r="B38" s="3231">
        <v>1302</v>
      </c>
      <c r="C38" s="3231">
        <v>7.02</v>
      </c>
      <c r="D38" s="3231"/>
      <c r="J38" s="3230">
        <v>7000</v>
      </c>
      <c r="K38" s="3230">
        <v>9</v>
      </c>
      <c r="M38" s="3230">
        <f>J38*K38*365</f>
        <v>22995000</v>
      </c>
    </row>
    <row r="39" spans="2:13">
      <c r="B39" s="3231">
        <v>1401</v>
      </c>
      <c r="C39" s="3231">
        <v>1979.25</v>
      </c>
      <c r="D39" s="3231" t="s">
        <v>3184</v>
      </c>
      <c r="M39" s="3230">
        <f>M38*0.7</f>
        <v>16096499.999999998</v>
      </c>
    </row>
    <row r="40" spans="2:13">
      <c r="B40" s="3231">
        <v>1402</v>
      </c>
      <c r="C40" s="3231">
        <v>6.97</v>
      </c>
      <c r="D40" s="3231"/>
    </row>
    <row r="41" spans="2:13">
      <c r="B41" s="3231">
        <v>1501</v>
      </c>
      <c r="C41" s="3231">
        <v>1793.18</v>
      </c>
      <c r="D41" s="3231" t="s">
        <v>3184</v>
      </c>
    </row>
    <row r="42" spans="2:13">
      <c r="B42" s="3231">
        <v>1502</v>
      </c>
      <c r="C42" s="3231">
        <v>7.05</v>
      </c>
      <c r="D42" s="3231"/>
    </row>
    <row r="43" spans="2:13">
      <c r="B43" s="3231">
        <v>1601</v>
      </c>
      <c r="C43" s="3231">
        <v>1442.94</v>
      </c>
      <c r="D43" s="3231" t="s">
        <v>3184</v>
      </c>
    </row>
    <row r="44" spans="2:13">
      <c r="B44" s="3231">
        <v>1602</v>
      </c>
      <c r="C44" s="3231">
        <v>7.12</v>
      </c>
      <c r="D44" s="3231"/>
    </row>
    <row r="45" spans="2:13">
      <c r="B45" s="3231">
        <v>1701</v>
      </c>
      <c r="C45" s="3231">
        <v>1366.86</v>
      </c>
      <c r="D45" s="3231" t="s">
        <v>3184</v>
      </c>
    </row>
    <row r="46" spans="2:13">
      <c r="B46" s="3231">
        <v>1702</v>
      </c>
      <c r="C46" s="3231">
        <v>7.18</v>
      </c>
      <c r="D46" s="3231"/>
    </row>
    <row r="47" spans="2:13">
      <c r="B47" s="3231">
        <v>1801</v>
      </c>
      <c r="C47" s="3231">
        <v>1420.41</v>
      </c>
      <c r="D47" s="3231" t="s">
        <v>3184</v>
      </c>
    </row>
    <row r="48" spans="2:13">
      <c r="B48" s="3231">
        <v>1802</v>
      </c>
      <c r="C48" s="3231">
        <v>53.06</v>
      </c>
      <c r="D48" s="3231"/>
    </row>
    <row r="49" spans="2:4">
      <c r="B49" s="3231">
        <v>1901</v>
      </c>
      <c r="C49" s="3231">
        <v>1339.18</v>
      </c>
      <c r="D49" s="3231" t="s">
        <v>3184</v>
      </c>
    </row>
    <row r="50" spans="2:4">
      <c r="B50" s="3231">
        <v>1902</v>
      </c>
      <c r="C50" s="3231">
        <v>53.52</v>
      </c>
      <c r="D50" s="3231"/>
    </row>
    <row r="51" spans="2:4">
      <c r="B51" s="3231">
        <v>2001</v>
      </c>
      <c r="C51" s="3231">
        <v>1393.54</v>
      </c>
      <c r="D51" s="3231" t="s">
        <v>3184</v>
      </c>
    </row>
    <row r="52" spans="2:4">
      <c r="B52" s="3231">
        <v>2002</v>
      </c>
      <c r="C52" s="3231">
        <v>53.21</v>
      </c>
      <c r="D52" s="3231"/>
    </row>
    <row r="53" spans="2:4">
      <c r="B53" s="3231">
        <v>2101</v>
      </c>
      <c r="C53" s="3231">
        <v>1322.02</v>
      </c>
      <c r="D53" s="3231" t="s">
        <v>3184</v>
      </c>
    </row>
    <row r="54" spans="2:4">
      <c r="B54" s="3231">
        <v>2102</v>
      </c>
      <c r="C54" s="3231">
        <v>53.62</v>
      </c>
      <c r="D54" s="3231"/>
    </row>
    <row r="55" spans="2:4">
      <c r="B55" s="3231">
        <v>2201</v>
      </c>
      <c r="C55" s="3231">
        <v>1385.33</v>
      </c>
      <c r="D55" s="3231" t="s">
        <v>3184</v>
      </c>
    </row>
    <row r="56" spans="2:4">
      <c r="B56" s="3231">
        <v>2202</v>
      </c>
      <c r="C56" s="3231">
        <v>44.73</v>
      </c>
      <c r="D56" s="3231"/>
    </row>
    <row r="57" spans="2:4">
      <c r="B57" s="3231"/>
      <c r="C57" s="3231">
        <f>SUM(C3:C56)</f>
        <v>51394.390000000007</v>
      </c>
      <c r="D57" s="3231"/>
    </row>
  </sheetData>
  <mergeCells count="1">
    <mergeCell ref="M26:Q26"/>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C51" sqref="C5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3193</v>
      </c>
      <c r="E1" s="1355"/>
      <c r="F1" s="2016" t="s">
        <v>3365</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300110</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ROUND(B2/'数据-汇总表'!E31*10000,0)</f>
        <v>58394</v>
      </c>
      <c r="C3" s="360" t="s">
        <v>2224</v>
      </c>
      <c r="D3" s="359">
        <f>'数据-汇总表'!F31</f>
        <v>42113.560000000005</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59" t="s">
        <v>2226</v>
      </c>
      <c r="D4" s="3560"/>
      <c r="E4" s="3561" t="s">
        <v>2227</v>
      </c>
      <c r="F4" s="3562"/>
      <c r="G4" s="3559" t="s">
        <v>2228</v>
      </c>
      <c r="H4" s="3560"/>
      <c r="I4" s="3559" t="s">
        <v>2229</v>
      </c>
      <c r="J4" s="3560"/>
      <c r="K4" s="567" t="s">
        <v>2230</v>
      </c>
      <c r="L4" s="2893"/>
      <c r="M4" s="2894"/>
      <c r="N4" s="2894"/>
      <c r="O4" s="2894"/>
      <c r="P4" s="3563" t="s">
        <v>2231</v>
      </c>
      <c r="Q4" s="3564"/>
      <c r="R4" s="3545" t="s">
        <v>2227</v>
      </c>
      <c r="S4" s="3546"/>
      <c r="T4" s="3545" t="s">
        <v>2228</v>
      </c>
      <c r="U4" s="3546"/>
      <c r="V4" s="3551" t="s">
        <v>2229</v>
      </c>
      <c r="W4" s="3551"/>
      <c r="X4" s="2095"/>
      <c r="Y4" s="3545" t="s">
        <v>2231</v>
      </c>
      <c r="Z4" s="3546"/>
      <c r="AA4" s="3553" t="s">
        <v>2227</v>
      </c>
      <c r="AB4" s="3553" t="s">
        <v>2228</v>
      </c>
      <c r="AC4" s="3556" t="s">
        <v>2229</v>
      </c>
    </row>
    <row r="5" spans="1:29" ht="15">
      <c r="A5" s="364"/>
      <c r="B5" s="365"/>
      <c r="C5" s="3569" t="s">
        <v>2122</v>
      </c>
      <c r="D5" s="3570"/>
      <c r="E5" s="3571" t="str">
        <f>Sheet1!E74</f>
        <v>兆泰国际中心CDE座（80%股权）</v>
      </c>
      <c r="F5" s="3572"/>
      <c r="G5" s="3569" t="str">
        <f>Sheet1!E77</f>
        <v>新世界燕京大厦</v>
      </c>
      <c r="H5" s="3570"/>
      <c r="I5" s="3569" t="str">
        <f>Sheet1!E85</f>
        <v>北京来福士中心</v>
      </c>
      <c r="J5" s="3570"/>
      <c r="K5" s="567"/>
      <c r="L5" s="2893"/>
      <c r="M5" s="2894"/>
      <c r="N5" s="2894"/>
      <c r="O5" s="2894"/>
      <c r="P5" s="3565"/>
      <c r="Q5" s="3566"/>
      <c r="R5" s="3547"/>
      <c r="S5" s="3548"/>
      <c r="T5" s="3547"/>
      <c r="U5" s="3548"/>
      <c r="V5" s="3552"/>
      <c r="W5" s="3552"/>
      <c r="X5" s="1490"/>
      <c r="Y5" s="3547"/>
      <c r="Z5" s="3548"/>
      <c r="AA5" s="3554"/>
      <c r="AB5" s="3554"/>
      <c r="AC5" s="3557"/>
    </row>
    <row r="6" spans="1:29" ht="15.75" thickBot="1">
      <c r="A6" s="366"/>
      <c r="B6" s="367"/>
      <c r="C6" s="3573" t="s">
        <v>2126</v>
      </c>
      <c r="D6" s="3574"/>
      <c r="E6" s="3575" t="s">
        <v>2126</v>
      </c>
      <c r="F6" s="3576"/>
      <c r="G6" s="3573" t="s">
        <v>2126</v>
      </c>
      <c r="H6" s="3574"/>
      <c r="I6" s="3573" t="s">
        <v>2126</v>
      </c>
      <c r="J6" s="3574"/>
      <c r="K6" s="567" t="s">
        <v>2127</v>
      </c>
      <c r="L6" s="2893"/>
      <c r="M6" s="2894"/>
      <c r="N6" s="2894"/>
      <c r="O6" s="2894"/>
      <c r="P6" s="3567"/>
      <c r="Q6" s="3568"/>
      <c r="R6" s="3547"/>
      <c r="S6" s="3548"/>
      <c r="T6" s="3549"/>
      <c r="U6" s="3550"/>
      <c r="V6" s="3552"/>
      <c r="W6" s="3552"/>
      <c r="X6" s="1490"/>
      <c r="Y6" s="3549"/>
      <c r="Z6" s="3550"/>
      <c r="AA6" s="3555"/>
      <c r="AB6" s="3555"/>
      <c r="AC6" s="3558"/>
    </row>
    <row r="7" spans="1:29" s="113" customFormat="1" ht="15.75" thickBot="1">
      <c r="A7" s="368" t="s">
        <v>2128</v>
      </c>
      <c r="B7" s="369"/>
      <c r="C7" s="370">
        <f>'数据-取费表'!B2</f>
        <v>44902</v>
      </c>
      <c r="D7" s="371">
        <v>100</v>
      </c>
      <c r="E7" s="372">
        <v>44228</v>
      </c>
      <c r="F7" s="373">
        <f>SUMIF(59:59,YEAR(E7)&amp;"-"&amp;MONTH(E7),60:60)</f>
        <v>97</v>
      </c>
      <c r="G7" s="372">
        <v>44256</v>
      </c>
      <c r="H7" s="371">
        <f>SUMIF(59:59,YEAR(G7)&amp;"-"&amp;MONTH(G7),60:60)</f>
        <v>97</v>
      </c>
      <c r="I7" s="372">
        <v>44348</v>
      </c>
      <c r="J7" s="371">
        <f>SUMIF(59:59,YEAR(I7)&amp;"-"&amp;MONTH(I7),60:60)</f>
        <v>98</v>
      </c>
      <c r="K7" s="568"/>
      <c r="L7" s="2895"/>
      <c r="M7" s="2896"/>
      <c r="N7" s="2896"/>
      <c r="O7" s="2896"/>
      <c r="P7" s="3541" t="s">
        <v>2129</v>
      </c>
      <c r="Q7" s="3542"/>
      <c r="R7" s="710" t="s">
        <v>17</v>
      </c>
      <c r="S7" s="711">
        <f t="shared" ref="S7:S15" si="0">F7</f>
        <v>97</v>
      </c>
      <c r="T7" s="710" t="s">
        <v>17</v>
      </c>
      <c r="U7" s="711">
        <f t="shared" ref="U7:U15" si="1">H7</f>
        <v>97</v>
      </c>
      <c r="V7" s="710" t="s">
        <v>17</v>
      </c>
      <c r="W7" s="711">
        <f t="shared" ref="W7:W15" si="2">J7</f>
        <v>98</v>
      </c>
      <c r="X7" s="712"/>
      <c r="Y7" s="3544" t="s">
        <v>2129</v>
      </c>
      <c r="Z7" s="3543"/>
      <c r="AA7" s="713">
        <f>D7/F7</f>
        <v>1.0309278350515463</v>
      </c>
      <c r="AB7" s="713">
        <f>D7/H7</f>
        <v>1.0309278350515463</v>
      </c>
      <c r="AC7" s="2096">
        <f>D7/J7</f>
        <v>1.0204081632653061</v>
      </c>
    </row>
    <row r="8" spans="1:29" s="113" customFormat="1" ht="15.75" thickBot="1">
      <c r="A8" s="368" t="s">
        <v>2130</v>
      </c>
      <c r="B8" s="369"/>
      <c r="C8" s="374" t="s">
        <v>2232</v>
      </c>
      <c r="D8" s="371">
        <v>100</v>
      </c>
      <c r="E8" s="3281" t="s">
        <v>3366</v>
      </c>
      <c r="F8" s="373">
        <f>SUMIF(62:62,E8,63:63)-SUMIF(62:62,C8,63:63)+100</f>
        <v>100</v>
      </c>
      <c r="G8" s="3281" t="s">
        <v>3366</v>
      </c>
      <c r="H8" s="371">
        <f>SUMIF(62:62,G8,63:63)-SUMIF(62:62,C8,63:63)+100</f>
        <v>100</v>
      </c>
      <c r="I8" s="3281" t="s">
        <v>3367</v>
      </c>
      <c r="J8" s="371">
        <f>SUMIF(62:62,I8,63:63)-SUMIF(62:62,C8,63:63)+100</f>
        <v>100</v>
      </c>
      <c r="K8" s="568"/>
      <c r="L8" s="2895"/>
      <c r="M8" s="2896"/>
      <c r="N8" s="2896"/>
      <c r="O8" s="2896"/>
      <c r="P8" s="3541" t="s">
        <v>2132</v>
      </c>
      <c r="Q8" s="3543"/>
      <c r="R8" s="710" t="s">
        <v>17</v>
      </c>
      <c r="S8" s="711">
        <f t="shared" si="0"/>
        <v>100</v>
      </c>
      <c r="T8" s="710" t="s">
        <v>17</v>
      </c>
      <c r="U8" s="711">
        <f t="shared" si="1"/>
        <v>100</v>
      </c>
      <c r="V8" s="710" t="s">
        <v>17</v>
      </c>
      <c r="W8" s="711">
        <f t="shared" si="2"/>
        <v>100</v>
      </c>
      <c r="X8" s="712"/>
      <c r="Y8" s="3544" t="s">
        <v>2132</v>
      </c>
      <c r="Z8" s="3543"/>
      <c r="AA8" s="713">
        <f t="shared" ref="AA8:AA47" si="3">D8/F8</f>
        <v>1</v>
      </c>
      <c r="AB8" s="713">
        <f t="shared" ref="AB8:AB47" si="4">D8/H8</f>
        <v>1</v>
      </c>
      <c r="AC8" s="2096">
        <f t="shared" ref="AC8:AC47" si="5">D8/J8</f>
        <v>1</v>
      </c>
    </row>
    <row r="9" spans="1:29" s="113" customFormat="1" ht="15">
      <c r="A9" s="375" t="s">
        <v>2133</v>
      </c>
      <c r="B9" s="67" t="s">
        <v>2134</v>
      </c>
      <c r="C9" s="3282" t="s">
        <v>3368</v>
      </c>
      <c r="D9" s="131">
        <v>100</v>
      </c>
      <c r="E9" s="3283" t="s">
        <v>3369</v>
      </c>
      <c r="F9" s="131">
        <f>SUMIF(64:64,E9,65:65)-SUMIF(64:64,C9,65:65)+100</f>
        <v>100</v>
      </c>
      <c r="G9" s="3300" t="s">
        <v>3370</v>
      </c>
      <c r="H9" s="131">
        <f>SUMIF(64:64,G9,65:65)-SUMIF(64:64,C9,65:65)+100</f>
        <v>110</v>
      </c>
      <c r="I9" s="3284" t="s">
        <v>3369</v>
      </c>
      <c r="J9" s="131">
        <f>SUMIF(64:64,I9,65:65)-SUMIF(64:64,C9,65:65)+100</f>
        <v>100</v>
      </c>
      <c r="K9" s="568"/>
      <c r="L9" s="2895"/>
      <c r="M9" s="2896"/>
      <c r="N9" s="2896"/>
      <c r="O9" s="2896"/>
      <c r="P9" s="3526" t="s">
        <v>2135</v>
      </c>
      <c r="Q9" s="1478" t="str">
        <f t="shared" ref="Q9:Q15" si="6">B9</f>
        <v>用途</v>
      </c>
      <c r="R9" s="710" t="s">
        <v>17</v>
      </c>
      <c r="S9" s="711">
        <f t="shared" si="0"/>
        <v>100</v>
      </c>
      <c r="T9" s="710" t="s">
        <v>17</v>
      </c>
      <c r="U9" s="711">
        <f t="shared" si="1"/>
        <v>110</v>
      </c>
      <c r="V9" s="710" t="s">
        <v>17</v>
      </c>
      <c r="W9" s="711">
        <f t="shared" si="2"/>
        <v>100</v>
      </c>
      <c r="X9" s="712"/>
      <c r="Y9" s="3499" t="s">
        <v>2136</v>
      </c>
      <c r="Z9" s="55" t="str">
        <f t="shared" ref="Z9:Z15" si="7">Q9</f>
        <v>用途</v>
      </c>
      <c r="AA9" s="713">
        <f t="shared" si="3"/>
        <v>1</v>
      </c>
      <c r="AB9" s="713">
        <f t="shared" si="4"/>
        <v>0.90909090909090906</v>
      </c>
      <c r="AC9" s="2096">
        <f t="shared" si="5"/>
        <v>1</v>
      </c>
    </row>
    <row r="10" spans="1:29" s="386" customFormat="1" ht="27">
      <c r="A10" s="380"/>
      <c r="B10" s="381" t="s">
        <v>2137</v>
      </c>
      <c r="C10" s="382" t="s">
        <v>3371</v>
      </c>
      <c r="D10" s="132">
        <v>100</v>
      </c>
      <c r="E10" s="3303" t="s">
        <v>3371</v>
      </c>
      <c r="F10" s="132">
        <f>SUMIF(66:66,E10,67:67)-SUMIF(66:66,C10,67:67)+100</f>
        <v>100</v>
      </c>
      <c r="G10" s="383" t="s">
        <v>3372</v>
      </c>
      <c r="H10" s="132">
        <f>SUMIF(66:66,G10,67:67)-SUMIF(66:66,C10,67:67)+100</f>
        <v>98</v>
      </c>
      <c r="I10" s="382" t="s">
        <v>3371</v>
      </c>
      <c r="J10" s="132">
        <f>SUMIF(66:66,I10,67:67)-SUMIF(66:66,C10,67:67)+100</f>
        <v>100</v>
      </c>
      <c r="K10" s="569">
        <v>2</v>
      </c>
      <c r="L10" s="2897"/>
      <c r="M10" s="2898"/>
      <c r="N10" s="2898"/>
      <c r="O10" s="2898"/>
      <c r="P10" s="3526"/>
      <c r="Q10" s="1478" t="str">
        <f t="shared" si="6"/>
        <v>土地使用年限（年）</v>
      </c>
      <c r="R10" s="710" t="s">
        <v>17</v>
      </c>
      <c r="S10" s="711">
        <f t="shared" si="0"/>
        <v>100</v>
      </c>
      <c r="T10" s="710" t="s">
        <v>17</v>
      </c>
      <c r="U10" s="711">
        <f t="shared" si="1"/>
        <v>98</v>
      </c>
      <c r="V10" s="710" t="s">
        <v>17</v>
      </c>
      <c r="W10" s="711">
        <f t="shared" si="2"/>
        <v>100</v>
      </c>
      <c r="X10" s="712"/>
      <c r="Y10" s="3499"/>
      <c r="Z10" s="55" t="str">
        <f t="shared" si="7"/>
        <v>土地使用年限（年）</v>
      </c>
      <c r="AA10" s="713">
        <f t="shared" si="3"/>
        <v>1</v>
      </c>
      <c r="AB10" s="713">
        <f t="shared" si="4"/>
        <v>1.0204081632653061</v>
      </c>
      <c r="AC10" s="2096">
        <f t="shared" si="5"/>
        <v>1</v>
      </c>
    </row>
    <row r="11" spans="1:29" ht="15">
      <c r="A11" s="387"/>
      <c r="B11" s="381" t="s">
        <v>2138</v>
      </c>
      <c r="C11" s="388">
        <f>'数据-汇总表'!I6</f>
        <v>5.79</v>
      </c>
      <c r="D11" s="132">
        <v>100</v>
      </c>
      <c r="E11" s="388">
        <v>5</v>
      </c>
      <c r="F11" s="132">
        <f>LOOKUP(E11,69:69,70:70)-LOOKUP(C11,69:69,70:70)+100</f>
        <v>100</v>
      </c>
      <c r="G11" s="389">
        <v>5</v>
      </c>
      <c r="H11" s="132">
        <f>LOOKUP(G11,69:69,70:70)-LOOKUP(C11,69:69,70:70)+100</f>
        <v>100</v>
      </c>
      <c r="I11" s="388">
        <v>5</v>
      </c>
      <c r="J11" s="132">
        <f>LOOKUP(I11,69:69,70:70)-LOOKUP(C11,69:69,70:70)+100</f>
        <v>100</v>
      </c>
      <c r="K11" s="569">
        <v>2</v>
      </c>
      <c r="L11" s="2899"/>
      <c r="M11" s="2894"/>
      <c r="N11" s="2894"/>
      <c r="O11" s="2894"/>
      <c r="P11" s="3526"/>
      <c r="Q11" s="1478" t="str">
        <f t="shared" si="6"/>
        <v>容积率</v>
      </c>
      <c r="R11" s="710" t="s">
        <v>17</v>
      </c>
      <c r="S11" s="711">
        <f t="shared" si="0"/>
        <v>100</v>
      </c>
      <c r="T11" s="710" t="s">
        <v>17</v>
      </c>
      <c r="U11" s="711">
        <f t="shared" si="1"/>
        <v>100</v>
      </c>
      <c r="V11" s="710" t="s">
        <v>17</v>
      </c>
      <c r="W11" s="711">
        <f t="shared" si="2"/>
        <v>100</v>
      </c>
      <c r="X11" s="712"/>
      <c r="Y11" s="3499"/>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526"/>
      <c r="Q12" s="1478">
        <f t="shared" si="6"/>
        <v>111</v>
      </c>
      <c r="R12" s="710" t="s">
        <v>17</v>
      </c>
      <c r="S12" s="711">
        <f t="shared" si="0"/>
        <v>100</v>
      </c>
      <c r="T12" s="710" t="s">
        <v>17</v>
      </c>
      <c r="U12" s="711">
        <f t="shared" si="1"/>
        <v>100</v>
      </c>
      <c r="V12" s="710" t="s">
        <v>17</v>
      </c>
      <c r="W12" s="711">
        <f t="shared" si="2"/>
        <v>100</v>
      </c>
      <c r="X12" s="712"/>
      <c r="Y12" s="349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526"/>
      <c r="Q13" s="1478">
        <f t="shared" si="6"/>
        <v>111</v>
      </c>
      <c r="R13" s="710" t="s">
        <v>17</v>
      </c>
      <c r="S13" s="711">
        <f t="shared" si="0"/>
        <v>100</v>
      </c>
      <c r="T13" s="710" t="s">
        <v>17</v>
      </c>
      <c r="U13" s="711">
        <f t="shared" si="1"/>
        <v>100</v>
      </c>
      <c r="V13" s="710" t="s">
        <v>17</v>
      </c>
      <c r="W13" s="711">
        <f t="shared" si="2"/>
        <v>100</v>
      </c>
      <c r="X13" s="712"/>
      <c r="Y13" s="349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526"/>
      <c r="Q14" s="1478">
        <f t="shared" si="6"/>
        <v>111</v>
      </c>
      <c r="R14" s="710" t="s">
        <v>17</v>
      </c>
      <c r="S14" s="711">
        <f t="shared" si="0"/>
        <v>100</v>
      </c>
      <c r="T14" s="710" t="s">
        <v>17</v>
      </c>
      <c r="U14" s="711">
        <f t="shared" si="1"/>
        <v>100</v>
      </c>
      <c r="V14" s="710" t="s">
        <v>17</v>
      </c>
      <c r="W14" s="711">
        <f t="shared" si="2"/>
        <v>100</v>
      </c>
      <c r="X14" s="712"/>
      <c r="Y14" s="3499"/>
      <c r="Z14" s="55">
        <f t="shared" si="7"/>
        <v>111</v>
      </c>
      <c r="AA14" s="713">
        <f t="shared" si="3"/>
        <v>1</v>
      </c>
      <c r="AB14" s="713">
        <f t="shared" si="4"/>
        <v>1</v>
      </c>
      <c r="AC14" s="2096">
        <f t="shared" si="5"/>
        <v>1</v>
      </c>
    </row>
    <row r="15" spans="1:29" ht="71.25">
      <c r="A15" s="3301"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97</v>
      </c>
      <c r="I15" s="401"/>
      <c r="J15" s="400">
        <f>SUMIF(77:77,I16,78:78)-SUMIF(77:77,C16,78:78)+100</f>
        <v>100</v>
      </c>
      <c r="K15" s="571">
        <v>3</v>
      </c>
      <c r="L15" s="2900"/>
      <c r="M15" s="2894"/>
      <c r="N15" s="2894"/>
      <c r="O15" s="2894"/>
      <c r="P15" s="3532" t="s">
        <v>2140</v>
      </c>
      <c r="Q15" s="1487" t="str">
        <f t="shared" si="6"/>
        <v>办公集聚程度</v>
      </c>
      <c r="R15" s="714" t="s">
        <v>17</v>
      </c>
      <c r="S15" s="715">
        <f t="shared" si="0"/>
        <v>100</v>
      </c>
      <c r="T15" s="714" t="s">
        <v>17</v>
      </c>
      <c r="U15" s="715">
        <f t="shared" si="1"/>
        <v>97</v>
      </c>
      <c r="V15" s="714" t="s">
        <v>17</v>
      </c>
      <c r="W15" s="715">
        <f t="shared" si="2"/>
        <v>100</v>
      </c>
      <c r="X15" s="1490"/>
      <c r="Y15" s="3534" t="s">
        <v>2140</v>
      </c>
      <c r="Z15" s="1491" t="str">
        <f t="shared" si="7"/>
        <v>办公集聚程度</v>
      </c>
      <c r="AA15" s="1488">
        <f t="shared" si="3"/>
        <v>1</v>
      </c>
      <c r="AB15" s="1488">
        <f t="shared" si="4"/>
        <v>1.0309278350515463</v>
      </c>
      <c r="AC15" s="2099">
        <f t="shared" si="5"/>
        <v>1</v>
      </c>
    </row>
    <row r="16" spans="1:29" ht="15">
      <c r="A16" s="387"/>
      <c r="B16" s="586"/>
      <c r="C16" s="3285" t="s">
        <v>3373</v>
      </c>
      <c r="D16" s="407"/>
      <c r="E16" s="3286" t="s">
        <v>3373</v>
      </c>
      <c r="F16" s="407"/>
      <c r="G16" s="3285" t="s">
        <v>3374</v>
      </c>
      <c r="H16" s="409"/>
      <c r="I16" s="3286" t="s">
        <v>3373</v>
      </c>
      <c r="J16" s="407"/>
      <c r="K16" s="572"/>
      <c r="L16" s="2900"/>
      <c r="M16" s="2894"/>
      <c r="N16" s="2894"/>
      <c r="O16" s="2894"/>
      <c r="P16" s="3533"/>
      <c r="Q16" s="1487"/>
      <c r="R16" s="714"/>
      <c r="S16" s="715"/>
      <c r="T16" s="714"/>
      <c r="U16" s="715"/>
      <c r="V16" s="714"/>
      <c r="W16" s="715"/>
      <c r="X16" s="1490"/>
      <c r="Y16" s="353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33"/>
      <c r="Q17" s="1487" t="str">
        <f>B17</f>
        <v>交通便捷度</v>
      </c>
      <c r="R17" s="714" t="s">
        <v>17</v>
      </c>
      <c r="S17" s="715">
        <f>F17</f>
        <v>100</v>
      </c>
      <c r="T17" s="714" t="s">
        <v>17</v>
      </c>
      <c r="U17" s="715">
        <f>H17</f>
        <v>100</v>
      </c>
      <c r="V17" s="714" t="s">
        <v>17</v>
      </c>
      <c r="W17" s="715">
        <f>J17</f>
        <v>100</v>
      </c>
      <c r="X17" s="1490"/>
      <c r="Y17" s="3535"/>
      <c r="Z17" s="1491" t="str">
        <f>Q17</f>
        <v>交通便捷度</v>
      </c>
      <c r="AA17" s="1488">
        <f t="shared" si="3"/>
        <v>1</v>
      </c>
      <c r="AB17" s="1488">
        <f t="shared" si="4"/>
        <v>1</v>
      </c>
      <c r="AC17" s="2099">
        <f t="shared" si="5"/>
        <v>1</v>
      </c>
    </row>
    <row r="18" spans="1:29" ht="15">
      <c r="A18" s="387"/>
      <c r="B18" s="588"/>
      <c r="C18" s="3287" t="s">
        <v>3373</v>
      </c>
      <c r="D18" s="409"/>
      <c r="E18" s="3288" t="s">
        <v>3373</v>
      </c>
      <c r="F18" s="409"/>
      <c r="G18" s="3289" t="s">
        <v>3373</v>
      </c>
      <c r="H18" s="407"/>
      <c r="I18" s="3289" t="s">
        <v>3373</v>
      </c>
      <c r="J18" s="407"/>
      <c r="K18" s="572"/>
      <c r="L18" s="3290"/>
      <c r="M18" s="2894"/>
      <c r="N18" s="2894"/>
      <c r="O18" s="2894"/>
      <c r="P18" s="3533"/>
      <c r="Q18" s="1487"/>
      <c r="R18" s="714"/>
      <c r="S18" s="715"/>
      <c r="T18" s="714"/>
      <c r="U18" s="715"/>
      <c r="V18" s="714"/>
      <c r="W18" s="715"/>
      <c r="X18" s="1490"/>
      <c r="Y18" s="353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33"/>
      <c r="Q19" s="1487" t="str">
        <f>B19</f>
        <v>公共配套设施</v>
      </c>
      <c r="R19" s="714" t="s">
        <v>17</v>
      </c>
      <c r="S19" s="715">
        <f>F19</f>
        <v>100</v>
      </c>
      <c r="T19" s="714" t="s">
        <v>17</v>
      </c>
      <c r="U19" s="715">
        <f>H19</f>
        <v>100</v>
      </c>
      <c r="V19" s="714" t="s">
        <v>17</v>
      </c>
      <c r="W19" s="715">
        <f>J19</f>
        <v>100</v>
      </c>
      <c r="X19" s="1490"/>
      <c r="Y19" s="3535"/>
      <c r="Z19" s="1491" t="str">
        <f>Q19</f>
        <v>公共配套设施</v>
      </c>
      <c r="AA19" s="1488">
        <f t="shared" si="3"/>
        <v>1</v>
      </c>
      <c r="AB19" s="1488">
        <f t="shared" si="4"/>
        <v>1</v>
      </c>
      <c r="AC19" s="2099">
        <f t="shared" si="5"/>
        <v>1</v>
      </c>
    </row>
    <row r="20" spans="1:29" ht="15">
      <c r="A20" s="387"/>
      <c r="B20" s="588"/>
      <c r="C20" s="3285" t="s">
        <v>3375</v>
      </c>
      <c r="D20" s="407"/>
      <c r="E20" s="3291" t="s">
        <v>3373</v>
      </c>
      <c r="F20" s="407"/>
      <c r="G20" s="3292" t="s">
        <v>3373</v>
      </c>
      <c r="H20" s="407"/>
      <c r="I20" s="3292" t="s">
        <v>3373</v>
      </c>
      <c r="J20" s="407"/>
      <c r="K20" s="572"/>
      <c r="L20" s="2900"/>
      <c r="M20" s="2894"/>
      <c r="N20" s="2894"/>
      <c r="O20" s="2894"/>
      <c r="P20" s="3533"/>
      <c r="Q20" s="1487"/>
      <c r="R20" s="714"/>
      <c r="S20" s="715"/>
      <c r="T20" s="714"/>
      <c r="U20" s="715"/>
      <c r="V20" s="714"/>
      <c r="W20" s="715"/>
      <c r="X20" s="1490"/>
      <c r="Y20" s="353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33"/>
      <c r="Q21" s="1487" t="str">
        <f>B21</f>
        <v>基础设施水平</v>
      </c>
      <c r="R21" s="714" t="s">
        <v>17</v>
      </c>
      <c r="S21" s="715">
        <f>F21</f>
        <v>100</v>
      </c>
      <c r="T21" s="714" t="s">
        <v>17</v>
      </c>
      <c r="U21" s="715">
        <f>H21</f>
        <v>100</v>
      </c>
      <c r="V21" s="714" t="s">
        <v>17</v>
      </c>
      <c r="W21" s="715">
        <f>J21</f>
        <v>100</v>
      </c>
      <c r="X21" s="1490"/>
      <c r="Y21" s="3535"/>
      <c r="Z21" s="1491" t="str">
        <f>Q21</f>
        <v>基础设施水平</v>
      </c>
      <c r="AA21" s="1488">
        <f t="shared" ref="AA21" si="8">D21/F21</f>
        <v>1</v>
      </c>
      <c r="AB21" s="1488">
        <f t="shared" ref="AB21" si="9">D21/H21</f>
        <v>1</v>
      </c>
      <c r="AC21" s="2099">
        <f t="shared" ref="AC21" si="10">D21/J21</f>
        <v>1</v>
      </c>
    </row>
    <row r="22" spans="1:29" ht="15">
      <c r="A22" s="387"/>
      <c r="B22" s="589"/>
      <c r="C22" s="3287" t="s">
        <v>3376</v>
      </c>
      <c r="D22" s="407"/>
      <c r="E22" s="3286" t="s">
        <v>3377</v>
      </c>
      <c r="F22" s="407"/>
      <c r="G22" s="3285" t="s">
        <v>3378</v>
      </c>
      <c r="H22" s="407"/>
      <c r="I22" s="3285" t="s">
        <v>3378</v>
      </c>
      <c r="J22" s="407"/>
      <c r="K22" s="1245"/>
      <c r="L22" s="2900"/>
      <c r="M22" s="2894"/>
      <c r="N22" s="2894"/>
      <c r="O22" s="2894"/>
      <c r="P22" s="3533"/>
      <c r="Q22" s="1487"/>
      <c r="R22" s="714"/>
      <c r="S22" s="715"/>
      <c r="T22" s="714"/>
      <c r="U22" s="715"/>
      <c r="V22" s="714"/>
      <c r="W22" s="715"/>
      <c r="X22" s="1490"/>
      <c r="Y22" s="353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33"/>
      <c r="Q23" s="1487" t="str">
        <f>B23</f>
        <v>环境质量</v>
      </c>
      <c r="R23" s="714" t="s">
        <v>17</v>
      </c>
      <c r="S23" s="715">
        <f>F23</f>
        <v>100</v>
      </c>
      <c r="T23" s="714" t="s">
        <v>17</v>
      </c>
      <c r="U23" s="715">
        <f>H23</f>
        <v>100</v>
      </c>
      <c r="V23" s="714" t="s">
        <v>17</v>
      </c>
      <c r="W23" s="715">
        <f>J23</f>
        <v>100</v>
      </c>
      <c r="X23" s="1490"/>
      <c r="Y23" s="3535"/>
      <c r="Z23" s="1491" t="str">
        <f>Q23</f>
        <v>环境质量</v>
      </c>
      <c r="AA23" s="1488">
        <f t="shared" si="3"/>
        <v>1</v>
      </c>
      <c r="AB23" s="1488">
        <f t="shared" si="4"/>
        <v>1</v>
      </c>
      <c r="AC23" s="2099">
        <f t="shared" si="5"/>
        <v>1</v>
      </c>
    </row>
    <row r="24" spans="1:29" ht="15">
      <c r="A24" s="387"/>
      <c r="B24" s="589"/>
      <c r="C24" s="3285" t="s">
        <v>3373</v>
      </c>
      <c r="D24" s="407"/>
      <c r="E24" s="3291" t="s">
        <v>3373</v>
      </c>
      <c r="F24" s="407"/>
      <c r="G24" s="3292" t="s">
        <v>3373</v>
      </c>
      <c r="H24" s="407"/>
      <c r="I24" s="3292" t="s">
        <v>3373</v>
      </c>
      <c r="J24" s="407"/>
      <c r="K24" s="572"/>
      <c r="L24" s="2900"/>
      <c r="M24" s="2894"/>
      <c r="N24" s="2894"/>
      <c r="O24" s="2894"/>
      <c r="P24" s="3533"/>
      <c r="Q24" s="1487"/>
      <c r="R24" s="714"/>
      <c r="S24" s="715"/>
      <c r="T24" s="714"/>
      <c r="U24" s="715"/>
      <c r="V24" s="714"/>
      <c r="W24" s="715"/>
      <c r="X24" s="1490"/>
      <c r="Y24" s="353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33"/>
      <c r="Q25" s="1487" t="str">
        <f>B25</f>
        <v>毗邻道路的类型与等级</v>
      </c>
      <c r="R25" s="714" t="s">
        <v>17</v>
      </c>
      <c r="S25" s="715">
        <f>F25</f>
        <v>100</v>
      </c>
      <c r="T25" s="714" t="s">
        <v>17</v>
      </c>
      <c r="U25" s="715">
        <f>H25</f>
        <v>100</v>
      </c>
      <c r="V25" s="714" t="s">
        <v>17</v>
      </c>
      <c r="W25" s="715">
        <f>J25</f>
        <v>100</v>
      </c>
      <c r="X25" s="1490"/>
      <c r="Y25" s="353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533"/>
      <c r="Q26" s="1487"/>
      <c r="R26" s="714"/>
      <c r="S26" s="715"/>
      <c r="T26" s="714"/>
      <c r="U26" s="715"/>
      <c r="V26" s="714"/>
      <c r="W26" s="715"/>
      <c r="X26" s="1490"/>
      <c r="Y26" s="353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33"/>
      <c r="Q27" s="1487" t="str">
        <f t="shared" ref="Q27:Q47" si="11">B27</f>
        <v>楼层</v>
      </c>
      <c r="R27" s="714" t="s">
        <v>17</v>
      </c>
      <c r="S27" s="715">
        <f>F27</f>
        <v>100</v>
      </c>
      <c r="T27" s="714" t="s">
        <v>17</v>
      </c>
      <c r="U27" s="715">
        <f>H27</f>
        <v>100</v>
      </c>
      <c r="V27" s="714" t="s">
        <v>17</v>
      </c>
      <c r="W27" s="715">
        <f>J27</f>
        <v>100</v>
      </c>
      <c r="X27" s="1490"/>
      <c r="Y27" s="3535"/>
      <c r="Z27" s="1491" t="str">
        <f>Q27</f>
        <v>楼层</v>
      </c>
      <c r="AA27" s="1488">
        <f t="shared" si="3"/>
        <v>1</v>
      </c>
      <c r="AB27" s="1488">
        <f t="shared" si="4"/>
        <v>1</v>
      </c>
      <c r="AC27" s="2099">
        <f t="shared" si="5"/>
        <v>1</v>
      </c>
    </row>
    <row r="28" spans="1:29" s="113" customFormat="1" ht="15">
      <c r="A28" s="390"/>
      <c r="B28" s="587" t="s">
        <v>2272</v>
      </c>
      <c r="C28" s="2101"/>
      <c r="D28" s="421">
        <v>100</v>
      </c>
      <c r="E28" s="2093"/>
      <c r="F28" s="421">
        <f>SUMIF(91:91,E28,92:92)-SUMIF(91:91,C28,92:92)+100</f>
        <v>100</v>
      </c>
      <c r="G28" s="2101"/>
      <c r="H28" s="421">
        <f>SUMIF(91:91,G28,92:92)-SUMIF(91:91,C28,92:92)+100</f>
        <v>100</v>
      </c>
      <c r="I28" s="2093"/>
      <c r="J28" s="421">
        <f>SUMIF(91:91,I28,92:92)-SUMIF(91:91,C28,92:92)+100</f>
        <v>100</v>
      </c>
      <c r="K28" s="569"/>
      <c r="L28" s="2895"/>
      <c r="M28" s="2896"/>
      <c r="N28" s="2896"/>
      <c r="O28" s="2896"/>
      <c r="P28" s="3533"/>
      <c r="Q28" s="1478" t="str">
        <f t="shared" si="11"/>
        <v>朝向</v>
      </c>
      <c r="R28" s="710" t="s">
        <v>17</v>
      </c>
      <c r="S28" s="711">
        <f>F28</f>
        <v>100</v>
      </c>
      <c r="T28" s="710" t="s">
        <v>17</v>
      </c>
      <c r="U28" s="711">
        <f>H28</f>
        <v>100</v>
      </c>
      <c r="V28" s="710" t="s">
        <v>17</v>
      </c>
      <c r="W28" s="711">
        <f>J28</f>
        <v>100</v>
      </c>
      <c r="X28" s="712"/>
      <c r="Y28" s="3535"/>
      <c r="Z28" s="55" t="str">
        <f>Q28</f>
        <v>朝向</v>
      </c>
      <c r="AA28" s="1488">
        <f>D28/F28</f>
        <v>1</v>
      </c>
      <c r="AB28" s="1488">
        <f>D28/H28</f>
        <v>1</v>
      </c>
      <c r="AC28" s="2099">
        <f>D28/J28</f>
        <v>1</v>
      </c>
    </row>
    <row r="29" spans="1:29" ht="15">
      <c r="A29" s="387"/>
      <c r="B29" s="2102">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33"/>
      <c r="Q29" s="1487">
        <f t="shared" si="11"/>
        <v>111</v>
      </c>
      <c r="R29" s="714" t="s">
        <v>17</v>
      </c>
      <c r="S29" s="715">
        <f t="shared" ref="S29:S47" si="12">F29</f>
        <v>100</v>
      </c>
      <c r="T29" s="714" t="s">
        <v>17</v>
      </c>
      <c r="U29" s="715">
        <f t="shared" ref="U29:U47" si="13">H29</f>
        <v>100</v>
      </c>
      <c r="V29" s="714" t="s">
        <v>17</v>
      </c>
      <c r="W29" s="715">
        <f t="shared" ref="W29:W47" si="14">J29</f>
        <v>100</v>
      </c>
      <c r="X29" s="1490"/>
      <c r="Y29" s="3535"/>
      <c r="Z29" s="1491">
        <f t="shared" ref="Z29:Z47" si="15">Q29</f>
        <v>111</v>
      </c>
      <c r="AA29" s="1488">
        <f t="shared" si="3"/>
        <v>1</v>
      </c>
      <c r="AB29" s="1488">
        <f t="shared" si="4"/>
        <v>1</v>
      </c>
      <c r="AC29" s="2099">
        <f t="shared" si="5"/>
        <v>1</v>
      </c>
    </row>
    <row r="30" spans="1:29" ht="15">
      <c r="A30" s="387"/>
      <c r="B30" s="2102">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33"/>
      <c r="Q30" s="1487">
        <f t="shared" si="11"/>
        <v>111</v>
      </c>
      <c r="R30" s="714" t="s">
        <v>17</v>
      </c>
      <c r="S30" s="715">
        <f t="shared" si="12"/>
        <v>100</v>
      </c>
      <c r="T30" s="714" t="s">
        <v>17</v>
      </c>
      <c r="U30" s="715">
        <f t="shared" si="13"/>
        <v>100</v>
      </c>
      <c r="V30" s="714" t="s">
        <v>17</v>
      </c>
      <c r="W30" s="715">
        <f t="shared" si="14"/>
        <v>100</v>
      </c>
      <c r="X30" s="1490"/>
      <c r="Y30" s="3535"/>
      <c r="Z30" s="1491">
        <f t="shared" si="15"/>
        <v>111</v>
      </c>
      <c r="AA30" s="1488">
        <f t="shared" si="3"/>
        <v>1</v>
      </c>
      <c r="AB30" s="1488">
        <f t="shared" si="4"/>
        <v>1</v>
      </c>
      <c r="AC30" s="2099">
        <f t="shared" si="5"/>
        <v>1</v>
      </c>
    </row>
    <row r="31" spans="1:29" ht="15">
      <c r="A31" s="387"/>
      <c r="B31" s="2102">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33"/>
      <c r="Q31" s="1487">
        <f t="shared" si="11"/>
        <v>111</v>
      </c>
      <c r="R31" s="714" t="s">
        <v>17</v>
      </c>
      <c r="S31" s="715">
        <f t="shared" si="12"/>
        <v>100</v>
      </c>
      <c r="T31" s="714" t="s">
        <v>17</v>
      </c>
      <c r="U31" s="715">
        <f t="shared" si="13"/>
        <v>100</v>
      </c>
      <c r="V31" s="714" t="s">
        <v>17</v>
      </c>
      <c r="W31" s="715">
        <f t="shared" si="14"/>
        <v>100</v>
      </c>
      <c r="X31" s="1490"/>
      <c r="Y31" s="353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33"/>
      <c r="Q32" s="1487">
        <f t="shared" si="11"/>
        <v>111</v>
      </c>
      <c r="R32" s="714" t="s">
        <v>17</v>
      </c>
      <c r="S32" s="715">
        <f t="shared" si="12"/>
        <v>100</v>
      </c>
      <c r="T32" s="714" t="s">
        <v>17</v>
      </c>
      <c r="U32" s="715">
        <f t="shared" si="13"/>
        <v>100</v>
      </c>
      <c r="V32" s="714" t="s">
        <v>17</v>
      </c>
      <c r="W32" s="715">
        <f t="shared" si="14"/>
        <v>100</v>
      </c>
      <c r="X32" s="1490"/>
      <c r="Y32" s="3535"/>
      <c r="Z32" s="1491">
        <f t="shared" si="15"/>
        <v>111</v>
      </c>
      <c r="AA32" s="1488">
        <f t="shared" si="3"/>
        <v>1</v>
      </c>
      <c r="AB32" s="1488">
        <f t="shared" si="4"/>
        <v>1</v>
      </c>
      <c r="AC32" s="2099">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36" t="s">
        <v>2145</v>
      </c>
      <c r="Q33" s="1487" t="str">
        <f t="shared" si="11"/>
        <v>建筑类型</v>
      </c>
      <c r="R33" s="714" t="s">
        <v>17</v>
      </c>
      <c r="S33" s="715">
        <f t="shared" si="12"/>
        <v>100</v>
      </c>
      <c r="T33" s="714" t="s">
        <v>17</v>
      </c>
      <c r="U33" s="715">
        <f t="shared" si="13"/>
        <v>100</v>
      </c>
      <c r="V33" s="714" t="s">
        <v>17</v>
      </c>
      <c r="W33" s="715">
        <f t="shared" si="14"/>
        <v>100</v>
      </c>
      <c r="X33" s="1490"/>
      <c r="Y33" s="3539" t="s">
        <v>2145</v>
      </c>
      <c r="Z33" s="1491" t="str">
        <f t="shared" si="15"/>
        <v>建筑类型</v>
      </c>
      <c r="AA33" s="1488">
        <f t="shared" si="3"/>
        <v>1</v>
      </c>
      <c r="AB33" s="1488">
        <f t="shared" si="4"/>
        <v>1</v>
      </c>
      <c r="AC33" s="2099">
        <f t="shared" si="5"/>
        <v>1</v>
      </c>
    </row>
    <row r="34" spans="1:29" s="430" customFormat="1" ht="15">
      <c r="A34" s="427"/>
      <c r="B34" s="381" t="s">
        <v>2146</v>
      </c>
      <c r="C34" s="428">
        <f>'数据-汇总表'!F31</f>
        <v>42113.560000000005</v>
      </c>
      <c r="D34" s="132">
        <v>100</v>
      </c>
      <c r="E34" s="389">
        <v>52838</v>
      </c>
      <c r="F34" s="384">
        <f>LOOKUP(E34,104:104,105:105)-LOOKUP(C34,104:104,105:105)+100</f>
        <v>96</v>
      </c>
      <c r="G34" s="388">
        <v>17629.080000000002</v>
      </c>
      <c r="H34" s="132">
        <f>LOOKUP(G34,104:104,105:105)-LOOKUP(C34,104:104,105:105)+100</f>
        <v>100</v>
      </c>
      <c r="I34" s="388">
        <v>110996</v>
      </c>
      <c r="J34" s="132">
        <f>LOOKUP(I34,104:104,105:105)-LOOKUP(C34,104:104,105:105)+100</f>
        <v>92</v>
      </c>
      <c r="K34" s="570"/>
      <c r="L34" s="2899"/>
      <c r="M34" s="2901"/>
      <c r="N34" s="2901"/>
      <c r="O34" s="2901"/>
      <c r="P34" s="3537"/>
      <c r="Q34" s="716" t="str">
        <f t="shared" si="11"/>
        <v>项目建筑规模</v>
      </c>
      <c r="R34" s="717" t="s">
        <v>17</v>
      </c>
      <c r="S34" s="718">
        <f t="shared" si="12"/>
        <v>96</v>
      </c>
      <c r="T34" s="717" t="s">
        <v>17</v>
      </c>
      <c r="U34" s="718">
        <f t="shared" si="13"/>
        <v>100</v>
      </c>
      <c r="V34" s="717" t="s">
        <v>17</v>
      </c>
      <c r="W34" s="718">
        <f t="shared" si="14"/>
        <v>92</v>
      </c>
      <c r="X34" s="719"/>
      <c r="Y34" s="3539"/>
      <c r="Z34" s="720" t="str">
        <f t="shared" si="15"/>
        <v>项目建筑规模</v>
      </c>
      <c r="AA34" s="1488">
        <f t="shared" si="3"/>
        <v>1.0416666666666667</v>
      </c>
      <c r="AB34" s="1488">
        <f t="shared" si="4"/>
        <v>1</v>
      </c>
      <c r="AC34" s="2099">
        <f t="shared" si="5"/>
        <v>1.0869565217391304</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37"/>
      <c r="Q35" s="1487" t="str">
        <f t="shared" si="11"/>
        <v>建筑结构</v>
      </c>
      <c r="R35" s="714" t="s">
        <v>17</v>
      </c>
      <c r="S35" s="715">
        <f t="shared" si="12"/>
        <v>100</v>
      </c>
      <c r="T35" s="714" t="s">
        <v>17</v>
      </c>
      <c r="U35" s="715">
        <f t="shared" si="13"/>
        <v>100</v>
      </c>
      <c r="V35" s="714" t="s">
        <v>17</v>
      </c>
      <c r="W35" s="715">
        <f t="shared" si="14"/>
        <v>100</v>
      </c>
      <c r="X35" s="1490"/>
      <c r="Y35" s="353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37"/>
      <c r="Q36" s="1487" t="str">
        <f t="shared" si="11"/>
        <v>公共部分装修</v>
      </c>
      <c r="R36" s="714" t="s">
        <v>17</v>
      </c>
      <c r="S36" s="715">
        <f t="shared" si="12"/>
        <v>100</v>
      </c>
      <c r="T36" s="714" t="s">
        <v>17</v>
      </c>
      <c r="U36" s="715">
        <f t="shared" si="13"/>
        <v>100</v>
      </c>
      <c r="V36" s="714" t="s">
        <v>17</v>
      </c>
      <c r="W36" s="715">
        <f t="shared" si="14"/>
        <v>100</v>
      </c>
      <c r="X36" s="1490"/>
      <c r="Y36" s="3539"/>
      <c r="Z36" s="1491" t="str">
        <f t="shared" si="15"/>
        <v>公共部分装修</v>
      </c>
      <c r="AA36" s="1488">
        <f t="shared" si="3"/>
        <v>1</v>
      </c>
      <c r="AB36" s="1488">
        <f t="shared" si="4"/>
        <v>1</v>
      </c>
      <c r="AC36" s="2099">
        <f t="shared" si="5"/>
        <v>1</v>
      </c>
    </row>
    <row r="37" spans="1:29" ht="15">
      <c r="A37" s="431"/>
      <c r="B37" s="3316" t="s">
        <v>2242</v>
      </c>
      <c r="C37" s="3317">
        <v>0.81</v>
      </c>
      <c r="D37" s="394">
        <v>100</v>
      </c>
      <c r="E37" s="433">
        <v>0.87</v>
      </c>
      <c r="F37" s="420">
        <f>LOOKUP(E37,111:111,112:112)-LOOKUP(C37,111:111,112:112)+100</f>
        <v>100</v>
      </c>
      <c r="G37" s="433">
        <v>0.85</v>
      </c>
      <c r="H37" s="420">
        <f>LOOKUP(G37,111:111,112:112)-LOOKUP(C37,111:111,112:112)+100</f>
        <v>100</v>
      </c>
      <c r="I37" s="433">
        <f>C37</f>
        <v>0.81</v>
      </c>
      <c r="J37" s="394">
        <f>LOOKUP(I37,111:111,112:112)-LOOKUP(C37,111:111,112:112)+100</f>
        <v>100</v>
      </c>
      <c r="K37" s="3318">
        <v>5</v>
      </c>
      <c r="L37" s="2900"/>
      <c r="M37" s="2894"/>
      <c r="N37" s="2894"/>
      <c r="O37" s="2894"/>
      <c r="P37" s="3537"/>
      <c r="Q37" s="1487" t="str">
        <f t="shared" si="11"/>
        <v>成新度</v>
      </c>
      <c r="R37" s="714" t="s">
        <v>17</v>
      </c>
      <c r="S37" s="715">
        <f t="shared" si="12"/>
        <v>100</v>
      </c>
      <c r="T37" s="714" t="s">
        <v>17</v>
      </c>
      <c r="U37" s="715">
        <f t="shared" si="13"/>
        <v>100</v>
      </c>
      <c r="V37" s="714" t="s">
        <v>17</v>
      </c>
      <c r="W37" s="715">
        <f t="shared" si="14"/>
        <v>100</v>
      </c>
      <c r="X37" s="1490"/>
      <c r="Y37" s="3539"/>
      <c r="Z37" s="1491" t="str">
        <f t="shared" si="15"/>
        <v>成新度</v>
      </c>
      <c r="AA37" s="1488">
        <f t="shared" si="3"/>
        <v>1</v>
      </c>
      <c r="AB37" s="1488">
        <f t="shared" si="4"/>
        <v>1</v>
      </c>
      <c r="AC37" s="2099">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37"/>
      <c r="Q38" s="1478" t="str">
        <f t="shared" si="11"/>
        <v>写字楼等级</v>
      </c>
      <c r="R38" s="710" t="s">
        <v>17</v>
      </c>
      <c r="S38" s="711">
        <f t="shared" si="12"/>
        <v>100</v>
      </c>
      <c r="T38" s="710" t="s">
        <v>17</v>
      </c>
      <c r="U38" s="711">
        <f t="shared" si="13"/>
        <v>100</v>
      </c>
      <c r="V38" s="710" t="s">
        <v>17</v>
      </c>
      <c r="W38" s="711">
        <f t="shared" si="14"/>
        <v>100</v>
      </c>
      <c r="X38" s="712"/>
      <c r="Y38" s="353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37" t="s">
        <v>2145</v>
      </c>
      <c r="Q39" s="1487" t="str">
        <f t="shared" si="11"/>
        <v>物业管理</v>
      </c>
      <c r="R39" s="714" t="s">
        <v>17</v>
      </c>
      <c r="S39" s="715">
        <f t="shared" si="12"/>
        <v>100</v>
      </c>
      <c r="T39" s="714" t="s">
        <v>17</v>
      </c>
      <c r="U39" s="715">
        <f t="shared" si="13"/>
        <v>100</v>
      </c>
      <c r="V39" s="714" t="s">
        <v>17</v>
      </c>
      <c r="W39" s="715">
        <f t="shared" si="14"/>
        <v>100</v>
      </c>
      <c r="X39" s="1490"/>
      <c r="Y39" s="353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37"/>
      <c r="Q40" s="1487" t="str">
        <f t="shared" si="11"/>
        <v>市政基础设施</v>
      </c>
      <c r="R40" s="714" t="s">
        <v>17</v>
      </c>
      <c r="S40" s="715">
        <f t="shared" si="12"/>
        <v>100</v>
      </c>
      <c r="T40" s="714" t="s">
        <v>17</v>
      </c>
      <c r="U40" s="715">
        <f t="shared" si="13"/>
        <v>100</v>
      </c>
      <c r="V40" s="714" t="s">
        <v>17</v>
      </c>
      <c r="W40" s="715">
        <f t="shared" si="14"/>
        <v>100</v>
      </c>
      <c r="X40" s="1490"/>
      <c r="Y40" s="353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37"/>
      <c r="Q41" s="1487" t="str">
        <f t="shared" si="11"/>
        <v>层高</v>
      </c>
      <c r="R41" s="714" t="s">
        <v>17</v>
      </c>
      <c r="S41" s="715">
        <f t="shared" si="12"/>
        <v>100</v>
      </c>
      <c r="T41" s="714" t="s">
        <v>17</v>
      </c>
      <c r="U41" s="715">
        <f t="shared" si="13"/>
        <v>100</v>
      </c>
      <c r="V41" s="714" t="s">
        <v>17</v>
      </c>
      <c r="W41" s="715">
        <f t="shared" si="14"/>
        <v>100</v>
      </c>
      <c r="X41" s="1490"/>
      <c r="Y41" s="353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37"/>
      <c r="Q42" s="716" t="str">
        <f t="shared" si="11"/>
        <v>单套建筑面积</v>
      </c>
      <c r="R42" s="717" t="s">
        <v>17</v>
      </c>
      <c r="S42" s="718">
        <f t="shared" si="12"/>
        <v>100</v>
      </c>
      <c r="T42" s="717" t="s">
        <v>17</v>
      </c>
      <c r="U42" s="718">
        <f t="shared" si="13"/>
        <v>100</v>
      </c>
      <c r="V42" s="717" t="s">
        <v>17</v>
      </c>
      <c r="W42" s="718">
        <f t="shared" si="14"/>
        <v>100</v>
      </c>
      <c r="X42" s="719"/>
      <c r="Y42" s="353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37"/>
      <c r="Q43" s="1487" t="str">
        <f t="shared" si="11"/>
        <v>内部装修</v>
      </c>
      <c r="R43" s="714" t="s">
        <v>17</v>
      </c>
      <c r="S43" s="715">
        <f t="shared" si="12"/>
        <v>100</v>
      </c>
      <c r="T43" s="714" t="s">
        <v>17</v>
      </c>
      <c r="U43" s="715">
        <f t="shared" si="13"/>
        <v>100</v>
      </c>
      <c r="V43" s="714" t="s">
        <v>17</v>
      </c>
      <c r="W43" s="715">
        <f t="shared" si="14"/>
        <v>100</v>
      </c>
      <c r="X43" s="1490"/>
      <c r="Y43" s="353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537"/>
      <c r="Q44" s="1487" t="str">
        <f t="shared" si="11"/>
        <v>内部装修维护情况</v>
      </c>
      <c r="R44" s="714" t="s">
        <v>17</v>
      </c>
      <c r="S44" s="715">
        <f t="shared" si="12"/>
        <v>100</v>
      </c>
      <c r="T44" s="714" t="s">
        <v>17</v>
      </c>
      <c r="U44" s="715">
        <f t="shared" si="13"/>
        <v>100</v>
      </c>
      <c r="V44" s="714" t="s">
        <v>17</v>
      </c>
      <c r="W44" s="715">
        <f t="shared" si="14"/>
        <v>100</v>
      </c>
      <c r="X44" s="1490"/>
      <c r="Y44" s="3539"/>
      <c r="Z44" s="1491" t="str">
        <f t="shared" si="15"/>
        <v>内部装修维护情况</v>
      </c>
      <c r="AA44" s="1488">
        <f t="shared" si="3"/>
        <v>1</v>
      </c>
      <c r="AB44" s="1488">
        <f t="shared" si="4"/>
        <v>1</v>
      </c>
      <c r="AC44" s="2099">
        <f t="shared" si="5"/>
        <v>1</v>
      </c>
    </row>
    <row r="45" spans="1:29" s="113" customFormat="1" ht="15">
      <c r="A45" s="432"/>
      <c r="B45" s="3304" t="s">
        <v>3379</v>
      </c>
      <c r="C45" s="3294" t="str">
        <f>C127</f>
        <v>小（0-20%）</v>
      </c>
      <c r="D45" s="132">
        <v>100</v>
      </c>
      <c r="E45" s="3295" t="str">
        <f>C127</f>
        <v>小（0-20%）</v>
      </c>
      <c r="F45" s="384">
        <f>SUMIF(127:127,E45,128:128)-SUMIF(127:127,C45,128:128)+100</f>
        <v>100</v>
      </c>
      <c r="G45" s="3322" t="str">
        <f>F127</f>
        <v>大（40%以上）</v>
      </c>
      <c r="H45" s="3307">
        <f>SUMIF(127:127,G45,128:128)-SUMIF(127:127,C45,128:128)+100</f>
        <v>85</v>
      </c>
      <c r="I45" s="3302" t="str">
        <f>D127</f>
        <v>中（20%-30%）</v>
      </c>
      <c r="J45" s="132">
        <f>SUMIF(127:127,I45,128:128)-SUMIF(127:127,C45,128:128)+100</f>
        <v>95</v>
      </c>
      <c r="K45" s="570"/>
      <c r="L45" s="2895"/>
      <c r="M45" s="2896"/>
      <c r="N45" s="2896"/>
      <c r="O45" s="2896"/>
      <c r="P45" s="3537"/>
      <c r="Q45" s="1478" t="str">
        <f t="shared" si="11"/>
        <v>地下面积占比</v>
      </c>
      <c r="R45" s="710" t="s">
        <v>17</v>
      </c>
      <c r="S45" s="711">
        <f t="shared" si="12"/>
        <v>100</v>
      </c>
      <c r="T45" s="710" t="s">
        <v>17</v>
      </c>
      <c r="U45" s="711">
        <f t="shared" si="13"/>
        <v>85</v>
      </c>
      <c r="V45" s="710" t="s">
        <v>17</v>
      </c>
      <c r="W45" s="711">
        <f t="shared" si="14"/>
        <v>95</v>
      </c>
      <c r="X45" s="712"/>
      <c r="Y45" s="3539"/>
      <c r="Z45" s="55" t="str">
        <f t="shared" si="15"/>
        <v>地下面积占比</v>
      </c>
      <c r="AA45" s="713">
        <f t="shared" si="3"/>
        <v>1</v>
      </c>
      <c r="AB45" s="713">
        <f t="shared" si="4"/>
        <v>1.1764705882352942</v>
      </c>
      <c r="AC45" s="2096">
        <f t="shared" si="5"/>
        <v>1.0526315789473684</v>
      </c>
    </row>
    <row r="46" spans="1:29" ht="15">
      <c r="A46" s="431"/>
      <c r="B46" s="3323" t="s">
        <v>3383</v>
      </c>
      <c r="C46" s="3324" t="s">
        <v>3384</v>
      </c>
      <c r="D46" s="394">
        <v>100</v>
      </c>
      <c r="E46" s="3295" t="s">
        <v>3385</v>
      </c>
      <c r="F46" s="420">
        <f>SUMIF(129:129,E46,130:130)-SUMIF(129:129,C46,130:130)+100</f>
        <v>100</v>
      </c>
      <c r="G46" s="3295" t="s">
        <v>3386</v>
      </c>
      <c r="H46" s="394">
        <f>SUMIF(129:129,G46,130:130)-SUMIF(129:129,C46,130:130)+100</f>
        <v>95</v>
      </c>
      <c r="I46" s="3295" t="s">
        <v>3385</v>
      </c>
      <c r="J46" s="394">
        <f>SUMIF(129:129,I46,130:130)-SUMIF(129:129,C46,130:130)+100</f>
        <v>100</v>
      </c>
      <c r="K46" s="570"/>
      <c r="L46" s="2900"/>
      <c r="M46" s="2894"/>
      <c r="N46" s="2894"/>
      <c r="O46" s="2894"/>
      <c r="P46" s="3537"/>
      <c r="Q46" s="1487" t="str">
        <f t="shared" si="11"/>
        <v>现状</v>
      </c>
      <c r="R46" s="714" t="s">
        <v>17</v>
      </c>
      <c r="S46" s="715">
        <f t="shared" si="12"/>
        <v>100</v>
      </c>
      <c r="T46" s="714" t="s">
        <v>17</v>
      </c>
      <c r="U46" s="715">
        <f t="shared" si="13"/>
        <v>95</v>
      </c>
      <c r="V46" s="714" t="s">
        <v>17</v>
      </c>
      <c r="W46" s="715">
        <f t="shared" si="14"/>
        <v>100</v>
      </c>
      <c r="X46" s="1490"/>
      <c r="Y46" s="3539"/>
      <c r="Z46" s="1491" t="str">
        <f t="shared" si="15"/>
        <v>现状</v>
      </c>
      <c r="AA46" s="1488">
        <f t="shared" si="3"/>
        <v>1</v>
      </c>
      <c r="AB46" s="1488">
        <f t="shared" si="4"/>
        <v>1.0526315789473684</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38"/>
      <c r="Q47" s="1487">
        <f t="shared" si="11"/>
        <v>111</v>
      </c>
      <c r="R47" s="714" t="s">
        <v>17</v>
      </c>
      <c r="S47" s="715">
        <f t="shared" si="12"/>
        <v>100</v>
      </c>
      <c r="T47" s="714" t="s">
        <v>17</v>
      </c>
      <c r="U47" s="715">
        <f t="shared" si="13"/>
        <v>100</v>
      </c>
      <c r="V47" s="714" t="s">
        <v>17</v>
      </c>
      <c r="W47" s="715">
        <f t="shared" si="14"/>
        <v>100</v>
      </c>
      <c r="X47" s="1490"/>
      <c r="Y47" s="3540"/>
      <c r="Z47" s="1491">
        <f t="shared" si="15"/>
        <v>111</v>
      </c>
      <c r="AA47" s="1488">
        <f t="shared" si="3"/>
        <v>1</v>
      </c>
      <c r="AB47" s="1488">
        <f t="shared" si="4"/>
        <v>1</v>
      </c>
      <c r="AC47" s="2099">
        <f t="shared" si="5"/>
        <v>1</v>
      </c>
    </row>
    <row r="48" spans="1:29" ht="15">
      <c r="A48" s="438" t="s">
        <v>2157</v>
      </c>
      <c r="B48" s="439"/>
      <c r="C48" s="1269" t="s">
        <v>1</v>
      </c>
      <c r="D48" s="1270"/>
      <c r="E48" s="3327">
        <f>Sheet1!I74</f>
        <v>56777</v>
      </c>
      <c r="F48" s="1272"/>
      <c r="G48" s="3328">
        <f>Sheet1!I77</f>
        <v>85370</v>
      </c>
      <c r="H48" s="1274"/>
      <c r="I48" s="3327">
        <f>Sheet1!I85</f>
        <v>55732</v>
      </c>
      <c r="J48" s="444"/>
      <c r="K48" s="723"/>
      <c r="L48" s="2902"/>
      <c r="M48" s="2894"/>
      <c r="N48" s="2894"/>
      <c r="O48" s="2894"/>
      <c r="P48" s="3526" t="str">
        <f>A48</f>
        <v>成交单价（元/平方米）</v>
      </c>
      <c r="Q48" s="3527"/>
      <c r="R48" s="3528">
        <f>E48</f>
        <v>56777</v>
      </c>
      <c r="S48" s="3528"/>
      <c r="T48" s="3528">
        <f>G48</f>
        <v>85370</v>
      </c>
      <c r="U48" s="3528"/>
      <c r="V48" s="3528">
        <f>I48</f>
        <v>55732</v>
      </c>
      <c r="W48" s="3528"/>
      <c r="X48" s="405"/>
      <c r="Y48" s="721"/>
      <c r="Z48" s="405"/>
      <c r="AA48" s="405"/>
      <c r="AB48" s="405"/>
      <c r="AC48" s="586"/>
    </row>
    <row r="49" spans="1:29" ht="15.75" thickBot="1">
      <c r="A49" s="445" t="s">
        <v>2249</v>
      </c>
      <c r="B49" s="446"/>
      <c r="C49" s="1275">
        <f>R50</f>
        <v>71262</v>
      </c>
      <c r="D49" s="2488" t="s">
        <v>3393</v>
      </c>
      <c r="E49" s="1276">
        <f>R49</f>
        <v>60972</v>
      </c>
      <c r="F49" s="2489">
        <v>0.4</v>
      </c>
      <c r="G49" s="1275">
        <f>T49</f>
        <v>104232</v>
      </c>
      <c r="H49" s="2489">
        <v>0.2</v>
      </c>
      <c r="I49" s="1276">
        <f>V49</f>
        <v>65068</v>
      </c>
      <c r="J49" s="2489">
        <v>0.4</v>
      </c>
      <c r="K49" s="2491">
        <f>F49+H49+J49</f>
        <v>1</v>
      </c>
      <c r="L49" s="2902"/>
      <c r="M49" s="2894"/>
      <c r="N49" s="2894"/>
      <c r="O49" s="2894"/>
      <c r="P49" s="3526" t="str">
        <f>A49</f>
        <v>比较价值（元/平方米）</v>
      </c>
      <c r="Q49" s="3527"/>
      <c r="R49" s="3528">
        <f>IF(F1="售价",ROUND(PRODUCT(R48,AA7:AA47),0),ROUND(PRODUCT(R48,AA7:AA47),1))</f>
        <v>60972</v>
      </c>
      <c r="S49" s="3528"/>
      <c r="T49" s="3528">
        <f>IF(F1="售价",ROUND(PRODUCT(T48,AB7:AB47),0),ROUND(PRODUCT(T48,AB7:AB47),1))</f>
        <v>104232</v>
      </c>
      <c r="U49" s="3528"/>
      <c r="V49" s="3528">
        <f>IF(F1="售价",ROUND(PRODUCT(V48,AC7:AC47),0),ROUND(PRODUCT(V48,AC7:AC47),1))</f>
        <v>65068</v>
      </c>
      <c r="W49" s="3528"/>
      <c r="X49" s="405"/>
      <c r="Y49" s="405"/>
      <c r="Z49" s="405"/>
      <c r="AA49" s="405"/>
      <c r="AB49" s="405"/>
      <c r="AC49" s="586"/>
    </row>
    <row r="50" spans="1:29" ht="15.75" thickBot="1">
      <c r="A50" s="449" t="s">
        <v>2250</v>
      </c>
      <c r="B50" s="450"/>
      <c r="C50" s="1278">
        <f>R50</f>
        <v>71262</v>
      </c>
      <c r="D50" s="1278"/>
      <c r="E50" s="1278"/>
      <c r="F50" s="1278"/>
      <c r="G50" s="1278"/>
      <c r="H50" s="1278"/>
      <c r="I50" s="1278"/>
      <c r="J50" s="451"/>
      <c r="K50" s="724"/>
      <c r="L50" s="2902"/>
      <c r="M50" s="2894"/>
      <c r="N50" s="2894"/>
      <c r="O50" s="2894"/>
      <c r="P50" s="3529" t="str">
        <f>A50</f>
        <v>估价对象XX用房的比较价值（楼面单价，元/平方米）</v>
      </c>
      <c r="Q50" s="3530"/>
      <c r="R50" s="3531">
        <f>IF(F1="售价",ROUND(IF(D49="简单平均",AVERAGE(R49:V49),R49*F49+T49*H49+V49*J49),0),ROUND(IF(D49="简单平均",AVERAGE(R49:V49),R49*F49+T49*H49+V49*J49),1))</f>
        <v>71262</v>
      </c>
      <c r="S50" s="3531"/>
      <c r="T50" s="3531"/>
      <c r="U50" s="3531"/>
      <c r="V50" s="3531"/>
      <c r="W50" s="3531"/>
      <c r="X50" s="2083"/>
      <c r="Y50" s="2083"/>
      <c r="Z50" s="2083"/>
      <c r="AA50" s="2083"/>
      <c r="AB50" s="2083"/>
      <c r="AC50" s="2084"/>
    </row>
    <row r="51" spans="1:29" ht="138.75">
      <c r="A51" s="2903"/>
      <c r="B51" s="2903"/>
      <c r="C51" s="2903"/>
      <c r="D51" s="2903"/>
      <c r="E51" s="3325" t="s">
        <v>3390</v>
      </c>
      <c r="F51" s="2903"/>
      <c r="G51" s="3326" t="s">
        <v>3391</v>
      </c>
      <c r="H51" s="2903"/>
      <c r="I51" s="2903" t="s">
        <v>3392</v>
      </c>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v>2008</v>
      </c>
      <c r="D52" s="2903"/>
      <c r="E52" s="2903">
        <v>2014</v>
      </c>
      <c r="F52" s="2903"/>
      <c r="G52" s="2903">
        <v>2013</v>
      </c>
      <c r="H52" s="2903"/>
      <c r="I52" s="2903">
        <v>2008</v>
      </c>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7.3885552248269537E-2</v>
      </c>
      <c r="F53" s="457" t="str">
        <f>IF(OR(E53&gt;=0.3,E53&lt;=-0.3),"超过30%","")</f>
        <v/>
      </c>
      <c r="G53" s="456">
        <f>IF(G48&lt;G49,G49/G48-1,G48/G49-1)</f>
        <v>0.22094412557104359</v>
      </c>
      <c r="H53" s="457" t="str">
        <f>IF(OR(G53&gt;=0.3,G53&lt;=-0.3),"超过30%","")</f>
        <v/>
      </c>
      <c r="I53" s="456">
        <f>IF(I48&lt;I49,I49/I48-1,I48/I49-1)</f>
        <v>0.16751596928156176</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0.70950600275536302</v>
      </c>
      <c r="F54" s="457" t="str">
        <f>IF(OR(E54&gt;=0.2,E54&lt;=-0.2),"超过20%","")</f>
        <v>超过20%</v>
      </c>
      <c r="G54" s="456">
        <f>IF(G49&lt;I49,I49/G49-1,G49/I49-1)</f>
        <v>0.60189340382369205</v>
      </c>
      <c r="H54" s="457" t="str">
        <f>IF(OR(G54&gt;=0.2,G54&lt;=-0.2),"超过20%","")</f>
        <v>超过20%</v>
      </c>
      <c r="I54" s="456">
        <f>IF(I49&lt;E49,E49/I49-1,I49/E49-1)</f>
        <v>6.7178376959916131E-2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0.50360181059231723</v>
      </c>
      <c r="F55" s="457" t="str">
        <f>IF(OR(E55&gt;=0.3,E55&lt;=-0.3),"超过30%","")</f>
        <v>超过30%</v>
      </c>
      <c r="G55" s="456">
        <f>IF(G48&lt;I48,I48/G48-1,G48/I48-1)</f>
        <v>0.5317950190195937</v>
      </c>
      <c r="H55" s="457" t="str">
        <f>IF(OR(G55&gt;=0.3,G55&lt;=-0.3),"超过30%","")</f>
        <v>超过30%</v>
      </c>
      <c r="I55" s="456">
        <f>IF(I48&lt;E48,E48/I48-1,I48/E48-1)</f>
        <v>1.8750448575324707E-2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2022-12</v>
      </c>
      <c r="D59" s="1300">
        <f>EDATE(C59,-1)</f>
        <v>44866</v>
      </c>
      <c r="E59" s="1300">
        <f>EDATE(D59,-1)</f>
        <v>44835</v>
      </c>
      <c r="F59" s="1300">
        <f t="shared" ref="F59:O59" si="16">EDATE(E59,-1)</f>
        <v>44805</v>
      </c>
      <c r="G59" s="1300">
        <f t="shared" si="16"/>
        <v>44774</v>
      </c>
      <c r="H59" s="1300">
        <f t="shared" si="16"/>
        <v>44743</v>
      </c>
      <c r="I59" s="1300">
        <f t="shared" si="16"/>
        <v>44713</v>
      </c>
      <c r="J59" s="1300">
        <f t="shared" si="16"/>
        <v>44682</v>
      </c>
      <c r="K59" s="1300">
        <f t="shared" si="16"/>
        <v>44652</v>
      </c>
      <c r="L59" s="1300">
        <f t="shared" si="16"/>
        <v>44621</v>
      </c>
      <c r="M59" s="1300">
        <f t="shared" si="16"/>
        <v>44593</v>
      </c>
      <c r="N59" s="1300">
        <f t="shared" si="16"/>
        <v>44562</v>
      </c>
      <c r="O59" s="1300">
        <f t="shared" si="16"/>
        <v>44531</v>
      </c>
      <c r="P59" s="3280">
        <f t="shared" ref="P59" si="17">EDATE(O59,-1)</f>
        <v>44501</v>
      </c>
      <c r="Q59" s="3280">
        <f t="shared" ref="Q59" si="18">EDATE(P59,-1)</f>
        <v>44470</v>
      </c>
      <c r="R59" s="3280">
        <f t="shared" ref="R59" si="19">EDATE(Q59,-1)</f>
        <v>44440</v>
      </c>
      <c r="S59" s="3280">
        <f t="shared" ref="S59" si="20">EDATE(R59,-1)</f>
        <v>44409</v>
      </c>
      <c r="T59" s="3280">
        <f t="shared" ref="T59" si="21">EDATE(S59,-1)</f>
        <v>44378</v>
      </c>
      <c r="U59" s="3280">
        <f t="shared" ref="U59" si="22">EDATE(T59,-1)</f>
        <v>44348</v>
      </c>
      <c r="V59" s="3280">
        <f t="shared" ref="V59" si="23">EDATE(U59,-1)</f>
        <v>44317</v>
      </c>
      <c r="W59" s="3280">
        <f t="shared" ref="W59" si="24">EDATE(V59,-1)</f>
        <v>44287</v>
      </c>
      <c r="X59" s="3280">
        <f t="shared" ref="X59" si="25">EDATE(W59,-1)</f>
        <v>44256</v>
      </c>
      <c r="Y59" s="3280">
        <f t="shared" ref="Y59" si="26">EDATE(X59,-1)</f>
        <v>44228</v>
      </c>
      <c r="Z59" s="3280">
        <f t="shared" ref="Z59" si="27">EDATE(Y59,-1)</f>
        <v>44197</v>
      </c>
      <c r="AA59" s="3280">
        <f t="shared" ref="AA59" si="28">EDATE(Z59,-1)</f>
        <v>44166</v>
      </c>
      <c r="AB59" s="2919"/>
      <c r="AC59" s="2919"/>
    </row>
    <row r="60" spans="1:29" s="113" customFormat="1" ht="15">
      <c r="A60" s="466"/>
      <c r="B60" s="467"/>
      <c r="C60" s="1298">
        <v>100</v>
      </c>
      <c r="D60" s="469">
        <v>100</v>
      </c>
      <c r="E60" s="469">
        <v>100</v>
      </c>
      <c r="F60" s="469">
        <v>100</v>
      </c>
      <c r="G60" s="469">
        <v>100</v>
      </c>
      <c r="H60" s="469">
        <v>100</v>
      </c>
      <c r="I60" s="469">
        <v>100</v>
      </c>
      <c r="J60" s="469">
        <v>99</v>
      </c>
      <c r="K60" s="469">
        <v>99</v>
      </c>
      <c r="L60" s="469">
        <v>99</v>
      </c>
      <c r="M60" s="470">
        <v>99</v>
      </c>
      <c r="N60" s="469">
        <v>99</v>
      </c>
      <c r="O60" s="470">
        <v>99</v>
      </c>
      <c r="P60" s="3279">
        <v>98</v>
      </c>
      <c r="Q60" s="2837">
        <v>98</v>
      </c>
      <c r="R60" s="2837">
        <v>98</v>
      </c>
      <c r="S60" s="2837">
        <v>98</v>
      </c>
      <c r="T60" s="2837">
        <v>98</v>
      </c>
      <c r="U60" s="2837">
        <v>98</v>
      </c>
      <c r="V60" s="2837">
        <v>97</v>
      </c>
      <c r="W60" s="2837">
        <v>97</v>
      </c>
      <c r="X60" s="2837">
        <v>97</v>
      </c>
      <c r="Y60" s="2837">
        <v>97</v>
      </c>
      <c r="Z60" s="2837">
        <v>97</v>
      </c>
      <c r="AA60" s="2837">
        <v>97</v>
      </c>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t="str">
        <f>C9</f>
        <v>办公</v>
      </c>
      <c r="D64" s="3296" t="s">
        <v>3370</v>
      </c>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v>110</v>
      </c>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0（含）-1</v>
      </c>
      <c r="D68" s="504" t="str">
        <f t="shared" ref="D68:L68" si="29">D69&amp;"（含）"&amp;"-"&amp;E69</f>
        <v>1（含）-2</v>
      </c>
      <c r="E68" s="504" t="str">
        <f t="shared" si="29"/>
        <v>2（含）-3</v>
      </c>
      <c r="F68" s="504" t="str">
        <f t="shared" si="29"/>
        <v>3（含）-4</v>
      </c>
      <c r="G68" s="504" t="str">
        <f t="shared" si="29"/>
        <v>4（含）-5</v>
      </c>
      <c r="H68" s="504" t="str">
        <f t="shared" si="29"/>
        <v>5（含）-6</v>
      </c>
      <c r="I68" s="504" t="str">
        <f t="shared" si="29"/>
        <v>6（含）-</v>
      </c>
      <c r="J68" s="504" t="str">
        <f t="shared" si="29"/>
        <v>（含）-</v>
      </c>
      <c r="K68" s="504" t="str">
        <f t="shared" si="29"/>
        <v>（含）-</v>
      </c>
      <c r="L68" s="504" t="str">
        <f t="shared" si="29"/>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v>2</v>
      </c>
      <c r="F69" s="506">
        <v>3</v>
      </c>
      <c r="G69" s="506">
        <v>4</v>
      </c>
      <c r="H69" s="506">
        <v>5</v>
      </c>
      <c r="I69" s="506">
        <v>6</v>
      </c>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30">C70-$K11</f>
        <v>98</v>
      </c>
      <c r="E70" s="501">
        <f t="shared" si="30"/>
        <v>96</v>
      </c>
      <c r="F70" s="501">
        <f t="shared" si="30"/>
        <v>94</v>
      </c>
      <c r="G70" s="501">
        <f t="shared" si="30"/>
        <v>92</v>
      </c>
      <c r="H70" s="501">
        <f t="shared" si="30"/>
        <v>90</v>
      </c>
      <c r="I70" s="501">
        <f t="shared" si="30"/>
        <v>88</v>
      </c>
      <c r="J70" s="501">
        <f t="shared" si="30"/>
        <v>86</v>
      </c>
      <c r="K70" s="501">
        <f t="shared" si="30"/>
        <v>84</v>
      </c>
      <c r="L70" s="501">
        <f t="shared" si="30"/>
        <v>82</v>
      </c>
      <c r="M70" s="502">
        <f t="shared" si="30"/>
        <v>80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97</v>
      </c>
      <c r="E78" s="501">
        <f>D78-$K15</f>
        <v>94</v>
      </c>
      <c r="F78" s="501">
        <f>E78-$K15</f>
        <v>91</v>
      </c>
      <c r="G78" s="501">
        <f>F78-$K15</f>
        <v>88</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31">C88-$K25</f>
        <v>100</v>
      </c>
      <c r="E88" s="501">
        <f t="shared" si="31"/>
        <v>100</v>
      </c>
      <c r="F88" s="501">
        <f t="shared" si="31"/>
        <v>100</v>
      </c>
      <c r="G88" s="501">
        <f t="shared" si="31"/>
        <v>100</v>
      </c>
      <c r="H88" s="501">
        <f t="shared" si="31"/>
        <v>100</v>
      </c>
      <c r="I88" s="501">
        <f t="shared" si="31"/>
        <v>100</v>
      </c>
      <c r="J88" s="501">
        <f t="shared" si="31"/>
        <v>100</v>
      </c>
      <c r="K88" s="501">
        <f t="shared" si="31"/>
        <v>100</v>
      </c>
      <c r="L88" s="501">
        <f t="shared" si="31"/>
        <v>100</v>
      </c>
      <c r="M88" s="501">
        <f t="shared" si="31"/>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32">D90-$K27</f>
        <v>100</v>
      </c>
      <c r="F90" s="501">
        <f t="shared" si="32"/>
        <v>100</v>
      </c>
      <c r="G90" s="501">
        <f t="shared" si="32"/>
        <v>100</v>
      </c>
      <c r="H90" s="501">
        <f t="shared" si="32"/>
        <v>100</v>
      </c>
      <c r="I90" s="501">
        <f t="shared" si="32"/>
        <v>100</v>
      </c>
      <c r="J90" s="501">
        <f t="shared" si="32"/>
        <v>100</v>
      </c>
      <c r="K90" s="501">
        <f t="shared" si="32"/>
        <v>100</v>
      </c>
      <c r="L90" s="501">
        <f t="shared" si="32"/>
        <v>100</v>
      </c>
      <c r="M90" s="501">
        <f t="shared" si="32"/>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33">C92-$K28</f>
        <v>100</v>
      </c>
      <c r="E92" s="501">
        <f t="shared" si="33"/>
        <v>100</v>
      </c>
      <c r="F92" s="501">
        <f t="shared" si="33"/>
        <v>100</v>
      </c>
      <c r="G92" s="501">
        <f t="shared" si="33"/>
        <v>100</v>
      </c>
      <c r="H92" s="501">
        <f t="shared" si="33"/>
        <v>100</v>
      </c>
      <c r="I92" s="501">
        <f t="shared" si="33"/>
        <v>100</v>
      </c>
      <c r="J92" s="501">
        <f t="shared" si="33"/>
        <v>100</v>
      </c>
      <c r="K92" s="501">
        <f t="shared" si="33"/>
        <v>100</v>
      </c>
      <c r="L92" s="501">
        <f t="shared" si="33"/>
        <v>100</v>
      </c>
      <c r="M92" s="501">
        <f t="shared" si="33"/>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34">C102-$K33</f>
        <v>100</v>
      </c>
      <c r="E102" s="501">
        <f t="shared" si="34"/>
        <v>100</v>
      </c>
      <c r="F102" s="501">
        <f t="shared" si="34"/>
        <v>100</v>
      </c>
      <c r="G102" s="501">
        <f t="shared" si="34"/>
        <v>100</v>
      </c>
      <c r="H102" s="501">
        <f t="shared" si="34"/>
        <v>100</v>
      </c>
      <c r="I102" s="501">
        <f t="shared" si="34"/>
        <v>100</v>
      </c>
      <c r="J102" s="501">
        <f t="shared" si="34"/>
        <v>100</v>
      </c>
      <c r="K102" s="501">
        <f t="shared" si="34"/>
        <v>100</v>
      </c>
      <c r="L102" s="501">
        <f t="shared" si="34"/>
        <v>100</v>
      </c>
      <c r="M102" s="502">
        <f t="shared" si="34"/>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1"/>
      <c r="B103" s="495" t="s">
        <v>2193</v>
      </c>
      <c r="C103" s="535" t="str">
        <f>C104&amp;"(含)"&amp;"-"&amp;D104</f>
        <v>0(含)-50000</v>
      </c>
      <c r="D103" s="535" t="str">
        <f t="shared" ref="D103:L103" si="35">D104&amp;"(含)"&amp;"-"&amp;E104</f>
        <v>50000(含)-100000</v>
      </c>
      <c r="E103" s="535" t="str">
        <f t="shared" si="35"/>
        <v>100000(含)-150000</v>
      </c>
      <c r="F103" s="535" t="str">
        <f t="shared" si="35"/>
        <v>150000(含)-200000</v>
      </c>
      <c r="G103" s="535" t="str">
        <f t="shared" si="35"/>
        <v>200000(含)-250000</v>
      </c>
      <c r="H103" s="535" t="str">
        <f t="shared" si="35"/>
        <v>250000(含)-</v>
      </c>
      <c r="I103" s="535" t="str">
        <f t="shared" si="35"/>
        <v>(含)-</v>
      </c>
      <c r="J103" s="535" t="str">
        <f t="shared" si="35"/>
        <v>(含)-</v>
      </c>
      <c r="K103" s="535" t="str">
        <f t="shared" si="35"/>
        <v>(含)-</v>
      </c>
      <c r="L103" s="535" t="str">
        <f t="shared" si="35"/>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50000</v>
      </c>
      <c r="E104" s="552">
        <v>100000</v>
      </c>
      <c r="F104" s="552">
        <v>150000</v>
      </c>
      <c r="G104" s="552">
        <v>200000</v>
      </c>
      <c r="H104" s="552">
        <v>250000</v>
      </c>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100</v>
      </c>
      <c r="D105" s="493">
        <v>96</v>
      </c>
      <c r="E105" s="493">
        <v>92</v>
      </c>
      <c r="F105" s="493">
        <v>88</v>
      </c>
      <c r="G105" s="493">
        <v>84</v>
      </c>
      <c r="H105" s="493">
        <v>80</v>
      </c>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36">C107-$K35</f>
        <v>100</v>
      </c>
      <c r="E107" s="501">
        <f t="shared" si="36"/>
        <v>100</v>
      </c>
      <c r="F107" s="501">
        <f t="shared" si="36"/>
        <v>100</v>
      </c>
      <c r="G107" s="501">
        <f t="shared" si="36"/>
        <v>100</v>
      </c>
      <c r="H107" s="501">
        <f t="shared" si="36"/>
        <v>100</v>
      </c>
      <c r="I107" s="501">
        <f t="shared" si="36"/>
        <v>100</v>
      </c>
      <c r="J107" s="501">
        <f t="shared" si="36"/>
        <v>100</v>
      </c>
      <c r="K107" s="501">
        <f t="shared" si="36"/>
        <v>100</v>
      </c>
      <c r="L107" s="501">
        <f t="shared" si="36"/>
        <v>100</v>
      </c>
      <c r="M107" s="502">
        <f t="shared" si="36"/>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37">C109-$K36</f>
        <v>100</v>
      </c>
      <c r="E109" s="501">
        <f t="shared" si="37"/>
        <v>100</v>
      </c>
      <c r="F109" s="501">
        <f t="shared" si="37"/>
        <v>100</v>
      </c>
      <c r="G109" s="501">
        <f t="shared" si="37"/>
        <v>100</v>
      </c>
      <c r="H109" s="501">
        <f t="shared" si="37"/>
        <v>100</v>
      </c>
      <c r="I109" s="501">
        <f t="shared" si="37"/>
        <v>100</v>
      </c>
      <c r="J109" s="501">
        <f t="shared" si="37"/>
        <v>100</v>
      </c>
      <c r="K109" s="501">
        <f t="shared" si="37"/>
        <v>100</v>
      </c>
      <c r="L109" s="501">
        <f t="shared" si="37"/>
        <v>100</v>
      </c>
      <c r="M109" s="502">
        <f t="shared" si="37"/>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105</v>
      </c>
      <c r="E112" s="501">
        <f t="shared" ref="E112:M112" si="38">D112+$K37</f>
        <v>110</v>
      </c>
      <c r="F112" s="501">
        <f t="shared" si="38"/>
        <v>115</v>
      </c>
      <c r="G112" s="501">
        <f t="shared" si="38"/>
        <v>120</v>
      </c>
      <c r="H112" s="501">
        <f t="shared" si="38"/>
        <v>125</v>
      </c>
      <c r="I112" s="501">
        <f t="shared" si="38"/>
        <v>130</v>
      </c>
      <c r="J112" s="501">
        <f t="shared" si="38"/>
        <v>135</v>
      </c>
      <c r="K112" s="501">
        <f t="shared" si="38"/>
        <v>140</v>
      </c>
      <c r="L112" s="501">
        <f t="shared" si="38"/>
        <v>145</v>
      </c>
      <c r="M112" s="501">
        <f t="shared" si="38"/>
        <v>150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39">D114-$K38</f>
        <v>100</v>
      </c>
      <c r="F114" s="501">
        <f t="shared" si="39"/>
        <v>100</v>
      </c>
      <c r="G114" s="501">
        <f t="shared" si="39"/>
        <v>100</v>
      </c>
      <c r="H114" s="501">
        <f t="shared" si="39"/>
        <v>100</v>
      </c>
      <c r="I114" s="501">
        <f t="shared" si="39"/>
        <v>100</v>
      </c>
      <c r="J114" s="501">
        <f t="shared" si="39"/>
        <v>100</v>
      </c>
      <c r="K114" s="501">
        <f t="shared" si="39"/>
        <v>100</v>
      </c>
      <c r="L114" s="501">
        <f t="shared" si="39"/>
        <v>100</v>
      </c>
      <c r="M114" s="501">
        <f t="shared" si="39"/>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40">C116-$K39</f>
        <v>100</v>
      </c>
      <c r="E116" s="501">
        <f t="shared" si="40"/>
        <v>100</v>
      </c>
      <c r="F116" s="501">
        <f t="shared" si="40"/>
        <v>100</v>
      </c>
      <c r="G116" s="501">
        <f t="shared" si="40"/>
        <v>100</v>
      </c>
      <c r="H116" s="501">
        <f t="shared" si="40"/>
        <v>100</v>
      </c>
      <c r="I116" s="501">
        <f t="shared" si="40"/>
        <v>100</v>
      </c>
      <c r="J116" s="501">
        <f t="shared" si="40"/>
        <v>100</v>
      </c>
      <c r="K116" s="501">
        <f t="shared" si="40"/>
        <v>100</v>
      </c>
      <c r="L116" s="501">
        <f t="shared" si="40"/>
        <v>100</v>
      </c>
      <c r="M116" s="502">
        <f t="shared" si="40"/>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41">D120-$K41</f>
        <v>100</v>
      </c>
      <c r="F120" s="501">
        <f t="shared" si="41"/>
        <v>100</v>
      </c>
      <c r="G120" s="501">
        <f t="shared" si="41"/>
        <v>100</v>
      </c>
      <c r="H120" s="501">
        <f t="shared" si="41"/>
        <v>100</v>
      </c>
      <c r="I120" s="501">
        <f t="shared" si="41"/>
        <v>100</v>
      </c>
      <c r="J120" s="501">
        <f t="shared" si="41"/>
        <v>100</v>
      </c>
      <c r="K120" s="501">
        <f t="shared" si="41"/>
        <v>100</v>
      </c>
      <c r="L120" s="501">
        <f t="shared" si="41"/>
        <v>100</v>
      </c>
      <c r="M120" s="501">
        <f t="shared" si="41"/>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42">C124-$K43</f>
        <v>100</v>
      </c>
      <c r="E124" s="501">
        <f t="shared" si="42"/>
        <v>100</v>
      </c>
      <c r="F124" s="501">
        <f t="shared" si="42"/>
        <v>100</v>
      </c>
      <c r="G124" s="501">
        <f t="shared" si="42"/>
        <v>100</v>
      </c>
      <c r="H124" s="501">
        <f t="shared" si="42"/>
        <v>100</v>
      </c>
      <c r="I124" s="501">
        <f t="shared" si="42"/>
        <v>100</v>
      </c>
      <c r="J124" s="501">
        <f t="shared" si="42"/>
        <v>100</v>
      </c>
      <c r="K124" s="501">
        <f t="shared" si="42"/>
        <v>100</v>
      </c>
      <c r="L124" s="501">
        <f t="shared" si="42"/>
        <v>100</v>
      </c>
      <c r="M124" s="502">
        <f t="shared" si="42"/>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28.5" thickTop="1">
      <c r="A127" s="550"/>
      <c r="B127" s="495" t="str">
        <f>B45</f>
        <v>地下面积占比</v>
      </c>
      <c r="C127" s="3293" t="s">
        <v>3388</v>
      </c>
      <c r="D127" s="3293" t="s">
        <v>3389</v>
      </c>
      <c r="E127" s="3293" t="s">
        <v>3394</v>
      </c>
      <c r="F127" s="511" t="s">
        <v>3395</v>
      </c>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v>100</v>
      </c>
      <c r="D128" s="493">
        <v>95</v>
      </c>
      <c r="E128" s="493">
        <v>90</v>
      </c>
      <c r="F128" s="493">
        <v>85</v>
      </c>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t="str">
        <f>B46</f>
        <v>现状</v>
      </c>
      <c r="C129" s="3293" t="s">
        <v>3387</v>
      </c>
      <c r="D129" s="3293" t="s">
        <v>3386</v>
      </c>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v>100</v>
      </c>
      <c r="D130" s="517">
        <v>95</v>
      </c>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O19" sqref="O19"/>
    </sheetView>
  </sheetViews>
  <sheetFormatPr defaultRowHeight="13.5"/>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S112"/>
  <sheetViews>
    <sheetView topLeftCell="A63" workbookViewId="0">
      <selection activeCell="Q74" sqref="Q74"/>
    </sheetView>
  </sheetViews>
  <sheetFormatPr defaultRowHeight="13.5"/>
  <cols>
    <col min="6" max="6" width="13" bestFit="1" customWidth="1"/>
    <col min="8" max="8" width="9.75" customWidth="1"/>
    <col min="13" max="13" width="7.875" customWidth="1"/>
    <col min="16" max="16" width="11.625" bestFit="1" customWidth="1"/>
  </cols>
  <sheetData>
    <row r="26" spans="6:8">
      <c r="G26" s="3235" t="s">
        <v>3229</v>
      </c>
      <c r="H26" s="3235" t="s">
        <v>3230</v>
      </c>
    </row>
    <row r="27" spans="6:8">
      <c r="F27" s="3235" t="s">
        <v>3231</v>
      </c>
      <c r="G27">
        <v>52838</v>
      </c>
      <c r="H27">
        <v>56777</v>
      </c>
    </row>
    <row r="28" spans="6:8">
      <c r="F28" s="3235" t="s">
        <v>3232</v>
      </c>
      <c r="G28">
        <v>6938</v>
      </c>
      <c r="H28">
        <v>52757</v>
      </c>
    </row>
    <row r="29" spans="6:8">
      <c r="F29" s="3235" t="s">
        <v>3233</v>
      </c>
      <c r="G29">
        <v>67392</v>
      </c>
      <c r="H29">
        <v>56057</v>
      </c>
    </row>
    <row r="67" spans="2:17" ht="31.5">
      <c r="B67" s="3236" t="s">
        <v>3234</v>
      </c>
      <c r="C67" s="3236" t="s">
        <v>3235</v>
      </c>
      <c r="D67" s="3236" t="s">
        <v>3236</v>
      </c>
      <c r="E67" s="3237" t="s">
        <v>3237</v>
      </c>
      <c r="F67" s="3236" t="s">
        <v>3238</v>
      </c>
      <c r="G67" s="3238" t="s">
        <v>3239</v>
      </c>
      <c r="H67" s="3238" t="s">
        <v>3240</v>
      </c>
      <c r="I67" s="3237" t="s">
        <v>3241</v>
      </c>
      <c r="J67" s="3237" t="s">
        <v>3242</v>
      </c>
      <c r="K67" s="3237" t="s">
        <v>3243</v>
      </c>
      <c r="L67" s="3237" t="s">
        <v>3244</v>
      </c>
      <c r="M67" s="3239" t="s">
        <v>3245</v>
      </c>
      <c r="N67" s="3240" t="s">
        <v>3246</v>
      </c>
      <c r="O67" s="3241" t="s">
        <v>3247</v>
      </c>
      <c r="P67" s="3241" t="s">
        <v>3248</v>
      </c>
    </row>
    <row r="68" spans="2:17" ht="21">
      <c r="B68" s="3242">
        <v>1</v>
      </c>
      <c r="C68" s="3243" t="s">
        <v>3249</v>
      </c>
      <c r="D68" s="3243" t="s">
        <v>27</v>
      </c>
      <c r="E68" s="3243" t="s">
        <v>3250</v>
      </c>
      <c r="F68" s="3243" t="s">
        <v>3251</v>
      </c>
      <c r="G68" s="3244">
        <v>37.1</v>
      </c>
      <c r="H68" s="3245">
        <v>109000</v>
      </c>
      <c r="I68" s="3245">
        <v>33940</v>
      </c>
      <c r="J68" s="3243" t="s">
        <v>3252</v>
      </c>
      <c r="K68" s="3243" t="s">
        <v>3253</v>
      </c>
      <c r="L68" s="3243" t="s">
        <v>3254</v>
      </c>
      <c r="M68" s="3239"/>
    </row>
    <row r="69" spans="2:17">
      <c r="B69" s="3246">
        <v>2</v>
      </c>
      <c r="C69" s="3247" t="s">
        <v>3249</v>
      </c>
      <c r="D69" s="3247" t="s">
        <v>6</v>
      </c>
      <c r="E69" s="3247" t="s">
        <v>3255</v>
      </c>
      <c r="F69" s="3247" t="s">
        <v>3256</v>
      </c>
      <c r="G69" s="3246">
        <v>28</v>
      </c>
      <c r="H69" s="3248">
        <v>114200</v>
      </c>
      <c r="I69" s="3248">
        <v>24518</v>
      </c>
      <c r="J69" s="3247" t="s">
        <v>3252</v>
      </c>
      <c r="K69" s="3247" t="s">
        <v>3257</v>
      </c>
      <c r="L69" s="3247" t="s">
        <v>3258</v>
      </c>
      <c r="M69" s="3239"/>
    </row>
    <row r="70" spans="2:17" ht="21">
      <c r="B70" s="3242">
        <v>3</v>
      </c>
      <c r="C70" s="3243" t="s">
        <v>3249</v>
      </c>
      <c r="D70" s="3243" t="s">
        <v>3259</v>
      </c>
      <c r="E70" s="3243" t="s">
        <v>3260</v>
      </c>
      <c r="F70" s="3243" t="s">
        <v>3261</v>
      </c>
      <c r="G70" s="3249">
        <v>20.48</v>
      </c>
      <c r="H70" s="3245">
        <v>37923</v>
      </c>
      <c r="I70" s="3245">
        <v>54004</v>
      </c>
      <c r="J70" s="3243" t="s">
        <v>3252</v>
      </c>
      <c r="K70" s="3243" t="s">
        <v>3262</v>
      </c>
      <c r="L70" s="3243" t="s">
        <v>3263</v>
      </c>
      <c r="M70" s="3239"/>
    </row>
    <row r="71" spans="2:17" ht="31.5">
      <c r="B71" s="3246">
        <v>4</v>
      </c>
      <c r="C71" s="3247" t="s">
        <v>3249</v>
      </c>
      <c r="D71" s="3247" t="s">
        <v>3264</v>
      </c>
      <c r="E71" s="3247" t="s">
        <v>3265</v>
      </c>
      <c r="F71" s="3247" t="s">
        <v>3266</v>
      </c>
      <c r="G71" s="3246">
        <v>13</v>
      </c>
      <c r="H71" s="3248">
        <v>48000</v>
      </c>
      <c r="I71" s="3248">
        <v>27083</v>
      </c>
      <c r="J71" s="3247" t="s">
        <v>3267</v>
      </c>
      <c r="K71" s="3247" t="s">
        <v>3268</v>
      </c>
      <c r="L71" s="3247" t="s">
        <v>3269</v>
      </c>
      <c r="M71" s="3239"/>
    </row>
    <row r="72" spans="2:17" ht="21">
      <c r="B72" s="3242">
        <v>5</v>
      </c>
      <c r="C72" s="3243" t="s">
        <v>3249</v>
      </c>
      <c r="D72" s="3243" t="s">
        <v>27</v>
      </c>
      <c r="E72" s="3243" t="s">
        <v>3270</v>
      </c>
      <c r="F72" s="3243" t="s">
        <v>3271</v>
      </c>
      <c r="G72" s="3249">
        <v>10.84</v>
      </c>
      <c r="H72" s="3245">
        <v>24252</v>
      </c>
      <c r="I72" s="3250">
        <v>44697</v>
      </c>
      <c r="J72" s="3243" t="s">
        <v>3267</v>
      </c>
      <c r="K72" s="3243" t="s">
        <v>3272</v>
      </c>
      <c r="L72" s="3243" t="s">
        <v>3273</v>
      </c>
      <c r="M72" s="3239"/>
    </row>
    <row r="73" spans="2:17" s="3256" customFormat="1" ht="21">
      <c r="B73" s="3251">
        <v>6</v>
      </c>
      <c r="C73" s="3252" t="s">
        <v>3274</v>
      </c>
      <c r="D73" s="3252" t="s">
        <v>27</v>
      </c>
      <c r="E73" s="3252" t="s">
        <v>3275</v>
      </c>
      <c r="F73" s="3252" t="s">
        <v>3256</v>
      </c>
      <c r="G73" s="3253">
        <v>26.5</v>
      </c>
      <c r="H73" s="3254">
        <v>35940</v>
      </c>
      <c r="I73" s="3254">
        <v>73734</v>
      </c>
      <c r="J73" s="3252" t="s">
        <v>3252</v>
      </c>
      <c r="K73" s="3252" t="s">
        <v>3276</v>
      </c>
      <c r="L73" s="3252" t="s">
        <v>3277</v>
      </c>
      <c r="M73" s="3255"/>
      <c r="N73" s="3255">
        <f t="shared" ref="N73" si="0">ROUND((O73-H73)/O73,2)</f>
        <v>0.25</v>
      </c>
      <c r="O73" s="3256">
        <v>48000</v>
      </c>
      <c r="P73" s="3256">
        <f>ROUND(G73/O73*100000000,0)</f>
        <v>55208</v>
      </c>
    </row>
    <row r="74" spans="2:17" s="3261" customFormat="1" ht="31.5">
      <c r="B74" s="3257">
        <v>7</v>
      </c>
      <c r="C74" s="3258" t="s">
        <v>3274</v>
      </c>
      <c r="D74" s="3258" t="s">
        <v>27</v>
      </c>
      <c r="E74" s="3258" t="s">
        <v>3424</v>
      </c>
      <c r="F74" s="3258" t="s">
        <v>3261</v>
      </c>
      <c r="G74" s="3257">
        <v>24</v>
      </c>
      <c r="H74" s="3259">
        <v>52838</v>
      </c>
      <c r="I74" s="3259">
        <v>56777</v>
      </c>
      <c r="J74" s="3258" t="s">
        <v>3252</v>
      </c>
      <c r="K74" s="3258" t="s">
        <v>3278</v>
      </c>
      <c r="L74" s="3258" t="s">
        <v>3279</v>
      </c>
      <c r="M74" s="3260"/>
      <c r="N74" s="3260">
        <v>63204</v>
      </c>
      <c r="O74" s="3333">
        <f>N74-H74</f>
        <v>10366</v>
      </c>
      <c r="P74" s="3261">
        <f>G74/0.8</f>
        <v>30</v>
      </c>
      <c r="Q74" s="3261">
        <f>P74*10000/H74</f>
        <v>5.6777319353495592</v>
      </c>
    </row>
    <row r="75" spans="2:17" s="3266" customFormat="1" ht="31.5">
      <c r="B75" s="3262">
        <v>8</v>
      </c>
      <c r="C75" s="3263" t="s">
        <v>3274</v>
      </c>
      <c r="D75" s="3263" t="s">
        <v>3280</v>
      </c>
      <c r="E75" s="3263" t="s">
        <v>3281</v>
      </c>
      <c r="F75" s="3263" t="s">
        <v>3256</v>
      </c>
      <c r="G75" s="3264">
        <v>25.64</v>
      </c>
      <c r="H75" s="3263"/>
      <c r="I75" s="3263"/>
      <c r="J75" s="3263" t="s">
        <v>3252</v>
      </c>
      <c r="K75" s="3263" t="s">
        <v>3282</v>
      </c>
      <c r="L75" s="3263" t="s">
        <v>3283</v>
      </c>
      <c r="M75" s="3265">
        <v>1</v>
      </c>
      <c r="N75" s="3265"/>
      <c r="O75" s="3266">
        <v>60000</v>
      </c>
      <c r="P75" s="3266">
        <f>ROUND(G75/O75*100000000,0)/0.5</f>
        <v>85466</v>
      </c>
    </row>
    <row r="76" spans="2:17" ht="21">
      <c r="B76" s="3242">
        <v>9</v>
      </c>
      <c r="C76" s="3243" t="s">
        <v>3284</v>
      </c>
      <c r="D76" s="3243" t="s">
        <v>27</v>
      </c>
      <c r="E76" s="3243" t="s">
        <v>3285</v>
      </c>
      <c r="F76" s="3243" t="s">
        <v>3256</v>
      </c>
      <c r="G76" s="3244">
        <v>8.5</v>
      </c>
      <c r="H76" s="3250">
        <v>15776</v>
      </c>
      <c r="I76" s="3250">
        <v>53879</v>
      </c>
      <c r="J76" s="3243" t="s">
        <v>3252</v>
      </c>
      <c r="K76" s="3243" t="s">
        <v>3286</v>
      </c>
      <c r="L76" s="3243" t="s">
        <v>3287</v>
      </c>
      <c r="M76" s="3239"/>
      <c r="N76" s="3255"/>
      <c r="P76" s="3256"/>
    </row>
    <row r="77" spans="2:17" s="3261" customFormat="1" ht="21">
      <c r="B77" s="3257">
        <v>10</v>
      </c>
      <c r="C77" s="3258" t="s">
        <v>3284</v>
      </c>
      <c r="D77" s="3258" t="s">
        <v>27</v>
      </c>
      <c r="E77" s="3267" t="s">
        <v>3288</v>
      </c>
      <c r="F77" s="3258" t="s">
        <v>3289</v>
      </c>
      <c r="G77" s="3268">
        <v>15.05</v>
      </c>
      <c r="H77" s="3269">
        <f>'比较法-办公'!G34</f>
        <v>17629.080000000002</v>
      </c>
      <c r="I77" s="3259">
        <f>ROUND(G77/H77*100000000,0)</f>
        <v>85370</v>
      </c>
      <c r="J77" s="3258" t="s">
        <v>3267</v>
      </c>
      <c r="K77" s="3258" t="s">
        <v>3290</v>
      </c>
      <c r="L77" s="3258" t="s">
        <v>3291</v>
      </c>
      <c r="M77" s="3260"/>
      <c r="N77" s="3260">
        <f t="shared" ref="N77" si="1">ROUND((O77-H77)/O77,2)</f>
        <v>0.46</v>
      </c>
      <c r="O77" s="3261">
        <v>32414</v>
      </c>
      <c r="P77" s="3261">
        <f>ROUND(G77/O77*100000000,0)</f>
        <v>46431</v>
      </c>
    </row>
    <row r="78" spans="2:17" s="3261" customFormat="1">
      <c r="B78" s="3257">
        <v>11</v>
      </c>
      <c r="C78" s="3258" t="s">
        <v>3284</v>
      </c>
      <c r="D78" s="3258" t="s">
        <v>27</v>
      </c>
      <c r="E78" s="3258" t="s">
        <v>3292</v>
      </c>
      <c r="F78" s="3258" t="s">
        <v>3261</v>
      </c>
      <c r="G78" s="3268">
        <v>3.66</v>
      </c>
      <c r="H78" s="3269">
        <v>6938</v>
      </c>
      <c r="I78" s="3269">
        <v>52757</v>
      </c>
      <c r="J78" s="3258" t="s">
        <v>3252</v>
      </c>
      <c r="K78" s="3258" t="s">
        <v>3293</v>
      </c>
      <c r="L78" s="3258" t="s">
        <v>3294</v>
      </c>
      <c r="M78" s="3260"/>
      <c r="N78" s="3260"/>
    </row>
    <row r="79" spans="2:17" ht="21">
      <c r="B79" s="3246">
        <v>12</v>
      </c>
      <c r="C79" s="3247" t="s">
        <v>3295</v>
      </c>
      <c r="D79" s="3247" t="s">
        <v>3264</v>
      </c>
      <c r="E79" s="3247" t="s">
        <v>3296</v>
      </c>
      <c r="F79" s="3247" t="s">
        <v>3256</v>
      </c>
      <c r="G79" s="3246">
        <v>6</v>
      </c>
      <c r="H79" s="3270">
        <v>15000</v>
      </c>
      <c r="I79" s="3270">
        <v>40000</v>
      </c>
      <c r="J79" s="3247" t="s">
        <v>3252</v>
      </c>
      <c r="K79" s="3247" t="s">
        <v>3297</v>
      </c>
      <c r="L79" s="3247" t="s">
        <v>3298</v>
      </c>
      <c r="M79" s="3239"/>
      <c r="N79" s="3255"/>
    </row>
    <row r="80" spans="2:17">
      <c r="B80" s="3242">
        <v>13</v>
      </c>
      <c r="C80" s="3243" t="s">
        <v>3295</v>
      </c>
      <c r="D80" s="3243" t="s">
        <v>27</v>
      </c>
      <c r="E80" s="3243" t="s">
        <v>3299</v>
      </c>
      <c r="F80" s="3243" t="s">
        <v>3266</v>
      </c>
      <c r="G80" s="3249">
        <v>16.739999999999998</v>
      </c>
      <c r="H80" s="3250">
        <v>28829</v>
      </c>
      <c r="I80" s="3250">
        <v>58077</v>
      </c>
      <c r="J80" s="3243" t="s">
        <v>3267</v>
      </c>
      <c r="K80" s="3243" t="s">
        <v>3300</v>
      </c>
      <c r="L80" s="3243" t="s">
        <v>3301</v>
      </c>
      <c r="M80" s="3239"/>
      <c r="N80" s="3255"/>
    </row>
    <row r="81" spans="2:19" ht="21">
      <c r="B81" s="3246">
        <v>14</v>
      </c>
      <c r="C81" s="3247" t="s">
        <v>3295</v>
      </c>
      <c r="D81" s="3247" t="s">
        <v>3264</v>
      </c>
      <c r="E81" s="3247" t="s">
        <v>3302</v>
      </c>
      <c r="F81" s="3247" t="s">
        <v>3251</v>
      </c>
      <c r="G81" s="3271">
        <v>7.2</v>
      </c>
      <c r="H81" s="3270">
        <v>41900</v>
      </c>
      <c r="I81" s="3270">
        <v>17184</v>
      </c>
      <c r="J81" s="3247" t="s">
        <v>3267</v>
      </c>
      <c r="K81" s="3247" t="s">
        <v>3303</v>
      </c>
      <c r="L81" s="3247" t="s">
        <v>3304</v>
      </c>
      <c r="M81" s="3239"/>
      <c r="N81" s="3255"/>
    </row>
    <row r="82" spans="2:19" ht="31.5">
      <c r="B82" s="3242">
        <v>15</v>
      </c>
      <c r="C82" s="3243" t="s">
        <v>3305</v>
      </c>
      <c r="D82" s="3243" t="s">
        <v>27</v>
      </c>
      <c r="E82" s="3243" t="s">
        <v>3306</v>
      </c>
      <c r="F82" s="3243" t="s">
        <v>3256</v>
      </c>
      <c r="G82" s="3249">
        <v>5.61</v>
      </c>
      <c r="H82" s="3250">
        <v>11645</v>
      </c>
      <c r="I82" s="3250">
        <v>48158</v>
      </c>
      <c r="J82" s="3243" t="s">
        <v>3267</v>
      </c>
      <c r="K82" s="3243" t="s">
        <v>3307</v>
      </c>
      <c r="L82" s="3243" t="s">
        <v>3308</v>
      </c>
      <c r="M82" s="3239"/>
      <c r="N82" s="3255"/>
      <c r="O82" s="3272"/>
    </row>
    <row r="83" spans="2:19" ht="21">
      <c r="B83" s="3262">
        <v>16</v>
      </c>
      <c r="C83" s="3263" t="s">
        <v>3305</v>
      </c>
      <c r="D83" s="3263" t="s">
        <v>27</v>
      </c>
      <c r="E83" s="3263" t="s">
        <v>3309</v>
      </c>
      <c r="F83" s="3263" t="s">
        <v>3261</v>
      </c>
      <c r="G83" s="3273">
        <v>90.6</v>
      </c>
      <c r="H83" s="3274">
        <v>107627</v>
      </c>
      <c r="I83" s="3274">
        <v>84180</v>
      </c>
      <c r="J83" s="3263" t="s">
        <v>3252</v>
      </c>
      <c r="K83" s="3263" t="s">
        <v>3310</v>
      </c>
      <c r="L83" s="3263" t="s">
        <v>3311</v>
      </c>
      <c r="M83" s="3265">
        <f>H83/S83</f>
        <v>12.307255260676994</v>
      </c>
      <c r="N83" s="3265">
        <f>ROUND((O83-H83)/O83,2)</f>
        <v>0.12</v>
      </c>
      <c r="O83" s="3266">
        <v>122430.06</v>
      </c>
      <c r="P83" s="3266">
        <f>ROUND(G83/O83*100000000,0)</f>
        <v>74001</v>
      </c>
      <c r="R83">
        <v>14</v>
      </c>
      <c r="S83">
        <f>O83/R83</f>
        <v>8745.0042857142853</v>
      </c>
    </row>
    <row r="84" spans="2:19" ht="31.5">
      <c r="B84" s="3242">
        <v>17</v>
      </c>
      <c r="C84" s="3243" t="s">
        <v>3305</v>
      </c>
      <c r="D84" s="3243" t="s">
        <v>3280</v>
      </c>
      <c r="E84" s="3243" t="s">
        <v>3312</v>
      </c>
      <c r="F84" s="3243" t="s">
        <v>3271</v>
      </c>
      <c r="G84" s="3242">
        <v>40</v>
      </c>
      <c r="H84" s="3250">
        <v>100030</v>
      </c>
      <c r="I84" s="3250">
        <v>40000</v>
      </c>
      <c r="J84" s="3243" t="s">
        <v>3313</v>
      </c>
      <c r="K84" s="3243" t="s">
        <v>3314</v>
      </c>
      <c r="L84" s="3243" t="s">
        <v>3315</v>
      </c>
      <c r="M84" s="3255"/>
      <c r="N84" s="3255"/>
      <c r="O84" s="3256"/>
      <c r="P84" s="3256"/>
      <c r="Q84" s="3256"/>
    </row>
    <row r="85" spans="2:19" s="3261" customFormat="1" ht="21">
      <c r="B85" s="3257">
        <v>18</v>
      </c>
      <c r="C85" s="3258" t="s">
        <v>3316</v>
      </c>
      <c r="D85" s="3258" t="s">
        <v>3317</v>
      </c>
      <c r="E85" s="3258" t="s">
        <v>3318</v>
      </c>
      <c r="F85" s="3258" t="s">
        <v>3289</v>
      </c>
      <c r="G85" s="3275">
        <v>43.3</v>
      </c>
      <c r="H85" s="3269">
        <v>110996</v>
      </c>
      <c r="I85" s="3269">
        <v>55732</v>
      </c>
      <c r="J85" s="3258" t="s">
        <v>3319</v>
      </c>
      <c r="K85" s="3258" t="s">
        <v>3320</v>
      </c>
      <c r="L85" s="3258" t="s">
        <v>3321</v>
      </c>
      <c r="M85" s="3260"/>
      <c r="N85" s="3260">
        <f>(O85-H85)/O85</f>
        <v>0.23937832355682254</v>
      </c>
      <c r="O85" s="3261">
        <v>145928</v>
      </c>
      <c r="P85" s="3261">
        <f>ROUND(G85/O85*100000000/0.7,0)</f>
        <v>42389</v>
      </c>
    </row>
    <row r="86" spans="2:19" ht="31.5">
      <c r="B86" s="3242">
        <v>19</v>
      </c>
      <c r="C86" s="3243" t="s">
        <v>3322</v>
      </c>
      <c r="D86" s="3243" t="s">
        <v>3280</v>
      </c>
      <c r="E86" s="3243" t="s">
        <v>3323</v>
      </c>
      <c r="F86" s="3243" t="s">
        <v>3261</v>
      </c>
      <c r="G86" s="3249">
        <v>16.45</v>
      </c>
      <c r="H86" s="3250">
        <v>41197</v>
      </c>
      <c r="I86" s="3250">
        <v>39930</v>
      </c>
      <c r="J86" s="3243" t="s">
        <v>3267</v>
      </c>
      <c r="K86" s="3243" t="s">
        <v>3324</v>
      </c>
      <c r="L86" s="3276" t="s">
        <v>3325</v>
      </c>
      <c r="M86" s="3255"/>
      <c r="N86" s="3255"/>
      <c r="O86" s="3256"/>
      <c r="P86" s="3256"/>
      <c r="Q86" s="3256">
        <v>230000</v>
      </c>
      <c r="R86">
        <f>Q86*10000/H86</f>
        <v>55829.307959317426</v>
      </c>
      <c r="S86">
        <f>G86*10000/Q86</f>
        <v>0.7152173913043478</v>
      </c>
    </row>
    <row r="87" spans="2:19">
      <c r="B87" s="3246">
        <v>20</v>
      </c>
      <c r="C87" s="3247" t="s">
        <v>3322</v>
      </c>
      <c r="D87" s="3247" t="s">
        <v>27</v>
      </c>
      <c r="E87" s="3247" t="s">
        <v>3326</v>
      </c>
      <c r="F87" s="3247" t="s">
        <v>3327</v>
      </c>
      <c r="G87" s="3277">
        <v>20</v>
      </c>
      <c r="H87" s="3270">
        <v>49000</v>
      </c>
      <c r="I87" s="3270">
        <v>40816</v>
      </c>
      <c r="J87" s="3247" t="s">
        <v>3267</v>
      </c>
      <c r="K87" s="3247" t="s">
        <v>3328</v>
      </c>
      <c r="L87" s="3247" t="s">
        <v>3329</v>
      </c>
      <c r="M87" s="3255"/>
      <c r="N87" s="3255"/>
      <c r="O87" s="3256"/>
      <c r="P87" s="3256"/>
      <c r="Q87" s="3256"/>
    </row>
    <row r="88" spans="2:19" ht="31.5">
      <c r="B88" s="3242">
        <v>21</v>
      </c>
      <c r="C88" s="3243" t="s">
        <v>3322</v>
      </c>
      <c r="D88" s="3243" t="s">
        <v>3330</v>
      </c>
      <c r="E88" s="3243" t="s">
        <v>3331</v>
      </c>
      <c r="F88" s="3243" t="s">
        <v>3332</v>
      </c>
      <c r="G88" s="3249">
        <v>6.55</v>
      </c>
      <c r="H88" s="3250">
        <v>37002</v>
      </c>
      <c r="I88" s="3250">
        <v>17702</v>
      </c>
      <c r="J88" s="3243" t="s">
        <v>3252</v>
      </c>
      <c r="K88" s="3243" t="s">
        <v>3333</v>
      </c>
      <c r="L88" s="3243" t="s">
        <v>3334</v>
      </c>
      <c r="M88" s="3255"/>
      <c r="N88" s="3255"/>
      <c r="O88" s="3256"/>
      <c r="P88" s="3256"/>
      <c r="Q88" s="3256"/>
    </row>
    <row r="89" spans="2:19" ht="21">
      <c r="B89" s="3246">
        <v>22</v>
      </c>
      <c r="C89" s="3247" t="s">
        <v>3322</v>
      </c>
      <c r="D89" s="3247" t="s">
        <v>27</v>
      </c>
      <c r="E89" s="3247" t="s">
        <v>3335</v>
      </c>
      <c r="F89" s="3247" t="s">
        <v>3332</v>
      </c>
      <c r="G89" s="3277">
        <v>8.67</v>
      </c>
      <c r="H89" s="3270">
        <v>38464</v>
      </c>
      <c r="I89" s="3270">
        <v>22547</v>
      </c>
      <c r="J89" s="3247" t="s">
        <v>3267</v>
      </c>
      <c r="K89" s="3247" t="s">
        <v>3336</v>
      </c>
      <c r="L89" s="3247" t="s">
        <v>3337</v>
      </c>
      <c r="M89" s="3255"/>
      <c r="N89" s="3255"/>
      <c r="O89" s="3256"/>
      <c r="P89" s="3256"/>
      <c r="Q89" s="3256"/>
    </row>
    <row r="90" spans="2:19" ht="21">
      <c r="B90" s="3242">
        <v>23</v>
      </c>
      <c r="C90" s="3243" t="s">
        <v>3322</v>
      </c>
      <c r="D90" s="3243" t="s">
        <v>27</v>
      </c>
      <c r="E90" s="3243" t="s">
        <v>3338</v>
      </c>
      <c r="F90" s="3243" t="s">
        <v>3339</v>
      </c>
      <c r="G90" s="3249">
        <v>8.75</v>
      </c>
      <c r="H90" s="3250">
        <v>45240</v>
      </c>
      <c r="I90" s="3250">
        <v>19343</v>
      </c>
      <c r="J90" s="3243" t="s">
        <v>3267</v>
      </c>
      <c r="K90" s="3243" t="s">
        <v>3340</v>
      </c>
      <c r="L90" s="3243" t="s">
        <v>3341</v>
      </c>
      <c r="M90" s="3255"/>
      <c r="N90" s="3255"/>
      <c r="O90" s="3256"/>
      <c r="P90" s="3256"/>
      <c r="Q90" s="3256"/>
    </row>
    <row r="91" spans="2:19" ht="21">
      <c r="B91" s="3262">
        <v>24</v>
      </c>
      <c r="C91" s="3263" t="s">
        <v>3322</v>
      </c>
      <c r="D91" s="3263" t="s">
        <v>27</v>
      </c>
      <c r="E91" s="3263" t="s">
        <v>3342</v>
      </c>
      <c r="F91" s="3263" t="s">
        <v>3251</v>
      </c>
      <c r="G91" s="3264">
        <v>2.97</v>
      </c>
      <c r="H91" s="3274">
        <v>3507</v>
      </c>
      <c r="I91" s="3274">
        <v>84688</v>
      </c>
      <c r="J91" s="3263" t="s">
        <v>3267</v>
      </c>
      <c r="K91" s="3263" t="s">
        <v>3343</v>
      </c>
      <c r="L91" s="3263" t="s">
        <v>3344</v>
      </c>
      <c r="M91" s="3265">
        <f>ROUND(24474/6992.661,2)</f>
        <v>3.5</v>
      </c>
      <c r="N91" s="3265">
        <f>ROUND(678.53/3506.47,2)</f>
        <v>0.19</v>
      </c>
      <c r="O91" s="3278">
        <f>678.53+653.03+724.97*3</f>
        <v>3506.47</v>
      </c>
      <c r="P91" s="3266">
        <f t="shared" ref="P91" si="2">ROUND(G91/O91*100000000,0)</f>
        <v>84701</v>
      </c>
    </row>
    <row r="92" spans="2:19" ht="21">
      <c r="B92" s="3242">
        <v>25</v>
      </c>
      <c r="C92" s="3243" t="s">
        <v>3345</v>
      </c>
      <c r="D92" s="3243" t="s">
        <v>27</v>
      </c>
      <c r="E92" s="3243" t="s">
        <v>3346</v>
      </c>
      <c r="F92" s="3243" t="s">
        <v>3251</v>
      </c>
      <c r="G92" s="3249">
        <v>16.440000000000001</v>
      </c>
      <c r="H92" s="3250">
        <v>66158</v>
      </c>
      <c r="I92" s="3250">
        <v>24847</v>
      </c>
      <c r="J92" s="3243" t="s">
        <v>3267</v>
      </c>
      <c r="K92" s="3243" t="s">
        <v>3347</v>
      </c>
      <c r="L92" s="3243" t="s">
        <v>3348</v>
      </c>
      <c r="M92" s="3239"/>
      <c r="N92" s="3239"/>
    </row>
    <row r="93" spans="2:19" ht="31.5">
      <c r="B93" s="3246">
        <v>26</v>
      </c>
      <c r="C93" s="3247" t="s">
        <v>3345</v>
      </c>
      <c r="D93" s="3247" t="s">
        <v>27</v>
      </c>
      <c r="E93" s="3247" t="s">
        <v>3349</v>
      </c>
      <c r="F93" s="3247" t="s">
        <v>3256</v>
      </c>
      <c r="G93" s="3277">
        <v>3.08</v>
      </c>
      <c r="H93" s="3270">
        <v>11951</v>
      </c>
      <c r="I93" s="3270">
        <v>25751</v>
      </c>
      <c r="J93" s="3247" t="s">
        <v>3267</v>
      </c>
      <c r="K93" s="3247" t="s">
        <v>3350</v>
      </c>
      <c r="L93" s="3247" t="s">
        <v>3351</v>
      </c>
      <c r="M93" s="3239"/>
      <c r="N93" s="3239"/>
    </row>
    <row r="94" spans="2:19" ht="21">
      <c r="B94" s="3242">
        <v>27</v>
      </c>
      <c r="C94" s="3243" t="s">
        <v>3352</v>
      </c>
      <c r="D94" s="3243" t="s">
        <v>6</v>
      </c>
      <c r="E94" s="3243" t="s">
        <v>3353</v>
      </c>
      <c r="F94" s="3243" t="s">
        <v>3327</v>
      </c>
      <c r="G94" s="3249">
        <v>1.7</v>
      </c>
      <c r="H94" s="3250">
        <v>5382</v>
      </c>
      <c r="I94" s="3250">
        <v>31587</v>
      </c>
      <c r="J94" s="3243" t="s">
        <v>3267</v>
      </c>
      <c r="K94" s="3243" t="s">
        <v>3354</v>
      </c>
      <c r="L94" s="3243" t="s">
        <v>3355</v>
      </c>
      <c r="M94" s="3239"/>
      <c r="N94" s="3239"/>
    </row>
    <row r="95" spans="2:19" ht="31.5">
      <c r="B95" s="3246">
        <v>28</v>
      </c>
      <c r="C95" s="3247" t="s">
        <v>3352</v>
      </c>
      <c r="D95" s="3247" t="s">
        <v>6</v>
      </c>
      <c r="E95" s="3247" t="s">
        <v>3356</v>
      </c>
      <c r="F95" s="3247" t="s">
        <v>3357</v>
      </c>
      <c r="G95" s="3277">
        <v>10.5</v>
      </c>
      <c r="H95" s="3270">
        <v>9671</v>
      </c>
      <c r="I95" s="3270">
        <v>108567</v>
      </c>
      <c r="J95" s="3247" t="s">
        <v>3252</v>
      </c>
      <c r="K95" s="3247" t="s">
        <v>3358</v>
      </c>
      <c r="L95" s="3247" t="s">
        <v>3359</v>
      </c>
      <c r="M95" s="3239"/>
      <c r="N95" s="3239"/>
    </row>
    <row r="96" spans="2:19" ht="21">
      <c r="B96" s="3242">
        <v>29</v>
      </c>
      <c r="C96" s="3243" t="s">
        <v>3352</v>
      </c>
      <c r="D96" s="3243" t="s">
        <v>27</v>
      </c>
      <c r="E96" s="3243" t="s">
        <v>3360</v>
      </c>
      <c r="F96" s="3243" t="s">
        <v>3361</v>
      </c>
      <c r="G96" s="3249">
        <v>15.75</v>
      </c>
      <c r="H96" s="3250">
        <v>27765</v>
      </c>
      <c r="I96" s="3250">
        <v>56726</v>
      </c>
      <c r="J96" s="3243" t="s">
        <v>3252</v>
      </c>
      <c r="K96" s="3243" t="s">
        <v>3362</v>
      </c>
      <c r="L96" s="3243" t="s">
        <v>3363</v>
      </c>
      <c r="M96" s="3239"/>
      <c r="N96" s="3239"/>
    </row>
    <row r="100" spans="3:9">
      <c r="C100" s="3235" t="s">
        <v>3364</v>
      </c>
    </row>
    <row r="112" spans="3:9">
      <c r="I112">
        <f>678.53/3506</f>
        <v>0.19353394181403308</v>
      </c>
    </row>
  </sheetData>
  <phoneticPr fontId="140"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1"/>
  <sheetViews>
    <sheetView workbookViewId="0">
      <selection activeCell="I13" sqref="I13"/>
    </sheetView>
  </sheetViews>
  <sheetFormatPr defaultColWidth="9" defaultRowHeight="12"/>
  <cols>
    <col min="1" max="2" width="9" style="3230"/>
    <col min="3" max="3" width="5.875" style="3230" bestFit="1" customWidth="1"/>
    <col min="4" max="4" width="18.625" style="3230" bestFit="1" customWidth="1"/>
    <col min="5" max="5" width="7.375" style="3230" bestFit="1" customWidth="1"/>
    <col min="6" max="6" width="15" style="3230" bestFit="1" customWidth="1"/>
    <col min="7" max="9" width="8" style="3230" bestFit="1" customWidth="1"/>
    <col min="10" max="16384" width="9" style="3230"/>
  </cols>
  <sheetData>
    <row r="5" spans="3:11">
      <c r="C5" s="3230" t="s">
        <v>3396</v>
      </c>
      <c r="D5" s="3230" t="s">
        <v>3398</v>
      </c>
      <c r="E5" s="3230" t="s">
        <v>3399</v>
      </c>
      <c r="F5" s="3230" t="s">
        <v>3405</v>
      </c>
      <c r="G5" s="3230" t="s">
        <v>3400</v>
      </c>
      <c r="H5" s="3230" t="s">
        <v>3401</v>
      </c>
      <c r="I5" s="3230" t="s">
        <v>3402</v>
      </c>
      <c r="J5" s="3230" t="s">
        <v>3414</v>
      </c>
      <c r="K5" s="3230" t="s">
        <v>3408</v>
      </c>
    </row>
    <row r="6" spans="3:11">
      <c r="C6" s="3230">
        <v>10.17</v>
      </c>
      <c r="D6" s="3230" t="s">
        <v>3397</v>
      </c>
      <c r="E6" s="3330">
        <v>0.1</v>
      </c>
      <c r="F6" s="3230">
        <v>23300</v>
      </c>
      <c r="G6" s="3230">
        <v>120000</v>
      </c>
      <c r="H6" s="3230">
        <f>ROUND(F6/E6/G6*10000,0)</f>
        <v>19417</v>
      </c>
      <c r="I6" s="3230">
        <v>162000</v>
      </c>
    </row>
    <row r="7" spans="3:11">
      <c r="C7" s="3230" t="s">
        <v>3403</v>
      </c>
      <c r="D7" s="3230" t="s">
        <v>3404</v>
      </c>
      <c r="F7" s="3230">
        <v>300000</v>
      </c>
    </row>
    <row r="8" spans="3:11">
      <c r="C8" s="3230" t="s">
        <v>3406</v>
      </c>
      <c r="D8" s="3230" t="s">
        <v>3412</v>
      </c>
      <c r="F8" s="3230">
        <v>501500</v>
      </c>
    </row>
    <row r="9" spans="3:11">
      <c r="D9" s="3230" t="s">
        <v>3407</v>
      </c>
      <c r="E9" s="3329">
        <v>0.46410000000000001</v>
      </c>
      <c r="F9" s="3230">
        <v>134200</v>
      </c>
    </row>
    <row r="10" spans="3:11">
      <c r="C10" s="3230">
        <v>10.17</v>
      </c>
      <c r="D10" s="3230" t="s">
        <v>3413</v>
      </c>
      <c r="E10" s="3330">
        <v>1</v>
      </c>
      <c r="F10" s="3230">
        <v>203700</v>
      </c>
      <c r="G10" s="3230">
        <v>44759.39</v>
      </c>
      <c r="H10" s="3230">
        <f t="shared" ref="H10" si="0">ROUND(F10/E10/G10*10000,0)</f>
        <v>45510</v>
      </c>
      <c r="I10" s="3230">
        <v>58239.38</v>
      </c>
      <c r="J10" s="3329">
        <f>ROUND((I10-G10)/I10,4)</f>
        <v>0.23150000000000001</v>
      </c>
      <c r="K10" s="3230" t="s">
        <v>3409</v>
      </c>
    </row>
    <row r="11" spans="3:11">
      <c r="C11" s="3230">
        <v>8.26</v>
      </c>
      <c r="D11" s="3230" t="s">
        <v>3410</v>
      </c>
      <c r="E11" s="3330">
        <v>0.5</v>
      </c>
      <c r="F11" s="3230">
        <v>13760</v>
      </c>
      <c r="K11" s="3230" t="s">
        <v>3411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45" t="str">
        <f>IF(项目基本情况!B9="房地产市场价值","估价结果一览表","结果表-2")</f>
        <v>结果表-2</v>
      </c>
      <c r="B1" s="3345"/>
      <c r="C1" s="3345"/>
      <c r="D1" s="3345"/>
      <c r="E1" s="3345"/>
      <c r="F1" s="3345"/>
      <c r="G1" s="3345"/>
      <c r="H1" s="3345"/>
      <c r="I1" s="3345"/>
    </row>
    <row r="2" spans="1:9" ht="30" customHeight="1" thickTop="1">
      <c r="A2" s="3346" t="s">
        <v>1365</v>
      </c>
      <c r="B2" s="3346" t="s">
        <v>1366</v>
      </c>
      <c r="C2" s="3346" t="s">
        <v>1367</v>
      </c>
      <c r="D2" s="3346" t="str">
        <f>结果表!D116</f>
        <v>出让国有建设用地使用权价值</v>
      </c>
      <c r="E2" s="3346"/>
      <c r="F2" s="3346" t="str">
        <f>结果表!F116</f>
        <v>在建建筑物价值</v>
      </c>
      <c r="G2" s="3346"/>
      <c r="H2" s="3346" t="str">
        <f>IF(项目基本情况!B9="房地产市场价值","房地产市场价值","房地产价值")</f>
        <v>房地产价值</v>
      </c>
      <c r="I2" s="3346"/>
    </row>
    <row r="3" spans="1:9" ht="15">
      <c r="A3" s="3347"/>
      <c r="B3" s="3347"/>
      <c r="C3" s="3347"/>
      <c r="D3" s="944" t="s">
        <v>1362</v>
      </c>
      <c r="E3" s="944" t="s">
        <v>1368</v>
      </c>
      <c r="F3" s="944" t="s">
        <v>1362</v>
      </c>
      <c r="G3" s="944" t="s">
        <v>1363</v>
      </c>
      <c r="H3" s="944" t="s">
        <v>1362</v>
      </c>
      <c r="I3" s="944" t="s">
        <v>1363</v>
      </c>
    </row>
    <row r="4" spans="1:9" ht="15">
      <c r="A4" s="1641" t="str">
        <f>项目基本情况!S2</f>
        <v>北京市房地产</v>
      </c>
      <c r="B4" s="944">
        <f>项目基本情况!C17</f>
        <v>51394.390000000007</v>
      </c>
      <c r="C4" s="944">
        <f>项目基本情况!C18</f>
        <v>7268.84</v>
      </c>
      <c r="D4" s="944">
        <f ca="1">结果表!D118</f>
        <v>204549</v>
      </c>
      <c r="E4" s="944">
        <f ca="1">结果表!E118</f>
        <v>39800</v>
      </c>
      <c r="F4" s="944">
        <f ca="1">结果表!F118</f>
        <v>39543</v>
      </c>
      <c r="G4" s="944">
        <f ca="1">结果表!G118</f>
        <v>7694</v>
      </c>
      <c r="H4" s="944">
        <f ca="1">结果表!H118</f>
        <v>244092</v>
      </c>
      <c r="I4" s="944">
        <f ca="1">结果表!I118</f>
        <v>47494</v>
      </c>
    </row>
    <row r="5" spans="1:9" ht="30" customHeight="1">
      <c r="A5" s="3347" t="s">
        <v>1364</v>
      </c>
      <c r="B5" s="3347"/>
      <c r="C5" s="3347"/>
      <c r="D5" s="3348" t="str">
        <f ca="1">结果表!D119</f>
        <v>贰拾亿肆仟伍佰肆拾玖万元整</v>
      </c>
      <c r="E5" s="3348"/>
      <c r="F5" s="3348" t="str">
        <f ca="1">结果表!F119</f>
        <v>叁亿玖仟伍佰肆拾叁万元整</v>
      </c>
      <c r="G5" s="3348"/>
      <c r="H5" s="3348" t="str">
        <f ca="1">结果表!H119</f>
        <v>贰拾肆亿肆仟零玖拾贰万元整</v>
      </c>
      <c r="I5" s="3348"/>
    </row>
    <row r="6" spans="1:9" ht="15.75">
      <c r="A6" s="3349" t="str">
        <f>结果表!A120</f>
        <v>估价师知悉的法定优先受偿款</v>
      </c>
      <c r="B6" s="3349"/>
      <c r="C6" s="3349"/>
      <c r="D6" s="3349">
        <f>结果表!D120</f>
        <v>0</v>
      </c>
      <c r="E6" s="3349"/>
      <c r="F6" s="3349"/>
      <c r="G6" s="3349"/>
      <c r="H6" s="3349"/>
      <c r="I6" s="3349"/>
    </row>
    <row r="7" spans="1:9" ht="15">
      <c r="A7" s="3347" t="s">
        <v>1364</v>
      </c>
      <c r="B7" s="3347"/>
      <c r="C7" s="3347"/>
      <c r="D7" s="3350" t="str">
        <f>结果表!D121</f>
        <v>零元整</v>
      </c>
      <c r="E7" s="3351"/>
      <c r="F7" s="3351"/>
      <c r="G7" s="3351"/>
      <c r="H7" s="3351"/>
      <c r="I7" s="3352"/>
    </row>
    <row r="8" spans="1:9" ht="15.75">
      <c r="A8" s="3349" t="str">
        <f>结果表!A122</f>
        <v>房地产抵押价值</v>
      </c>
      <c r="B8" s="3349"/>
      <c r="C8" s="3349"/>
      <c r="D8" s="3349">
        <f ca="1">结果表!D122</f>
        <v>244092</v>
      </c>
      <c r="E8" s="3349"/>
      <c r="F8" s="3349"/>
      <c r="G8" s="3349"/>
      <c r="H8" s="3349"/>
      <c r="I8" s="3349"/>
    </row>
    <row r="9" spans="1:9" ht="15">
      <c r="A9" s="3347" t="s">
        <v>1364</v>
      </c>
      <c r="B9" s="3347"/>
      <c r="C9" s="3347"/>
      <c r="D9" s="3348" t="str">
        <f ca="1">结果表!D123</f>
        <v>贰拾肆亿肆仟零玖拾贰万元整</v>
      </c>
      <c r="E9" s="3348"/>
      <c r="F9" s="3348"/>
      <c r="G9" s="3348"/>
      <c r="H9" s="3348"/>
      <c r="I9" s="3348"/>
    </row>
    <row r="10" spans="1:9" ht="15.75">
      <c r="A10" s="3349" t="str">
        <f>结果表!A124</f>
        <v/>
      </c>
      <c r="B10" s="3349"/>
      <c r="C10" s="3349"/>
      <c r="D10" s="3349" t="str">
        <f>结果表!D124</f>
        <v>——</v>
      </c>
      <c r="E10" s="3349"/>
      <c r="F10" s="3349"/>
      <c r="G10" s="3349"/>
      <c r="H10" s="3349"/>
      <c r="I10" s="3349"/>
    </row>
    <row r="11" spans="1:9" ht="15">
      <c r="A11" s="3347" t="s">
        <v>1364</v>
      </c>
      <c r="B11" s="3347"/>
      <c r="C11" s="3347"/>
      <c r="D11" s="3348" t="e">
        <f>结果表!D125</f>
        <v>#VALUE!</v>
      </c>
      <c r="E11" s="3348"/>
      <c r="F11" s="3348"/>
      <c r="G11" s="3348"/>
      <c r="H11" s="3348"/>
      <c r="I11" s="3348"/>
    </row>
    <row r="12" spans="1:9" ht="15.75">
      <c r="A12" s="3349" t="str">
        <f>结果表!A126</f>
        <v/>
      </c>
      <c r="B12" s="3349"/>
      <c r="C12" s="3349"/>
      <c r="D12" s="3349" t="str">
        <f>结果表!D126</f>
        <v>——</v>
      </c>
      <c r="E12" s="3349"/>
      <c r="F12" s="3349"/>
      <c r="G12" s="3349"/>
      <c r="H12" s="3349"/>
      <c r="I12" s="3349"/>
    </row>
    <row r="13" spans="1:9" ht="15.75" thickBot="1">
      <c r="A13" s="3353" t="s">
        <v>1364</v>
      </c>
      <c r="B13" s="3353"/>
      <c r="C13" s="3353"/>
      <c r="D13" s="3354" t="e">
        <f>结果表!D127</f>
        <v>#VALUE!</v>
      </c>
      <c r="E13" s="3354"/>
      <c r="F13" s="3354"/>
      <c r="G13" s="3354"/>
      <c r="H13" s="3354"/>
      <c r="I13" s="3354"/>
    </row>
    <row r="14" spans="1:9" ht="15" thickTop="1">
      <c r="A14" s="3355" t="s">
        <v>1369</v>
      </c>
      <c r="B14" s="3355"/>
      <c r="C14" s="3355"/>
      <c r="D14" s="3355"/>
      <c r="E14" s="3355"/>
      <c r="F14" s="3355"/>
      <c r="G14" s="3355"/>
      <c r="H14" s="3355"/>
      <c r="I14" s="3355"/>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56" t="s">
        <v>1386</v>
      </c>
      <c r="B1" s="3356"/>
      <c r="C1" s="3356"/>
      <c r="D1" s="3356"/>
    </row>
    <row r="2" spans="1:4" ht="18">
      <c r="A2" s="3357" t="s">
        <v>1370</v>
      </c>
      <c r="B2" s="3357"/>
      <c r="C2" s="3357"/>
      <c r="D2" s="3357"/>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357" t="s">
        <v>1376</v>
      </c>
      <c r="B6" s="3357"/>
      <c r="C6" s="3357"/>
      <c r="D6" s="335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58" t="s">
        <v>1379</v>
      </c>
      <c r="B11" s="3359"/>
      <c r="C11" s="3359"/>
      <c r="D11" s="3359"/>
    </row>
    <row r="12" spans="1:4" ht="15.75">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0"/>
      <c r="C12" s="3360"/>
      <c r="D12" s="3360"/>
    </row>
    <row r="13" spans="1:4" ht="30" customHeight="1">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0"/>
      <c r="C13" s="3360"/>
      <c r="D13" s="3360"/>
    </row>
    <row r="14" spans="1:4" ht="15.75" customHeight="1">
      <c r="A14" s="3359" t="str">
        <f>IF(项目基本情况!B8="抵押","4.本次评估估价师所知悉的法定优先受偿款情况说明如下：","——")</f>
        <v>4.本次评估估价师所知悉的法定优先受偿款情况说明如下：</v>
      </c>
      <c r="B14" s="3360"/>
      <c r="C14" s="3360"/>
      <c r="D14" s="3360"/>
    </row>
    <row r="15" spans="1:4" ht="42" customHeight="1">
      <c r="A15" s="33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spans="1:4" ht="30" customHeight="1">
      <c r="A16" s="3362" t="s">
        <v>1380</v>
      </c>
      <c r="B16" s="3362"/>
      <c r="C16" s="3362"/>
      <c r="D16" s="3362"/>
    </row>
    <row r="17" spans="1:4" ht="144" customHeight="1">
      <c r="A17" s="3362" t="s">
        <v>1381</v>
      </c>
      <c r="B17" s="3362"/>
      <c r="C17" s="3362"/>
      <c r="D17" s="3362"/>
    </row>
    <row r="18" spans="1:4" ht="15.75" customHeight="1">
      <c r="A18" s="3359" t="str">
        <f>IF(项目基本情况!B8="抵押",结果表!K120,"——")</f>
        <v>故，本次评估不存在估价师知悉的法定优先受偿款</v>
      </c>
      <c r="B18" s="3359"/>
      <c r="C18" s="3359"/>
      <c r="D18" s="3359"/>
    </row>
    <row r="19" spans="1:4" ht="46.5" customHeight="1">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spans="1:4" ht="57.75" customHeight="1">
      <c r="A21" s="33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3"/>
      <c r="C21" s="3363"/>
      <c r="D21" s="3363"/>
    </row>
    <row r="22" spans="1:4" ht="18.75" customHeight="1">
      <c r="A22" s="3364" t="s">
        <v>1382</v>
      </c>
      <c r="B22" s="3364"/>
      <c r="C22" s="3364"/>
      <c r="D22" s="336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61">
        <v>42551</v>
      </c>
      <c r="D31" s="33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70" t="s">
        <v>1393</v>
      </c>
      <c r="B15" s="3365" t="s">
        <v>136</v>
      </c>
      <c r="C15" s="3366"/>
    </row>
    <row r="16" spans="1:7" ht="13.5">
      <c r="A16" s="3371"/>
      <c r="B16" s="3365" t="s">
        <v>69</v>
      </c>
      <c r="C16" s="3366"/>
    </row>
    <row r="17" spans="1:3" ht="13.5">
      <c r="A17" s="3371"/>
      <c r="B17" s="3368" t="s">
        <v>1394</v>
      </c>
      <c r="C17" s="1668" t="s">
        <v>1393</v>
      </c>
    </row>
    <row r="18" spans="1:3" ht="13.5">
      <c r="A18" s="3371"/>
      <c r="B18" s="3368"/>
      <c r="C18" s="1668" t="s">
        <v>1395</v>
      </c>
    </row>
    <row r="19" spans="1:3" ht="13.5">
      <c r="A19" s="3371"/>
      <c r="B19" s="3368"/>
      <c r="C19" s="1668" t="s">
        <v>1396</v>
      </c>
    </row>
    <row r="20" spans="1:3" ht="13.5">
      <c r="A20" s="3372"/>
      <c r="B20" s="3367" t="s">
        <v>1397</v>
      </c>
      <c r="C20" s="3366"/>
    </row>
    <row r="21" spans="1:3" ht="13.5">
      <c r="A21" s="1669" t="s">
        <v>1398</v>
      </c>
      <c r="B21" s="1670"/>
      <c r="C21" s="1671"/>
    </row>
    <row r="22" spans="1:3" ht="13.5">
      <c r="A22" s="3369" t="s">
        <v>1399</v>
      </c>
      <c r="B22" s="3367" t="s">
        <v>1400</v>
      </c>
      <c r="C22" s="3366"/>
    </row>
    <row r="23" spans="1:3" ht="13.5">
      <c r="A23" s="3369"/>
      <c r="B23" s="3367" t="s">
        <v>1401</v>
      </c>
      <c r="C23" s="3366"/>
    </row>
    <row r="24" spans="1:3" ht="13.5">
      <c r="A24" s="3369"/>
      <c r="B24" s="3367" t="s">
        <v>1402</v>
      </c>
      <c r="C24" s="3366"/>
    </row>
    <row r="25" spans="1:3" ht="13.5">
      <c r="A25" s="3369"/>
      <c r="B25" s="3368" t="s">
        <v>1403</v>
      </c>
      <c r="C25" s="1668" t="s">
        <v>1404</v>
      </c>
    </row>
    <row r="26" spans="1:3" ht="13.5">
      <c r="A26" s="3369"/>
      <c r="B26" s="3368"/>
      <c r="C26" s="1668" t="s">
        <v>1405</v>
      </c>
    </row>
    <row r="27" spans="1:3" ht="13.5">
      <c r="A27" s="3369"/>
      <c r="B27" s="3368"/>
      <c r="C27" s="1668" t="s">
        <v>1406</v>
      </c>
    </row>
    <row r="28" spans="1:3" ht="13.5">
      <c r="A28" s="3369"/>
      <c r="B28" s="3368"/>
      <c r="C28" s="1668" t="s">
        <v>1407</v>
      </c>
    </row>
    <row r="29" spans="1:3" ht="13.5">
      <c r="A29" s="3369"/>
      <c r="B29" s="3368"/>
      <c r="C29" s="1668" t="s">
        <v>1408</v>
      </c>
    </row>
    <row r="30" spans="1:3" ht="13.5">
      <c r="A30" s="3369"/>
      <c r="B30" s="3368"/>
      <c r="C30" s="1668" t="s">
        <v>1409</v>
      </c>
    </row>
    <row r="31" spans="1:3" ht="13.5">
      <c r="A31" s="3369"/>
      <c r="B31" s="3368"/>
      <c r="C31" s="1668" t="s">
        <v>1410</v>
      </c>
    </row>
    <row r="32" spans="1:3" ht="13.5">
      <c r="A32" s="3369"/>
      <c r="B32" s="3368"/>
      <c r="C32" s="1668" t="s">
        <v>1411</v>
      </c>
    </row>
    <row r="33" spans="1:3" ht="13.5">
      <c r="A33" s="3369"/>
      <c r="B33" s="3368"/>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44903</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t="str">
        <f ca="1">IF(C8&lt;B2,"已过期",1419970001)</f>
        <v>已过期</v>
      </c>
      <c r="C8" s="2518">
        <v>44899</v>
      </c>
      <c r="D8" s="2519" t="str">
        <f t="shared" ca="1" si="0"/>
        <v>吴薇（注册号：已过期）</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2943</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73" t="s">
        <v>2661</v>
      </c>
      <c r="B17" s="3373"/>
      <c r="C17" s="3373"/>
      <c r="D17" s="3373"/>
      <c r="E17" s="3373"/>
      <c r="F17" s="3373"/>
      <c r="G17" s="3373"/>
      <c r="H17" s="3373"/>
    </row>
    <row r="18" spans="1:8" ht="24" customHeight="1">
      <c r="A18" s="3374" t="s">
        <v>2662</v>
      </c>
      <c r="B18" s="3374"/>
      <c r="C18" s="3374"/>
      <c r="D18" s="2516"/>
      <c r="E18" s="3375" t="s">
        <v>2663</v>
      </c>
      <c r="F18" s="3374"/>
      <c r="G18" s="3374"/>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 (2)</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比较法-办公</vt:lpstr>
      <vt:lpstr>Sheet2</vt:lpstr>
      <vt:lpstr>Sheet1</vt:lpstr>
      <vt:lpstr>Sheet3</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2022-12-08T07:26:30Z</dcterms:modified>
</cp:coreProperties>
</file>