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成本法" sheetId="68" r:id="rId26"/>
    <sheet name="基准地价修正" sheetId="43"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47" i="21"/>
  <c r="G47" i="21"/>
  <c r="E47" i="21"/>
  <c r="I33" i="21"/>
  <c r="G33" i="21"/>
  <c r="E33" i="21"/>
  <c r="D3" i="21"/>
  <c r="C33" i="21"/>
  <c r="I5" i="21"/>
  <c r="G5" i="21"/>
  <c r="E5" i="21"/>
  <c r="I7" i="21"/>
  <c r="G7" i="21"/>
  <c r="E7" i="21"/>
  <c r="C6" i="68"/>
  <c r="E25" i="80"/>
  <c r="E24" i="80"/>
  <c r="E23" i="80"/>
  <c r="E16" i="80"/>
  <c r="E15" i="80"/>
  <c r="E14" i="80"/>
  <c r="E13" i="80"/>
  <c r="E9" i="80"/>
  <c r="E8" i="80"/>
  <c r="E5" i="80"/>
  <c r="E4" i="80"/>
  <c r="C6" i="69"/>
  <c r="G73" i="43"/>
  <c r="G74" i="43"/>
  <c r="G75" i="43"/>
  <c r="G76" i="43"/>
  <c r="G77" i="43"/>
  <c r="G78" i="43"/>
  <c r="G79" i="43"/>
  <c r="G80" i="43"/>
  <c r="G72" i="43"/>
  <c r="D33" i="43"/>
  <c r="N6" i="1"/>
  <c r="F19" i="6"/>
  <c r="L26" i="79" l="1"/>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6"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5"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B23" i="79" s="1"/>
  <c r="AA29" i="79"/>
  <c r="Z29" i="79"/>
  <c r="N29" i="79"/>
  <c r="M29" i="79"/>
  <c r="L29" i="79"/>
  <c r="I29" i="79"/>
  <c r="AD29" i="79" s="1"/>
  <c r="AB25" i="79"/>
  <c r="AA25" i="79"/>
  <c r="AA23" i="79" s="1"/>
  <c r="AD23" i="79" s="1"/>
  <c r="Z25" i="79"/>
  <c r="N25" i="79"/>
  <c r="M25" i="79"/>
  <c r="L25" i="79"/>
  <c r="I25" i="79"/>
  <c r="AD25" i="79" s="1"/>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K10" i="79"/>
  <c r="I10" i="79"/>
  <c r="AC9" i="79"/>
  <c r="AB9" i="79"/>
  <c r="AB3" i="79" s="1"/>
  <c r="AA9" i="79"/>
  <c r="AD9" i="79" s="1"/>
  <c r="Z9" i="79"/>
  <c r="Z3" i="79" s="1"/>
  <c r="Y9" i="79"/>
  <c r="O9" i="79"/>
  <c r="N9" i="79"/>
  <c r="M9" i="79"/>
  <c r="L9" i="79"/>
  <c r="K9" i="79"/>
  <c r="I9" i="79"/>
  <c r="AC5" i="79"/>
  <c r="AB5" i="79"/>
  <c r="AA5" i="79"/>
  <c r="AD5" i="79" s="1"/>
  <c r="Z5" i="79"/>
  <c r="Y5" i="79"/>
  <c r="O5" i="79"/>
  <c r="N5" i="79"/>
  <c r="M5" i="79"/>
  <c r="L5" i="79"/>
  <c r="K5" i="79"/>
  <c r="I5" i="79"/>
  <c r="AC3" i="79"/>
  <c r="Y3" i="79"/>
  <c r="S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9" i="79"/>
  <c r="T7" i="79"/>
  <c r="W7" i="79" s="1"/>
  <c r="T8" i="79"/>
  <c r="W8" i="79" s="1"/>
  <c r="T6" i="79"/>
  <c r="W6" i="79" s="1"/>
  <c r="T28" i="79"/>
  <c r="W28" i="79" s="1"/>
  <c r="T26" i="79"/>
  <c r="W26" i="79" s="1"/>
  <c r="T27" i="79"/>
  <c r="W27" i="79" s="1"/>
  <c r="M3" i="79"/>
  <c r="P3" i="79" s="1"/>
  <c r="T3" i="79"/>
  <c r="W3" i="79" s="1"/>
  <c r="U5" i="79"/>
  <c r="U9" i="79"/>
  <c r="U8" i="79"/>
  <c r="U6" i="79"/>
  <c r="U7" i="79"/>
  <c r="R10" i="79"/>
  <c r="V10" i="79"/>
  <c r="S11" i="79"/>
  <c r="T12" i="79"/>
  <c r="W12" i="79" s="1"/>
  <c r="M23" i="79"/>
  <c r="P23" i="79" s="1"/>
  <c r="T25" i="79"/>
  <c r="W25" i="79" s="1"/>
  <c r="U29" i="79"/>
  <c r="U28" i="79"/>
  <c r="U27" i="79"/>
  <c r="U26" i="79"/>
  <c r="AD30" i="79"/>
  <c r="S31" i="79"/>
  <c r="T32" i="79"/>
  <c r="W32" i="79" s="1"/>
  <c r="U33" i="79"/>
  <c r="AD34" i="79"/>
  <c r="U3" i="79"/>
  <c r="R5" i="79"/>
  <c r="S10" i="79"/>
  <c r="N3" i="79"/>
  <c r="AA3" i="79"/>
  <c r="AD3" i="79" s="1"/>
  <c r="V5" i="79"/>
  <c r="R6" i="79"/>
  <c r="R8" i="79"/>
  <c r="R7" i="79"/>
  <c r="V9" i="79"/>
  <c r="V8" i="79"/>
  <c r="V6" i="79"/>
  <c r="V7" i="79"/>
  <c r="K3" i="79"/>
  <c r="O3" i="79"/>
  <c r="V3" i="79"/>
  <c r="S5" i="79"/>
  <c r="P5" i="79"/>
  <c r="S9" i="79"/>
  <c r="S8" i="79"/>
  <c r="S6" i="79"/>
  <c r="S7" i="79"/>
  <c r="T10" i="79"/>
  <c r="W10" i="79" s="1"/>
  <c r="U11" i="79"/>
  <c r="R12" i="79"/>
  <c r="V12" i="79"/>
  <c r="R13" i="79"/>
  <c r="V13" i="79"/>
  <c r="T23" i="79"/>
  <c r="W23" i="79" s="1"/>
  <c r="S28" i="79"/>
  <c r="S26" i="79"/>
  <c r="S27" i="79"/>
  <c r="U31" i="79"/>
  <c r="AD32" i="79"/>
  <c r="S33"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A12" i="62"/>
  <c r="B58" i="72" s="1"/>
  <c r="A120" i="9"/>
  <c r="H2" i="52"/>
  <c r="A1" i="52"/>
  <c r="A3" i="53"/>
  <c r="Q26" i="71"/>
  <c r="P26" i="71"/>
  <c r="O26" i="71"/>
  <c r="N26" i="71"/>
  <c r="X26" i="71" s="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c r="F55" i="71"/>
  <c r="F56" i="71" s="1"/>
  <c r="V56" i="71" s="1"/>
  <c r="P53" i="71"/>
  <c r="E54" i="71"/>
  <c r="E55" i="71" s="1"/>
  <c r="O53" i="71"/>
  <c r="C54" i="71" s="1"/>
  <c r="C55" i="71" s="1"/>
  <c r="C56" i="71" s="1"/>
  <c r="D56" i="71" s="1"/>
  <c r="N53" i="71"/>
  <c r="B54" i="71"/>
  <c r="B55" i="71"/>
  <c r="B56" i="71" s="1"/>
  <c r="S56" i="71" s="1"/>
  <c r="D53" i="71"/>
  <c r="Q52" i="71"/>
  <c r="P52" i="71"/>
  <c r="O52" i="71"/>
  <c r="N52" i="71"/>
  <c r="Q51" i="71"/>
  <c r="P51" i="71"/>
  <c r="O51" i="71"/>
  <c r="N51" i="71"/>
  <c r="Q50" i="71"/>
  <c r="P50" i="71"/>
  <c r="O50" i="71"/>
  <c r="N50" i="71"/>
  <c r="Q49" i="71"/>
  <c r="F50" i="71" s="1"/>
  <c r="F51"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C43" i="71" s="1"/>
  <c r="N41" i="71"/>
  <c r="B42" i="71"/>
  <c r="B43" i="71" s="1"/>
  <c r="B44" i="71" s="1"/>
  <c r="S44" i="71" s="1"/>
  <c r="D41" i="71"/>
  <c r="Q40" i="71"/>
  <c r="P40" i="71"/>
  <c r="O40" i="71"/>
  <c r="N40" i="71"/>
  <c r="AB39" i="71"/>
  <c r="Q39" i="71"/>
  <c r="P39" i="71"/>
  <c r="AA39" i="71"/>
  <c r="O39" i="71"/>
  <c r="Y39" i="71" s="1"/>
  <c r="Z39" i="71" s="1"/>
  <c r="N39" i="71"/>
  <c r="Q38" i="71"/>
  <c r="AB38" i="71"/>
  <c r="P38" i="71"/>
  <c r="O38" i="71"/>
  <c r="Y38" i="71" s="1"/>
  <c r="Z38" i="71" s="1"/>
  <c r="N38" i="71"/>
  <c r="Q37" i="71"/>
  <c r="AB36" i="71" s="1"/>
  <c r="P37" i="71"/>
  <c r="O37" i="71"/>
  <c r="N37" i="71"/>
  <c r="D37" i="71"/>
  <c r="Q36" i="71"/>
  <c r="P36" i="71"/>
  <c r="O36" i="71"/>
  <c r="Y36" i="71" s="1"/>
  <c r="Z36" i="71" s="1"/>
  <c r="N36" i="71"/>
  <c r="Q35" i="71"/>
  <c r="AB35" i="71" s="1"/>
  <c r="P35" i="71"/>
  <c r="O35" i="71"/>
  <c r="N35" i="71"/>
  <c r="Q34" i="71"/>
  <c r="AB34" i="71"/>
  <c r="P34" i="71"/>
  <c r="O34" i="71"/>
  <c r="N34" i="71"/>
  <c r="Q33" i="71"/>
  <c r="F34" i="71" s="1"/>
  <c r="F35" i="71" s="1"/>
  <c r="F36" i="71" s="1"/>
  <c r="V36" i="71" s="1"/>
  <c r="P33" i="71"/>
  <c r="O33" i="71"/>
  <c r="C34" i="71" s="1"/>
  <c r="N33" i="71"/>
  <c r="D33" i="71"/>
  <c r="Q32" i="71"/>
  <c r="AB32" i="71"/>
  <c r="P32" i="71"/>
  <c r="O32" i="71"/>
  <c r="N32" i="71"/>
  <c r="Q31" i="71"/>
  <c r="P31" i="71"/>
  <c r="O31" i="71"/>
  <c r="N31" i="71"/>
  <c r="Q30" i="71"/>
  <c r="P30" i="71"/>
  <c r="O30" i="71"/>
  <c r="N30" i="71"/>
  <c r="Q29" i="71"/>
  <c r="P29" i="71"/>
  <c r="O29" i="71"/>
  <c r="C30" i="71" s="1"/>
  <c r="N29" i="71"/>
  <c r="D29" i="71"/>
  <c r="O28" i="71"/>
  <c r="N28" i="71"/>
  <c r="B28" i="71" s="1"/>
  <c r="B27" i="71" s="1"/>
  <c r="B30" i="71"/>
  <c r="B31" i="71"/>
  <c r="B32" i="71" s="1"/>
  <c r="S32" i="71" s="1"/>
  <c r="E30" i="71"/>
  <c r="E31" i="71" s="1"/>
  <c r="E32" i="71"/>
  <c r="U32" i="71" s="1"/>
  <c r="B34" i="71"/>
  <c r="B35" i="71"/>
  <c r="B36" i="71" s="1"/>
  <c r="S36" i="71" s="1"/>
  <c r="E38" i="71"/>
  <c r="X31" i="71"/>
  <c r="AB33" i="71"/>
  <c r="X35" i="71"/>
  <c r="C38" i="71"/>
  <c r="Y37" i="71"/>
  <c r="Z37" i="71" s="1"/>
  <c r="AB37" i="71"/>
  <c r="F52" i="71"/>
  <c r="V52" i="71" s="1"/>
  <c r="C28" i="71"/>
  <c r="D28" i="71" s="1"/>
  <c r="U28" i="71" s="1"/>
  <c r="X27" i="71"/>
  <c r="C39" i="71"/>
  <c r="D38" i="71"/>
  <c r="D42" i="71"/>
  <c r="C47" i="71"/>
  <c r="D47" i="71"/>
  <c r="C51" i="71"/>
  <c r="C52" i="71" s="1"/>
  <c r="D50" i="71"/>
  <c r="P28" i="71"/>
  <c r="E56" i="71"/>
  <c r="U56" i="71" s="1"/>
  <c r="E59" i="71"/>
  <c r="E60" i="71" s="1"/>
  <c r="U60" i="71" s="1"/>
  <c r="U68" i="71"/>
  <c r="E67" i="71"/>
  <c r="Q28" i="71"/>
  <c r="AB25" i="71" s="1"/>
  <c r="D54" i="71"/>
  <c r="C63" i="71"/>
  <c r="D62" i="71"/>
  <c r="T68" i="71"/>
  <c r="O68" i="71"/>
  <c r="D68" i="71"/>
  <c r="C67" i="71"/>
  <c r="Q68" i="71"/>
  <c r="C71" i="71"/>
  <c r="C70" i="71" s="1"/>
  <c r="D72" i="71"/>
  <c r="C75" i="71"/>
  <c r="D75" i="71" s="1"/>
  <c r="E75" i="71"/>
  <c r="E74" i="71" s="1"/>
  <c r="D76" i="71"/>
  <c r="C79" i="71"/>
  <c r="D79" i="71" s="1"/>
  <c r="E79" i="71"/>
  <c r="E78" i="71" s="1"/>
  <c r="D80" i="71"/>
  <c r="C83" i="71"/>
  <c r="C87" i="71"/>
  <c r="C86" i="71" s="1"/>
  <c r="D86" i="71" s="1"/>
  <c r="C27" i="71"/>
  <c r="F28" i="71"/>
  <c r="F27" i="71" s="1"/>
  <c r="F26" i="71" s="1"/>
  <c r="AB28" i="71"/>
  <c r="E28" i="71"/>
  <c r="E27" i="71"/>
  <c r="E26" i="71" s="1"/>
  <c r="C66" i="71"/>
  <c r="O67" i="71"/>
  <c r="D67" i="71"/>
  <c r="C64" i="71"/>
  <c r="D64" i="71" s="1"/>
  <c r="D63" i="71"/>
  <c r="D83" i="71"/>
  <c r="C82" i="71"/>
  <c r="D82" i="71"/>
  <c r="C74" i="71"/>
  <c r="D74" i="71" s="1"/>
  <c r="D87" i="71"/>
  <c r="C78" i="71"/>
  <c r="D78" i="71" s="1"/>
  <c r="D71" i="71"/>
  <c r="D70" i="71"/>
  <c r="P67" i="71"/>
  <c r="E66" i="71"/>
  <c r="P65" i="71" s="1"/>
  <c r="D51" i="71"/>
  <c r="C44" i="71"/>
  <c r="D43" i="71"/>
  <c r="V28" i="71"/>
  <c r="P66" i="71"/>
  <c r="O66" i="71"/>
  <c r="D66" i="71"/>
  <c r="O65" i="71"/>
  <c r="T44" i="71"/>
  <c r="D44"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J25" i="40"/>
  <c r="H29" i="39"/>
  <c r="AB29" i="39" s="1"/>
  <c r="J29" i="39"/>
  <c r="AC29" i="39" s="1"/>
  <c r="J18" i="36"/>
  <c r="H18" i="35"/>
  <c r="AB18" i="35" s="1"/>
  <c r="G68" i="35"/>
  <c r="J18" i="35"/>
  <c r="F77" i="37"/>
  <c r="G77" i="37" s="1"/>
  <c r="H21" i="37"/>
  <c r="F21" i="37"/>
  <c r="AA21" i="37" s="1"/>
  <c r="H21" i="34"/>
  <c r="H21" i="33"/>
  <c r="U21" i="33" s="1"/>
  <c r="F21" i="33"/>
  <c r="E83" i="21"/>
  <c r="H1" i="69"/>
  <c r="AC25" i="40"/>
  <c r="W25" i="40"/>
  <c r="U29" i="39"/>
  <c r="W29" i="39"/>
  <c r="AB21" i="37"/>
  <c r="U21" i="37"/>
  <c r="S21" i="37"/>
  <c r="AB21" i="33"/>
  <c r="AA21" i="33"/>
  <c r="S21" i="33"/>
  <c r="AC18" i="35"/>
  <c r="W18" i="35"/>
  <c r="J21" i="37"/>
  <c r="J21" i="34"/>
  <c r="J21" i="33"/>
  <c r="F83" i="21"/>
  <c r="G83" i="21" s="1"/>
  <c r="H21" i="21"/>
  <c r="U21" i="21" s="1"/>
  <c r="F38" i="69"/>
  <c r="E37" i="69"/>
  <c r="F36" i="69"/>
  <c r="F35" i="69"/>
  <c r="F21" i="69"/>
  <c r="F40" i="69" s="1"/>
  <c r="F20" i="69"/>
  <c r="F39" i="69" s="1"/>
  <c r="E10" i="69"/>
  <c r="E9" i="69"/>
  <c r="AC21" i="37"/>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c r="J6" i="31" s="1"/>
  <c r="K6" i="31" s="1"/>
  <c r="L6" i="31" s="1"/>
  <c r="M6" i="3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AZ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L13"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F5" i="3" s="1"/>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C5" i="3" s="1"/>
  <c r="BD498" i="3"/>
  <c r="BE498" i="3"/>
  <c r="BF498" i="3"/>
  <c r="BG498" i="3"/>
  <c r="BG5" i="3" s="1"/>
  <c r="BH498" i="3"/>
  <c r="BI498" i="3"/>
  <c r="BJ498" i="3"/>
  <c r="BK498" i="3"/>
  <c r="BK5" i="3" s="1"/>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AZ499" i="3" s="1"/>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c r="B99" i="35"/>
  <c r="B97" i="35"/>
  <c r="B77" i="35"/>
  <c r="B75" i="35"/>
  <c r="J24" i="35" s="1"/>
  <c r="AC24" i="35" s="1"/>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s="1"/>
  <c r="J80" i="35"/>
  <c r="K80" i="35" s="1"/>
  <c r="L80" i="35" s="1"/>
  <c r="M80" i="35" s="1"/>
  <c r="D72" i="35"/>
  <c r="E72" i="35"/>
  <c r="F72" i="35" s="1"/>
  <c r="G72" i="35" s="1"/>
  <c r="D70" i="35"/>
  <c r="E70" i="35" s="1"/>
  <c r="F70" i="35"/>
  <c r="G70" i="35" s="1"/>
  <c r="D66" i="35"/>
  <c r="E66" i="35"/>
  <c r="F66" i="35" s="1"/>
  <c r="G66" i="35" s="1"/>
  <c r="D64" i="35"/>
  <c r="E64" i="35" s="1"/>
  <c r="F64" i="35" s="1"/>
  <c r="G64" i="35" s="1"/>
  <c r="J14" i="35"/>
  <c r="W14" i="35"/>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F12" i="35"/>
  <c r="Q11" i="35"/>
  <c r="Z11" i="35" s="1"/>
  <c r="Q10" i="35"/>
  <c r="Z10" i="35" s="1"/>
  <c r="Q9" i="35"/>
  <c r="Z9" i="35" s="1"/>
  <c r="J8" i="35"/>
  <c r="W8" i="35" s="1"/>
  <c r="H8" i="35"/>
  <c r="AB8" i="35" s="1"/>
  <c r="F8" i="35"/>
  <c r="AA8" i="35" s="1"/>
  <c r="D120" i="34"/>
  <c r="E120" i="34"/>
  <c r="F120" i="34"/>
  <c r="G120" i="34" s="1"/>
  <c r="H120" i="34" s="1"/>
  <c r="I120" i="34"/>
  <c r="J120" i="34" s="1"/>
  <c r="K120" i="34" s="1"/>
  <c r="L120" i="34" s="1"/>
  <c r="M120" i="34" s="1"/>
  <c r="D90" i="34"/>
  <c r="E90" i="34" s="1"/>
  <c r="F90" i="34" s="1"/>
  <c r="G90" i="34" s="1"/>
  <c r="H90" i="34" s="1"/>
  <c r="I90" i="34"/>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s="1"/>
  <c r="F109" i="34" s="1"/>
  <c r="G109" i="34" s="1"/>
  <c r="H109" i="34" s="1"/>
  <c r="I109" i="34" s="1"/>
  <c r="J109" i="34"/>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J12" i="34"/>
  <c r="W12" i="34" s="1"/>
  <c r="H12" i="34"/>
  <c r="F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s="1"/>
  <c r="H38" i="33"/>
  <c r="AB38" i="33" s="1"/>
  <c r="F38" i="33"/>
  <c r="AA38" i="33"/>
  <c r="Q37" i="33"/>
  <c r="Z37" i="33" s="1"/>
  <c r="Q36" i="33"/>
  <c r="Z36" i="33" s="1"/>
  <c r="Q35" i="33"/>
  <c r="Z35" i="33" s="1"/>
  <c r="H35" i="33"/>
  <c r="U35" i="33" s="1"/>
  <c r="AB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s="1"/>
  <c r="H108" i="21" s="1"/>
  <c r="I108" i="21" s="1"/>
  <c r="J108" i="21"/>
  <c r="K108" i="21" s="1"/>
  <c r="L108" i="21" s="1"/>
  <c r="M108" i="21" s="1"/>
  <c r="D106" i="21"/>
  <c r="E106" i="21"/>
  <c r="F106" i="21" s="1"/>
  <c r="G106" i="21" s="1"/>
  <c r="H106" i="21"/>
  <c r="I106" i="21" s="1"/>
  <c r="J106" i="21" s="1"/>
  <c r="K106" i="21" s="1"/>
  <c r="L106" i="21" s="1"/>
  <c r="M106" i="21" s="1"/>
  <c r="D101" i="21"/>
  <c r="E101" i="2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c r="D77" i="21"/>
  <c r="E77" i="21"/>
  <c r="B130" i="21"/>
  <c r="B128" i="21"/>
  <c r="J45" i="21" s="1"/>
  <c r="W45" i="21"/>
  <c r="B126" i="21"/>
  <c r="B98" i="21"/>
  <c r="B96" i="21"/>
  <c r="B94" i="21"/>
  <c r="J29" i="21"/>
  <c r="AC29" i="21" s="1"/>
  <c r="B92" i="21"/>
  <c r="B90" i="21"/>
  <c r="J27" i="21"/>
  <c r="W27" i="21" s="1"/>
  <c r="B74" i="21"/>
  <c r="B72" i="21"/>
  <c r="H13" i="2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s="1"/>
  <c r="F38" i="21"/>
  <c r="S38" i="21"/>
  <c r="F36" i="21"/>
  <c r="S36" i="21"/>
  <c r="F39" i="21"/>
  <c r="AA39" i="21"/>
  <c r="J40" i="21"/>
  <c r="W40" i="21"/>
  <c r="H35" i="21"/>
  <c r="AB35" i="2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S41" i="21"/>
  <c r="AA41" i="21"/>
  <c r="F45" i="39"/>
  <c r="S45" i="39"/>
  <c r="J45" i="39"/>
  <c r="W45" i="39"/>
  <c r="F36" i="39"/>
  <c r="AB36" i="39"/>
  <c r="J35" i="39"/>
  <c r="AC35" i="39"/>
  <c r="F35" i="39"/>
  <c r="AA35" i="39"/>
  <c r="U9" i="39"/>
  <c r="W40" i="39"/>
  <c r="U30" i="37"/>
  <c r="F103" i="37"/>
  <c r="G103" i="37" s="1"/>
  <c r="H103" i="37" s="1"/>
  <c r="I103" i="37" s="1"/>
  <c r="J103" i="37" s="1"/>
  <c r="K103" i="37"/>
  <c r="L103" i="37" s="1"/>
  <c r="M103" i="37" s="1"/>
  <c r="F39" i="37"/>
  <c r="F29" i="36"/>
  <c r="AA29" i="36" s="1"/>
  <c r="F16" i="36"/>
  <c r="AA16" i="36"/>
  <c r="W28" i="36"/>
  <c r="U31" i="36"/>
  <c r="J33" i="36"/>
  <c r="AC33" i="36" s="1"/>
  <c r="H22" i="35"/>
  <c r="AB22" i="35"/>
  <c r="AC27" i="35"/>
  <c r="W28" i="35"/>
  <c r="S34" i="35"/>
  <c r="W36" i="35"/>
  <c r="S31" i="35"/>
  <c r="U34" i="35"/>
  <c r="F36" i="34"/>
  <c r="J35" i="34"/>
  <c r="U34" i="34"/>
  <c r="H39" i="33"/>
  <c r="AB39" i="33" s="1"/>
  <c r="F26" i="33"/>
  <c r="U33" i="33"/>
  <c r="W33" i="33"/>
  <c r="W39" i="33"/>
  <c r="H39" i="37"/>
  <c r="AB39" i="37"/>
  <c r="S27" i="35"/>
  <c r="F11" i="40"/>
  <c r="AA11" i="40" s="1"/>
  <c r="H11" i="40"/>
  <c r="AB11" i="40" s="1"/>
  <c r="W8" i="40"/>
  <c r="AC40" i="40"/>
  <c r="AA9" i="40"/>
  <c r="AC9" i="40"/>
  <c r="U9" i="40"/>
  <c r="S34" i="40"/>
  <c r="S40" i="40"/>
  <c r="U34" i="40"/>
  <c r="U40"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W34" i="36" s="1"/>
  <c r="J30" i="35"/>
  <c r="W30" i="35" s="1"/>
  <c r="H30" i="35"/>
  <c r="AB30" i="35" s="1"/>
  <c r="F22" i="35"/>
  <c r="AA22" i="35" s="1"/>
  <c r="H10" i="35"/>
  <c r="U10" i="35" s="1"/>
  <c r="AC16" i="36"/>
  <c r="F33" i="36"/>
  <c r="AA33" i="36" s="1"/>
  <c r="W30" i="36"/>
  <c r="H16" i="36"/>
  <c r="AB16" i="36"/>
  <c r="E85" i="36"/>
  <c r="F85" i="36"/>
  <c r="G85" i="36" s="1"/>
  <c r="H85" i="36"/>
  <c r="I85" i="36" s="1"/>
  <c r="J85" i="36" s="1"/>
  <c r="K85" i="36" s="1"/>
  <c r="L85" i="36"/>
  <c r="M85" i="36" s="1"/>
  <c r="J29" i="36"/>
  <c r="AC29" i="36" s="1"/>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s="1"/>
  <c r="U34" i="37"/>
  <c r="S34" i="37"/>
  <c r="AA34" i="37"/>
  <c r="J43" i="34"/>
  <c r="AB42" i="34"/>
  <c r="J40" i="34"/>
  <c r="F114" i="34"/>
  <c r="G114" i="34" s="1"/>
  <c r="H114" i="34" s="1"/>
  <c r="I114" i="34" s="1"/>
  <c r="J114" i="34" s="1"/>
  <c r="K114" i="34"/>
  <c r="L114" i="34" s="1"/>
  <c r="M114" i="34" s="1"/>
  <c r="H38" i="34"/>
  <c r="AB38" i="34" s="1"/>
  <c r="J36" i="34"/>
  <c r="H37" i="34"/>
  <c r="U37" i="34" s="1"/>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H42" i="21"/>
  <c r="U42" i="21" s="1"/>
  <c r="J44" i="34"/>
  <c r="F44" i="34"/>
  <c r="AA44" i="34" s="1"/>
  <c r="J10" i="35"/>
  <c r="AC10" i="35" s="1"/>
  <c r="BL587" i="3"/>
  <c r="J14" i="21"/>
  <c r="W14" i="21" s="1"/>
  <c r="F14" i="21"/>
  <c r="S14" i="21"/>
  <c r="H14" i="21"/>
  <c r="U14" i="21" s="1"/>
  <c r="F28" i="21"/>
  <c r="AA28" i="21" s="1"/>
  <c r="H30" i="21"/>
  <c r="U30" i="21" s="1"/>
  <c r="F30" i="21"/>
  <c r="S30" i="21" s="1"/>
  <c r="J30" i="21"/>
  <c r="AC30" i="21" s="1"/>
  <c r="J44" i="21"/>
  <c r="AC44" i="21"/>
  <c r="H44" i="21"/>
  <c r="U44" i="21" s="1"/>
  <c r="F44" i="21"/>
  <c r="AA44" i="21" s="1"/>
  <c r="H46" i="21"/>
  <c r="U46" i="21" s="1"/>
  <c r="J46" i="21"/>
  <c r="W46" i="21"/>
  <c r="F46" i="21"/>
  <c r="AA46" i="21" s="1"/>
  <c r="E119" i="21"/>
  <c r="F119" i="21" s="1"/>
  <c r="G119" i="21" s="1"/>
  <c r="H119" i="21" s="1"/>
  <c r="I119" i="21" s="1"/>
  <c r="J119" i="2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c r="M89" i="35" s="1"/>
  <c r="H10" i="36"/>
  <c r="AB10" i="36" s="1"/>
  <c r="J14" i="36"/>
  <c r="AC14" i="36"/>
  <c r="H14" i="36"/>
  <c r="U14" i="36"/>
  <c r="F28" i="36"/>
  <c r="AA28" i="36" s="1"/>
  <c r="J13" i="21"/>
  <c r="AC13" i="21" s="1"/>
  <c r="H27" i="21"/>
  <c r="AB27" i="21" s="1"/>
  <c r="F27" i="21"/>
  <c r="AA27" i="21"/>
  <c r="H29" i="21"/>
  <c r="U29" i="21" s="1"/>
  <c r="F31" i="21"/>
  <c r="S31" i="21" s="1"/>
  <c r="F45" i="21"/>
  <c r="AA45" i="21"/>
  <c r="F27" i="33"/>
  <c r="AA27" i="33" s="1"/>
  <c r="J13" i="33"/>
  <c r="H13" i="33"/>
  <c r="U13" i="33" s="1"/>
  <c r="F13" i="33"/>
  <c r="S13" i="33" s="1"/>
  <c r="J29" i="33"/>
  <c r="AC29" i="33"/>
  <c r="H29" i="33"/>
  <c r="U29" i="33" s="1"/>
  <c r="F29" i="33"/>
  <c r="S29" i="33" s="1"/>
  <c r="J31" i="33"/>
  <c r="H31" i="33"/>
  <c r="F31" i="33"/>
  <c r="H45" i="33"/>
  <c r="U45" i="33" s="1"/>
  <c r="J45" i="33"/>
  <c r="W45" i="33" s="1"/>
  <c r="F45" i="33"/>
  <c r="AA45" i="33" s="1"/>
  <c r="J14" i="34"/>
  <c r="W14" i="34"/>
  <c r="F14" i="34"/>
  <c r="S14" i="34" s="1"/>
  <c r="H14" i="34"/>
  <c r="H30" i="34"/>
  <c r="F30" i="34"/>
  <c r="S30" i="34" s="1"/>
  <c r="J30" i="34"/>
  <c r="W30" i="34"/>
  <c r="H32" i="34"/>
  <c r="F32" i="34"/>
  <c r="J32" i="34"/>
  <c r="W32" i="34"/>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c r="H37" i="37"/>
  <c r="U37" i="37" s="1"/>
  <c r="H40" i="37"/>
  <c r="U40" i="37" s="1"/>
  <c r="J40" i="37"/>
  <c r="AC40" i="37" s="1"/>
  <c r="F40" i="37"/>
  <c r="AA40" i="37"/>
  <c r="AC12" i="40"/>
  <c r="W12" i="40"/>
  <c r="H14" i="33"/>
  <c r="U14" i="33"/>
  <c r="F14" i="33"/>
  <c r="S14" i="33" s="1"/>
  <c r="J14" i="33"/>
  <c r="H30" i="33"/>
  <c r="AB30" i="33"/>
  <c r="F30" i="33"/>
  <c r="J30" i="33"/>
  <c r="H44" i="33"/>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J14" i="40"/>
  <c r="W14" i="40" s="1"/>
  <c r="F14" i="40"/>
  <c r="AA14" i="40" s="1"/>
  <c r="J14" i="37"/>
  <c r="J27" i="37"/>
  <c r="AC27" i="37" s="1"/>
  <c r="AA14" i="33"/>
  <c r="J36" i="37"/>
  <c r="AC36" i="37"/>
  <c r="G105" i="37"/>
  <c r="J10" i="36"/>
  <c r="AC10" i="36" s="1"/>
  <c r="AB30" i="21"/>
  <c r="AA14" i="37"/>
  <c r="W31" i="34"/>
  <c r="W13" i="36"/>
  <c r="AB46" i="34"/>
  <c r="AC30" i="34"/>
  <c r="AA14" i="34"/>
  <c r="AB45" i="33"/>
  <c r="AB31" i="33"/>
  <c r="U31" i="33"/>
  <c r="W29" i="33"/>
  <c r="S44" i="34"/>
  <c r="BA585" i="3"/>
  <c r="F17" i="21"/>
  <c r="AA17" i="21" s="1"/>
  <c r="H17" i="21"/>
  <c r="AB17" i="21" s="1"/>
  <c r="F15" i="21"/>
  <c r="S15" i="21" s="1"/>
  <c r="J41" i="39"/>
  <c r="W41" i="39" s="1"/>
  <c r="AC45" i="39"/>
  <c r="W35" i="39"/>
  <c r="U36"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76" i="3"/>
  <c r="BL572" i="3"/>
  <c r="BL568" i="3"/>
  <c r="BL564" i="3"/>
  <c r="BL560" i="3"/>
  <c r="AZ560" i="3" s="1"/>
  <c r="BL554" i="3"/>
  <c r="BL546" i="3"/>
  <c r="BL542" i="3"/>
  <c r="BL538" i="3"/>
  <c r="BL534" i="3"/>
  <c r="BL530" i="3"/>
  <c r="BL526" i="3"/>
  <c r="BL582" i="3"/>
  <c r="BL574" i="3"/>
  <c r="BL570" i="3"/>
  <c r="BL566" i="3"/>
  <c r="BL562" i="3"/>
  <c r="BL556" i="3"/>
  <c r="BL552" i="3"/>
  <c r="BL544" i="3"/>
  <c r="BL540" i="3"/>
  <c r="AZ540" i="3" s="1"/>
  <c r="BL536" i="3"/>
  <c r="G533" i="3"/>
  <c r="BL532" i="3"/>
  <c r="G529" i="3"/>
  <c r="BL528" i="3"/>
  <c r="G525" i="3"/>
  <c r="BL518" i="3"/>
  <c r="BA584" i="3"/>
  <c r="BA582" i="3"/>
  <c r="AZ582" i="3" s="1"/>
  <c r="BA578" i="3"/>
  <c r="BA576" i="3"/>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87" i="3"/>
  <c r="AZ587" i="3"/>
  <c r="BA583" i="3"/>
  <c r="BA577" i="3"/>
  <c r="BA575" i="3"/>
  <c r="BA573" i="3"/>
  <c r="BA571" i="3"/>
  <c r="AZ571" i="3" s="1"/>
  <c r="BA569" i="3"/>
  <c r="BA567" i="3"/>
  <c r="BA565" i="3"/>
  <c r="BA563" i="3"/>
  <c r="BA561" i="3"/>
  <c r="BA559" i="3"/>
  <c r="BA555" i="3"/>
  <c r="AZ555" i="3" s="1"/>
  <c r="BA553" i="3"/>
  <c r="BA549" i="3"/>
  <c r="BA547" i="3"/>
  <c r="BA545" i="3"/>
  <c r="AZ545" i="3" s="1"/>
  <c r="BA543" i="3"/>
  <c r="BA541" i="3"/>
  <c r="BA539" i="3"/>
  <c r="BA537" i="3"/>
  <c r="AZ537" i="3" s="1"/>
  <c r="BA535" i="3"/>
  <c r="BA533" i="3"/>
  <c r="BA531" i="3"/>
  <c r="BA529" i="3"/>
  <c r="AZ529" i="3" s="1"/>
  <c r="BA527" i="3"/>
  <c r="BA499"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Q577" i="3"/>
  <c r="BL577" i="3" s="1"/>
  <c r="AZ577" i="3" s="1"/>
  <c r="BQ575" i="3"/>
  <c r="BL575" i="3"/>
  <c r="BQ573" i="3"/>
  <c r="BL573" i="3" s="1"/>
  <c r="AZ573" i="3"/>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c r="BQ535" i="3"/>
  <c r="BL535" i="3" s="1"/>
  <c r="AZ535" i="3"/>
  <c r="BQ533" i="3"/>
  <c r="BL533" i="3"/>
  <c r="AZ533" i="3" s="1"/>
  <c r="BQ531" i="3"/>
  <c r="BL531" i="3" s="1"/>
  <c r="AZ531" i="3" s="1"/>
  <c r="BQ529" i="3"/>
  <c r="BL529" i="3"/>
  <c r="BQ527" i="3"/>
  <c r="BL527" i="3" s="1"/>
  <c r="AZ527" i="3" s="1"/>
  <c r="BQ525" i="3"/>
  <c r="BQ523" i="3"/>
  <c r="AC521" i="3"/>
  <c r="G521" i="3"/>
  <c r="BQ521" i="3"/>
  <c r="G519" i="3"/>
  <c r="G517" i="3"/>
  <c r="G513" i="3"/>
  <c r="G511" i="3"/>
  <c r="BQ519" i="3"/>
  <c r="BQ517" i="3"/>
  <c r="BQ515" i="3"/>
  <c r="BQ513" i="3"/>
  <c r="BQ511" i="3"/>
  <c r="AC509" i="3"/>
  <c r="BQ509" i="3"/>
  <c r="G507" i="3"/>
  <c r="G505" i="3"/>
  <c r="G499" i="3"/>
  <c r="G497" i="3"/>
  <c r="BQ507" i="3"/>
  <c r="BQ505" i="3"/>
  <c r="BL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J25" i="21"/>
  <c r="AC25" i="21" s="1"/>
  <c r="E125" i="33"/>
  <c r="F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B28" i="37"/>
  <c r="U39" i="37"/>
  <c r="AA13" i="33"/>
  <c r="AC45" i="33"/>
  <c r="U11" i="33"/>
  <c r="U19" i="21"/>
  <c r="W44" i="21"/>
  <c r="U26" i="21"/>
  <c r="AC46"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C7" i="37"/>
  <c r="C7" i="34"/>
  <c r="C7" i="36"/>
  <c r="W35" i="40"/>
  <c r="A118" i="9"/>
  <c r="A4" i="52"/>
  <c r="B41" i="72" s="1"/>
  <c r="J11" i="39"/>
  <c r="W11" i="39"/>
  <c r="F11" i="39"/>
  <c r="S11" i="39" s="1"/>
  <c r="AA11" i="39"/>
  <c r="G4" i="4"/>
  <c r="I4" i="4"/>
  <c r="A2" i="9"/>
  <c r="F61" i="43"/>
  <c r="H64" i="43" s="1"/>
  <c r="AZ20" i="3"/>
  <c r="AZ24" i="3"/>
  <c r="AZ28" i="3"/>
  <c r="BL549"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G169" i="3"/>
  <c r="BA171" i="3"/>
  <c r="AZ171" i="3" s="1"/>
  <c r="BL172" i="3"/>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AZ192" i="3" s="1"/>
  <c r="G193" i="3"/>
  <c r="BA195" i="3"/>
  <c r="AZ195" i="3"/>
  <c r="BL196" i="3"/>
  <c r="AZ196" i="3"/>
  <c r="G197" i="3"/>
  <c r="BA199" i="3"/>
  <c r="AZ199" i="3" s="1"/>
  <c r="BL200" i="3"/>
  <c r="G201" i="3"/>
  <c r="BA203" i="3"/>
  <c r="AZ203" i="3" s="1"/>
  <c r="BL204" i="3"/>
  <c r="AZ204" i="3" s="1"/>
  <c r="AZ39" i="3"/>
  <c r="AZ43" i="3"/>
  <c r="AZ51" i="3"/>
  <c r="AZ59" i="3"/>
  <c r="AZ67" i="3"/>
  <c r="AZ71" i="3"/>
  <c r="AZ83" i="3"/>
  <c r="AZ136" i="3"/>
  <c r="AZ144" i="3"/>
  <c r="AZ168" i="3"/>
  <c r="AZ176" i="3"/>
  <c r="AZ200" i="3"/>
  <c r="AZ85" i="3"/>
  <c r="AZ97" i="3"/>
  <c r="AZ101" i="3"/>
  <c r="AZ109" i="3"/>
  <c r="AZ128" i="3"/>
  <c r="G534" i="3"/>
  <c r="G530" i="3"/>
  <c r="G512" i="3"/>
  <c r="G506" i="3"/>
  <c r="G498" i="3"/>
  <c r="G16" i="3"/>
  <c r="G15" i="3"/>
  <c r="BA304" i="3"/>
  <c r="AZ304" i="3" s="1"/>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42" i="3"/>
  <c r="AZ154" i="3"/>
  <c r="AZ162" i="3"/>
  <c r="AZ166" i="3"/>
  <c r="AZ174" i="3"/>
  <c r="AZ182" i="3"/>
  <c r="AZ186"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45" i="3"/>
  <c r="AZ253" i="3"/>
  <c r="AZ257" i="3"/>
  <c r="AZ265" i="3"/>
  <c r="AZ273" i="3"/>
  <c r="BA379" i="3"/>
  <c r="AZ379" i="3" s="1"/>
  <c r="BL380" i="3"/>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AZ309" i="3"/>
  <c r="AZ317" i="3"/>
  <c r="AZ325" i="3"/>
  <c r="AZ333" i="3"/>
  <c r="AZ341" i="3"/>
  <c r="AZ549" i="3"/>
  <c r="G548" i="3"/>
  <c r="G538" i="3"/>
  <c r="G520" i="3"/>
  <c r="BN5" i="3"/>
  <c r="G17" i="3"/>
  <c r="BA17" i="3"/>
  <c r="AZ356" i="3"/>
  <c r="AZ364" i="3"/>
  <c r="AZ368" i="3"/>
  <c r="BA15" i="3"/>
  <c r="AZ15" i="3" s="1"/>
  <c r="AZ380" i="3"/>
  <c r="AZ392" i="3"/>
  <c r="AZ396" i="3"/>
  <c r="AZ491" i="3"/>
  <c r="AZ376" i="3"/>
  <c r="U36" i="40"/>
  <c r="F83" i="43"/>
  <c r="H85" i="43" s="1"/>
  <c r="F50" i="43"/>
  <c r="H54" i="43" s="1"/>
  <c r="F72" i="43"/>
  <c r="H75" i="43" s="1"/>
  <c r="U17" i="39"/>
  <c r="S14" i="35"/>
  <c r="U35" i="21"/>
  <c r="AC35" i="21"/>
  <c r="G10" i="1"/>
  <c r="AC11" i="39"/>
  <c r="AZ563" i="3"/>
  <c r="W37" i="37"/>
  <c r="W44" i="34"/>
  <c r="AC44" i="34"/>
  <c r="S15" i="37"/>
  <c r="U12" i="40"/>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S20" i="35" s="1"/>
  <c r="AB29" i="36"/>
  <c r="U29" i="36"/>
  <c r="H32" i="37"/>
  <c r="AB32" i="37"/>
  <c r="F96" i="37"/>
  <c r="H27" i="40"/>
  <c r="AB27" i="40" s="1"/>
  <c r="J27" i="40"/>
  <c r="AC27" i="40" s="1"/>
  <c r="F27" i="40"/>
  <c r="AA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32" i="3"/>
  <c r="AZ235" i="3"/>
  <c r="AZ240" i="3"/>
  <c r="AZ243" i="3"/>
  <c r="AZ248" i="3"/>
  <c r="AZ259" i="3"/>
  <c r="AZ268" i="3"/>
  <c r="AZ271" i="3"/>
  <c r="AZ280" i="3"/>
  <c r="AZ288" i="3"/>
  <c r="AZ296" i="3"/>
  <c r="AZ114" i="3"/>
  <c r="AZ117" i="3"/>
  <c r="AZ130" i="3"/>
  <c r="AZ21" i="3"/>
  <c r="AZ31" i="3"/>
  <c r="AZ33" i="3"/>
  <c r="AZ61" i="3"/>
  <c r="AZ66" i="3"/>
  <c r="AZ69"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213" i="3"/>
  <c r="AZ234" i="3"/>
  <c r="AZ238" i="3"/>
  <c r="AZ250" i="3"/>
  <c r="AZ254" i="3"/>
  <c r="AZ281" i="3"/>
  <c r="AZ286" i="3"/>
  <c r="AZ297" i="3"/>
  <c r="AZ149" i="3"/>
  <c r="AZ157" i="3"/>
  <c r="AZ173" i="3"/>
  <c r="AZ181" i="3"/>
  <c r="AZ189" i="3"/>
  <c r="AZ197" i="3"/>
  <c r="AZ19" i="3"/>
  <c r="AZ26" i="3"/>
  <c r="AZ35" i="3"/>
  <c r="AZ41" i="3"/>
  <c r="B12" i="1"/>
  <c r="E12" i="1" s="1"/>
  <c r="B10" i="1"/>
  <c r="E10" i="1" s="1"/>
  <c r="AZ80" i="3"/>
  <c r="AZ84" i="3"/>
  <c r="AZ88" i="3"/>
  <c r="K12" i="1"/>
  <c r="M12" i="1" s="1"/>
  <c r="S13" i="1"/>
  <c r="AR13" i="1" s="1"/>
  <c r="R13" i="1"/>
  <c r="J51" i="67"/>
  <c r="C42" i="1"/>
  <c r="AC34" i="33"/>
  <c r="AA34" i="33"/>
  <c r="B41" i="1"/>
  <c r="F48" i="9" s="1"/>
  <c r="O52" i="9" s="1"/>
  <c r="AB37" i="40"/>
  <c r="S35" i="40"/>
  <c r="U35" i="40"/>
  <c r="AC36" i="40"/>
  <c r="AA32" i="40"/>
  <c r="S17" i="40"/>
  <c r="S23" i="40"/>
  <c r="AC17" i="40"/>
  <c r="AC15" i="40"/>
  <c r="S30" i="40"/>
  <c r="S28"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AC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F85" i="21" s="1"/>
  <c r="G85" i="21" s="1"/>
  <c r="AA14" i="21"/>
  <c r="D120" i="9"/>
  <c r="D121" i="9" s="1"/>
  <c r="D7" i="52" s="1"/>
  <c r="C18" i="9"/>
  <c r="D18" i="9" s="1"/>
  <c r="G13" i="3"/>
  <c r="BL17" i="3"/>
  <c r="AZ17" i="3" s="1"/>
  <c r="J56" i="9"/>
  <c r="J57" i="9" s="1"/>
  <c r="J59" i="9" s="1"/>
  <c r="J61" i="9" s="1"/>
  <c r="U29" i="34"/>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S31" i="40"/>
  <c r="AB13" i="40"/>
  <c r="U15" i="40"/>
  <c r="AB17" i="40"/>
  <c r="U8" i="40"/>
  <c r="S8" i="40"/>
  <c r="AA39" i="39"/>
  <c r="AC41" i="39"/>
  <c r="U42" i="39"/>
  <c r="U41" i="39"/>
  <c r="W25" i="39"/>
  <c r="AC25" i="39"/>
  <c r="U13" i="39"/>
  <c r="AB13" i="39"/>
  <c r="AA13" i="39"/>
  <c r="S13"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I101" i="21"/>
  <c r="J101" i="2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25" i="21"/>
  <c r="AA29"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S36" i="33"/>
  <c r="U27" i="33"/>
  <c r="AB27" i="33"/>
  <c r="J27" i="33"/>
  <c r="AC27" i="33" s="1"/>
  <c r="U25" i="33"/>
  <c r="AB25" i="33"/>
  <c r="AA25" i="33"/>
  <c r="J25" i="33"/>
  <c r="W25" i="33" s="1"/>
  <c r="AB23" i="33"/>
  <c r="U23" i="33"/>
  <c r="F23" i="33"/>
  <c r="G85" i="33"/>
  <c r="AC23" i="33"/>
  <c r="W23" i="33"/>
  <c r="AA19" i="33"/>
  <c r="H19" i="33"/>
  <c r="AB19" i="33" s="1"/>
  <c r="G79" i="33"/>
  <c r="H17" i="33"/>
  <c r="F17" i="33"/>
  <c r="S17" i="33" s="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AA23" i="33"/>
  <c r="S23" i="33"/>
  <c r="U17" i="33"/>
  <c r="AB17" i="33"/>
  <c r="U23" i="21"/>
  <c r="AB23" i="21"/>
  <c r="AC23" i="21"/>
  <c r="H112" i="9"/>
  <c r="D21" i="53" s="1"/>
  <c r="B39" i="72" s="1"/>
  <c r="H111" i="9"/>
  <c r="D126" i="9" s="1"/>
  <c r="AD3" i="71"/>
  <c r="J1" i="7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F7" i="15"/>
  <c r="F43" i="15"/>
  <c r="E9" i="76"/>
  <c r="B9" i="76"/>
  <c r="E11" i="76"/>
  <c r="B11" i="76"/>
  <c r="E2" i="69"/>
  <c r="F43" i="67"/>
  <c r="F6" i="67"/>
  <c r="F26" i="67"/>
  <c r="F5" i="73"/>
  <c r="B8" i="76"/>
  <c r="E2" i="68"/>
  <c r="M8" i="67"/>
  <c r="M26" i="67"/>
  <c r="E8" i="76"/>
  <c r="E7" i="76"/>
  <c r="E13" i="76"/>
  <c r="F9" i="67"/>
  <c r="F9" i="15"/>
  <c r="F7" i="73"/>
  <c r="F20" i="31"/>
  <c r="D7" i="73"/>
  <c r="D5" i="73"/>
  <c r="B7" i="76"/>
  <c r="D4" i="73"/>
  <c r="F8" i="67"/>
  <c r="F37" i="15"/>
  <c r="M6" i="67"/>
  <c r="M28" i="15"/>
  <c r="E10" i="76"/>
  <c r="F3" i="73"/>
  <c r="F4" i="73"/>
  <c r="AO13" i="1"/>
  <c r="L47" i="67"/>
  <c r="F42" i="67"/>
  <c r="D6" i="73"/>
  <c r="J15" i="67"/>
  <c r="L47" i="15"/>
  <c r="F8" i="15"/>
  <c r="M28" i="67"/>
  <c r="F37" i="67"/>
  <c r="B10" i="76"/>
  <c r="L48" i="15"/>
  <c r="F7" i="67"/>
  <c r="D3" i="73"/>
  <c r="B12" i="76"/>
  <c r="F6" i="73"/>
  <c r="E12" i="76"/>
  <c r="B13" i="76"/>
  <c r="M23" i="67"/>
  <c r="F26" i="15"/>
  <c r="J42" i="21" l="1"/>
  <c r="F42" i="21"/>
  <c r="AA42" i="21" s="1"/>
  <c r="U43" i="21"/>
  <c r="AA43" i="21"/>
  <c r="W43" i="21"/>
  <c r="AB42" i="21"/>
  <c r="S37" i="21"/>
  <c r="J12" i="21"/>
  <c r="AC12" i="21" s="1"/>
  <c r="F12" i="21"/>
  <c r="S12" i="21" s="1"/>
  <c r="U12" i="21"/>
  <c r="M20" i="67"/>
  <c r="F34" i="15"/>
  <c r="F62" i="15" s="1"/>
  <c r="F34" i="67"/>
  <c r="F62" i="67" s="1"/>
  <c r="D68" i="9"/>
  <c r="F30" i="69"/>
  <c r="F48" i="69" s="1"/>
  <c r="F31" i="12"/>
  <c r="C31" i="12" s="1"/>
  <c r="F28" i="15"/>
  <c r="C28" i="15" s="1"/>
  <c r="F32" i="67"/>
  <c r="F60" i="67" s="1"/>
  <c r="F28" i="67"/>
  <c r="C28" i="67" s="1"/>
  <c r="M18" i="15"/>
  <c r="M18" i="67"/>
  <c r="F30" i="11"/>
  <c r="C48" i="11" s="1"/>
  <c r="F54" i="9"/>
  <c r="F32" i="15"/>
  <c r="F60" i="15" s="1"/>
  <c r="F52" i="9"/>
  <c r="F30" i="68"/>
  <c r="F48" i="68" s="1"/>
  <c r="C40" i="69"/>
  <c r="C40" i="68"/>
  <c r="C21" i="68"/>
  <c r="G22" i="11"/>
  <c r="E1" i="73"/>
  <c r="G22" i="68"/>
  <c r="H109" i="9"/>
  <c r="B19" i="53"/>
  <c r="B37" i="72" s="1"/>
  <c r="B16" i="53"/>
  <c r="B33" i="72" s="1"/>
  <c r="C24" i="12"/>
  <c r="H50" i="43"/>
  <c r="H69" i="43"/>
  <c r="H67" i="43"/>
  <c r="C20" i="71"/>
  <c r="D21" i="71"/>
  <c r="AZ517" i="3"/>
  <c r="AZ578" i="3"/>
  <c r="AA26" i="33"/>
  <c r="S26" i="33"/>
  <c r="BA581" i="3"/>
  <c r="AZ581" i="3" s="1"/>
  <c r="BA580" i="3"/>
  <c r="AZ580" i="3" s="1"/>
  <c r="BA523" i="3"/>
  <c r="AZ523" i="3" s="1"/>
  <c r="AZ522" i="3"/>
  <c r="BA521" i="3"/>
  <c r="AZ521" i="3" s="1"/>
  <c r="BL519" i="3"/>
  <c r="BA513" i="3"/>
  <c r="AZ513" i="3" s="1"/>
  <c r="BL512" i="3"/>
  <c r="BL511" i="3"/>
  <c r="BA511" i="3"/>
  <c r="AZ511" i="3" s="1"/>
  <c r="BL510" i="3"/>
  <c r="BA510" i="3"/>
  <c r="AZ510" i="3" s="1"/>
  <c r="BL509" i="3"/>
  <c r="BA509" i="3"/>
  <c r="AZ509" i="3" s="1"/>
  <c r="BL508" i="3"/>
  <c r="AZ508" i="3" s="1"/>
  <c r="BL501" i="3"/>
  <c r="BA501" i="3"/>
  <c r="BT5" i="3"/>
  <c r="BA497" i="3"/>
  <c r="AZ497" i="3" s="1"/>
  <c r="BL496" i="3"/>
  <c r="BA496" i="3"/>
  <c r="BA495" i="3"/>
  <c r="AZ495" i="3" s="1"/>
  <c r="U19" i="33"/>
  <c r="AC25" i="33"/>
  <c r="D6" i="52"/>
  <c r="AC35" i="33"/>
  <c r="W17" i="21"/>
  <c r="AC15" i="21"/>
  <c r="AA30" i="34"/>
  <c r="U32" i="36"/>
  <c r="S23" i="39"/>
  <c r="W27" i="40"/>
  <c r="W17" i="37"/>
  <c r="AA19" i="40"/>
  <c r="S27" i="40"/>
  <c r="U27" i="40"/>
  <c r="AA20" i="35"/>
  <c r="BB5" i="3"/>
  <c r="E10" i="6" s="1"/>
  <c r="AZ321" i="3"/>
  <c r="AB13" i="34"/>
  <c r="AZ567" i="3"/>
  <c r="AZ575" i="3"/>
  <c r="AA44" i="33"/>
  <c r="AB13" i="37"/>
  <c r="U13" i="37"/>
  <c r="S13" i="35"/>
  <c r="AA13" i="35"/>
  <c r="AB31" i="34"/>
  <c r="U31" i="34"/>
  <c r="AB33" i="37"/>
  <c r="U33" i="37"/>
  <c r="W11" i="40"/>
  <c r="AC11" i="40"/>
  <c r="S41" i="39"/>
  <c r="AA41" i="39"/>
  <c r="J26" i="33"/>
  <c r="H26" i="33"/>
  <c r="BA519" i="3"/>
  <c r="BL514" i="3"/>
  <c r="AZ514" i="3" s="1"/>
  <c r="AZ512" i="3"/>
  <c r="BA502" i="3"/>
  <c r="AZ502" i="3" s="1"/>
  <c r="BL498" i="3"/>
  <c r="BP5" i="3"/>
  <c r="G29" i="6" s="1"/>
  <c r="BA498" i="3"/>
  <c r="AZ498" i="3" s="1"/>
  <c r="BI5" i="3"/>
  <c r="BE5" i="3"/>
  <c r="E14" i="6" s="1"/>
  <c r="BA494" i="3"/>
  <c r="AZ494" i="3" s="1"/>
  <c r="BH5" i="3"/>
  <c r="S32" i="37"/>
  <c r="U21" i="40"/>
  <c r="AZ135" i="3"/>
  <c r="AZ343" i="3"/>
  <c r="AB43" i="33"/>
  <c r="U43" i="33"/>
  <c r="W36" i="34"/>
  <c r="AC36" i="34"/>
  <c r="AB33" i="35"/>
  <c r="U33" i="35"/>
  <c r="S36" i="39"/>
  <c r="AA36" i="39"/>
  <c r="BA586" i="3"/>
  <c r="AZ586" i="3" s="1"/>
  <c r="J28" i="21"/>
  <c r="H28" i="21"/>
  <c r="H31" i="21"/>
  <c r="J31" i="21"/>
  <c r="AA17" i="33"/>
  <c r="S41" i="34"/>
  <c r="AA41" i="34"/>
  <c r="BL579" i="3"/>
  <c r="AZ579" i="3" s="1"/>
  <c r="BA525" i="3"/>
  <c r="AZ525" i="3" s="1"/>
  <c r="BL516" i="3"/>
  <c r="BA516" i="3"/>
  <c r="AZ516" i="3" s="1"/>
  <c r="BQ5" i="3"/>
  <c r="F28" i="6" s="1"/>
  <c r="BA500" i="3"/>
  <c r="AZ500" i="3" s="1"/>
  <c r="BL493" i="3"/>
  <c r="BM5" i="3"/>
  <c r="AC17" i="33"/>
  <c r="W32" i="33"/>
  <c r="U21" i="39"/>
  <c r="U11" i="40"/>
  <c r="D19" i="53"/>
  <c r="B38" i="72" s="1"/>
  <c r="D16" i="53"/>
  <c r="B34" i="72" s="1"/>
  <c r="AB15" i="21"/>
  <c r="W30" i="40"/>
  <c r="AB20" i="35"/>
  <c r="AA22" i="36"/>
  <c r="U12" i="39"/>
  <c r="AC5" i="3"/>
  <c r="BO5" i="3"/>
  <c r="H5" i="3"/>
  <c r="AZ576" i="3"/>
  <c r="AC14" i="37"/>
  <c r="W14" i="37"/>
  <c r="W31" i="33"/>
  <c r="AC31" i="33"/>
  <c r="S12" i="35"/>
  <c r="AA12" i="35"/>
  <c r="AA11" i="36"/>
  <c r="S11" i="36"/>
  <c r="BA520" i="3"/>
  <c r="AZ520" i="3" s="1"/>
  <c r="BL515" i="3"/>
  <c r="BA515" i="3"/>
  <c r="AZ515" i="3" s="1"/>
  <c r="BL506" i="3"/>
  <c r="BA506" i="3"/>
  <c r="AZ506" i="3" s="1"/>
  <c r="BA505" i="3"/>
  <c r="AZ505" i="3" s="1"/>
  <c r="BL504" i="3"/>
  <c r="BA504" i="3"/>
  <c r="BL503" i="3"/>
  <c r="BA503" i="3"/>
  <c r="BR5" i="3"/>
  <c r="BA493" i="3"/>
  <c r="AZ493" i="3" s="1"/>
  <c r="BD5" i="3"/>
  <c r="W47" i="34"/>
  <c r="S25" i="21"/>
  <c r="S45" i="33"/>
  <c r="U46" i="33"/>
  <c r="AB14" i="40"/>
  <c r="AC44" i="33"/>
  <c r="S12" i="34"/>
  <c r="AA12" i="34"/>
  <c r="J12" i="33"/>
  <c r="H12" i="33"/>
  <c r="J12" i="36"/>
  <c r="H12" i="36"/>
  <c r="F12" i="36"/>
  <c r="F38" i="40"/>
  <c r="J38" i="40"/>
  <c r="H38" i="40"/>
  <c r="U31" i="35"/>
  <c r="AB31" i="35"/>
  <c r="H25" i="37"/>
  <c r="F25" i="37"/>
  <c r="J25" i="37"/>
  <c r="S40" i="33"/>
  <c r="AA40" i="33"/>
  <c r="BA550" i="3"/>
  <c r="AZ550" i="3" s="1"/>
  <c r="S39" i="37"/>
  <c r="AA39" i="37"/>
  <c r="H23" i="35"/>
  <c r="J23" i="35"/>
  <c r="W31" i="37"/>
  <c r="AC31" i="37"/>
  <c r="U14" i="37"/>
  <c r="AB14" i="37"/>
  <c r="J36" i="39"/>
  <c r="J9" i="34"/>
  <c r="AC22" i="35"/>
  <c r="AB9" i="36"/>
  <c r="U9" i="36"/>
  <c r="W31" i="40"/>
  <c r="AC31" i="40"/>
  <c r="H39" i="40"/>
  <c r="J39" i="40"/>
  <c r="G556" i="3"/>
  <c r="BA551" i="3"/>
  <c r="AZ551" i="3" s="1"/>
  <c r="AZ416" i="3"/>
  <c r="AZ427" i="3"/>
  <c r="AZ430" i="3"/>
  <c r="AZ447" i="3"/>
  <c r="AZ454" i="3"/>
  <c r="AZ460" i="3"/>
  <c r="AZ398" i="3"/>
  <c r="AZ406" i="3"/>
  <c r="AZ422" i="3"/>
  <c r="AZ423" i="3"/>
  <c r="AZ434" i="3"/>
  <c r="AZ436" i="3"/>
  <c r="AZ458" i="3"/>
  <c r="AZ470" i="3"/>
  <c r="W34" i="35"/>
  <c r="BL585" i="3"/>
  <c r="AZ585" i="3" s="1"/>
  <c r="H24" i="36"/>
  <c r="H26" i="37"/>
  <c r="J26" i="37"/>
  <c r="F26" i="37"/>
  <c r="H44" i="39"/>
  <c r="J44" i="39"/>
  <c r="F44" i="39"/>
  <c r="G570" i="3"/>
  <c r="AZ399" i="3"/>
  <c r="AZ400" i="3"/>
  <c r="AZ402" i="3"/>
  <c r="AZ439" i="3"/>
  <c r="AZ442" i="3"/>
  <c r="AZ444" i="3"/>
  <c r="AZ461" i="3"/>
  <c r="AZ471" i="3"/>
  <c r="G452" i="3"/>
  <c r="G456" i="3"/>
  <c r="BL461" i="3"/>
  <c r="G462" i="3"/>
  <c r="BA472" i="3"/>
  <c r="BL474" i="3"/>
  <c r="AZ474" i="3" s="1"/>
  <c r="BL475" i="3"/>
  <c r="AZ477" i="3"/>
  <c r="G481" i="3"/>
  <c r="AZ483" i="3"/>
  <c r="AZ486" i="3"/>
  <c r="BA488" i="3"/>
  <c r="AZ488" i="3" s="1"/>
  <c r="BL332" i="3"/>
  <c r="G351" i="3"/>
  <c r="BA395" i="3"/>
  <c r="AZ395" i="3" s="1"/>
  <c r="AZ397" i="3"/>
  <c r="G212" i="3"/>
  <c r="G217" i="3"/>
  <c r="G220" i="3"/>
  <c r="BA222" i="3"/>
  <c r="AZ222" i="3" s="1"/>
  <c r="BA224" i="3"/>
  <c r="AZ224" i="3" s="1"/>
  <c r="G228" i="3"/>
  <c r="G231" i="3"/>
  <c r="BA237" i="3"/>
  <c r="AZ237" i="3" s="1"/>
  <c r="AZ239" i="3"/>
  <c r="AZ258" i="3"/>
  <c r="BL261" i="3"/>
  <c r="AZ261" i="3" s="1"/>
  <c r="BA267" i="3"/>
  <c r="AZ267" i="3" s="1"/>
  <c r="BA269" i="3"/>
  <c r="AZ269" i="3" s="1"/>
  <c r="BA272" i="3"/>
  <c r="AZ272" i="3" s="1"/>
  <c r="AZ274" i="3"/>
  <c r="AZ276" i="3"/>
  <c r="AZ282" i="3"/>
  <c r="AZ284" i="3"/>
  <c r="AZ118" i="3"/>
  <c r="AZ125" i="3"/>
  <c r="AZ129" i="3"/>
  <c r="BL450" i="3"/>
  <c r="BA455" i="3"/>
  <c r="AZ455" i="3" s="1"/>
  <c r="BL468" i="3"/>
  <c r="AZ468" i="3" s="1"/>
  <c r="AZ487" i="3"/>
  <c r="AZ264" i="3"/>
  <c r="AZ277" i="3"/>
  <c r="AZ285" i="3"/>
  <c r="BA450" i="3"/>
  <c r="AZ450" i="3" s="1"/>
  <c r="BL454" i="3"/>
  <c r="G459" i="3"/>
  <c r="G463" i="3"/>
  <c r="G466" i="3"/>
  <c r="BL471" i="3"/>
  <c r="BL472" i="3"/>
  <c r="G473" i="3"/>
  <c r="AZ475" i="3"/>
  <c r="AZ478" i="3"/>
  <c r="BA480" i="3"/>
  <c r="AZ480" i="3" s="1"/>
  <c r="BL483" i="3"/>
  <c r="G489" i="3"/>
  <c r="BL316" i="3"/>
  <c r="AZ316" i="3" s="1"/>
  <c r="AZ332" i="3"/>
  <c r="BL346" i="3"/>
  <c r="AZ346" i="3" s="1"/>
  <c r="BA350" i="3"/>
  <c r="AZ350" i="3" s="1"/>
  <c r="BA367" i="3"/>
  <c r="AZ367" i="3" s="1"/>
  <c r="G396" i="3"/>
  <c r="BL397" i="3"/>
  <c r="BA211" i="3"/>
  <c r="AZ211" i="3" s="1"/>
  <c r="BA216" i="3"/>
  <c r="AZ216" i="3" s="1"/>
  <c r="BA219" i="3"/>
  <c r="AZ219" i="3" s="1"/>
  <c r="G223" i="3"/>
  <c r="G225" i="3"/>
  <c r="BA227" i="3"/>
  <c r="AZ227" i="3" s="1"/>
  <c r="BA230" i="3"/>
  <c r="AZ230" i="3" s="1"/>
  <c r="G238" i="3"/>
  <c r="BL239" i="3"/>
  <c r="BL241" i="3"/>
  <c r="AZ241" i="3" s="1"/>
  <c r="BL247" i="3"/>
  <c r="AZ247" i="3" s="1"/>
  <c r="BL249" i="3"/>
  <c r="AZ249" i="3" s="1"/>
  <c r="BL251" i="3"/>
  <c r="AZ251" i="3" s="1"/>
  <c r="BL256" i="3"/>
  <c r="AZ256" i="3" s="1"/>
  <c r="G268" i="3"/>
  <c r="G270" i="3"/>
  <c r="G273" i="3"/>
  <c r="AZ292" i="3"/>
  <c r="AZ300" i="3"/>
  <c r="AZ23" i="3"/>
  <c r="BA138" i="3"/>
  <c r="AZ138" i="3" s="1"/>
  <c r="BL150" i="3"/>
  <c r="AZ150" i="3" s="1"/>
  <c r="BA152" i="3"/>
  <c r="AZ152" i="3" s="1"/>
  <c r="BL185" i="3"/>
  <c r="AZ185" i="3" s="1"/>
  <c r="BA190" i="3"/>
  <c r="AZ190" i="3" s="1"/>
  <c r="BA193" i="3"/>
  <c r="AZ193" i="3" s="1"/>
  <c r="AZ38" i="3"/>
  <c r="BL133" i="3"/>
  <c r="AZ133" i="3" s="1"/>
  <c r="BA137" i="3"/>
  <c r="AZ137" i="3" s="1"/>
  <c r="BL153" i="3"/>
  <c r="AZ153" i="3" s="1"/>
  <c r="BA158" i="3"/>
  <c r="AZ158" i="3" s="1"/>
  <c r="BA161" i="3"/>
  <c r="AZ161" i="3" s="1"/>
  <c r="BL165" i="3"/>
  <c r="AZ165" i="3" s="1"/>
  <c r="BL170" i="3"/>
  <c r="AZ170" i="3" s="1"/>
  <c r="BA172" i="3"/>
  <c r="AZ172" i="3" s="1"/>
  <c r="BA178" i="3"/>
  <c r="AZ178" i="3" s="1"/>
  <c r="AZ205" i="3"/>
  <c r="AZ207" i="3"/>
  <c r="BL23" i="3"/>
  <c r="AZ44" i="3"/>
  <c r="BL135" i="3"/>
  <c r="BA146" i="3"/>
  <c r="AZ146" i="3" s="1"/>
  <c r="BL29" i="3"/>
  <c r="AZ29" i="3" s="1"/>
  <c r="G38" i="3"/>
  <c r="G5" i="3" s="1"/>
  <c r="B3" i="3" s="1"/>
  <c r="BA40" i="3"/>
  <c r="AZ40" i="3" s="1"/>
  <c r="BL42" i="3"/>
  <c r="BA45" i="3"/>
  <c r="AZ45" i="3" s="1"/>
  <c r="BA47" i="3"/>
  <c r="AZ47" i="3" s="1"/>
  <c r="AZ49" i="3"/>
  <c r="BL50" i="3"/>
  <c r="AZ54" i="3"/>
  <c r="BL55" i="3"/>
  <c r="G59" i="3"/>
  <c r="BL60" i="3"/>
  <c r="AZ60" i="3" s="1"/>
  <c r="G64" i="3"/>
  <c r="BL75" i="3"/>
  <c r="AZ75" i="3" s="1"/>
  <c r="BL76" i="3"/>
  <c r="BL89" i="3"/>
  <c r="AZ89" i="3" s="1"/>
  <c r="BL90" i="3"/>
  <c r="G94" i="3"/>
  <c r="BL95" i="3"/>
  <c r="BL96" i="3"/>
  <c r="BA99" i="3"/>
  <c r="AZ99" i="3" s="1"/>
  <c r="BA102" i="3"/>
  <c r="AZ102" i="3" s="1"/>
  <c r="AZ104" i="3"/>
  <c r="BA105" i="3"/>
  <c r="AZ105" i="3" s="1"/>
  <c r="BA107" i="3"/>
  <c r="AZ107" i="3" s="1"/>
  <c r="BA110" i="3"/>
  <c r="AZ110" i="3" s="1"/>
  <c r="BL27" i="3"/>
  <c r="AZ27" i="3" s="1"/>
  <c r="BA32" i="3"/>
  <c r="AZ32" i="3" s="1"/>
  <c r="BA37" i="3"/>
  <c r="AZ37" i="3" s="1"/>
  <c r="BA42" i="3"/>
  <c r="BL44" i="3"/>
  <c r="BA48" i="3"/>
  <c r="AZ48" i="3" s="1"/>
  <c r="BA50" i="3"/>
  <c r="AZ50" i="3" s="1"/>
  <c r="BA53" i="3"/>
  <c r="AZ53" i="3" s="1"/>
  <c r="BA55" i="3"/>
  <c r="AZ55" i="3" s="1"/>
  <c r="BL58" i="3"/>
  <c r="AZ58" i="3" s="1"/>
  <c r="BL63" i="3"/>
  <c r="AZ63" i="3" s="1"/>
  <c r="G67" i="3"/>
  <c r="BL68" i="3"/>
  <c r="G72" i="3"/>
  <c r="BL73" i="3"/>
  <c r="AZ73" i="3" s="1"/>
  <c r="BA76" i="3"/>
  <c r="AZ78" i="3"/>
  <c r="BA79" i="3"/>
  <c r="AZ79" i="3" s="1"/>
  <c r="G82" i="3"/>
  <c r="G84" i="3"/>
  <c r="G86" i="3"/>
  <c r="BL87" i="3"/>
  <c r="AZ87" i="3" s="1"/>
  <c r="BA90" i="3"/>
  <c r="AZ90" i="3" s="1"/>
  <c r="BL93" i="3"/>
  <c r="AZ93" i="3" s="1"/>
  <c r="BA96" i="3"/>
  <c r="AZ96" i="3" s="1"/>
  <c r="AZ98" i="3"/>
  <c r="BA100" i="3"/>
  <c r="AZ100" i="3" s="1"/>
  <c r="BA108" i="3"/>
  <c r="AZ108" i="3" s="1"/>
  <c r="BL111" i="3"/>
  <c r="AZ111" i="3" s="1"/>
  <c r="BL112" i="3"/>
  <c r="AZ112" i="3" s="1"/>
  <c r="W21" i="34"/>
  <c r="AC21" i="34"/>
  <c r="AA35" i="71"/>
  <c r="AA29" i="71"/>
  <c r="AA37" i="71"/>
  <c r="AA32" i="71"/>
  <c r="AA36" i="71"/>
  <c r="AA26" i="71"/>
  <c r="AA34" i="71"/>
  <c r="AA38" i="71"/>
  <c r="E39" i="71"/>
  <c r="E40" i="71" s="1"/>
  <c r="U40" i="71" s="1"/>
  <c r="AA3" i="71"/>
  <c r="AA28" i="71"/>
  <c r="S68" i="71"/>
  <c r="B67" i="71"/>
  <c r="N68" i="71"/>
  <c r="F66" i="71"/>
  <c r="Q67" i="71"/>
  <c r="U72" i="71"/>
  <c r="E71" i="71"/>
  <c r="E70" i="71" s="1"/>
  <c r="M56" i="9"/>
  <c r="N56" i="9"/>
  <c r="K56" i="9"/>
  <c r="AA17" i="71"/>
  <c r="AZ95" i="3"/>
  <c r="AC18" i="36"/>
  <c r="W18" i="36"/>
  <c r="AB25" i="40"/>
  <c r="U25" i="40"/>
  <c r="C40" i="71"/>
  <c r="D39" i="71"/>
  <c r="AZ34" i="3"/>
  <c r="AZ46" i="3"/>
  <c r="AZ68" i="3"/>
  <c r="AZ81" i="3"/>
  <c r="AZ103" i="3"/>
  <c r="AZ106" i="3"/>
  <c r="AB21" i="34"/>
  <c r="U21" i="34"/>
  <c r="C26" i="71"/>
  <c r="D26" i="71" s="1"/>
  <c r="D27" i="71"/>
  <c r="B26" i="71"/>
  <c r="D30" i="71"/>
  <c r="C31" i="71"/>
  <c r="Y30" i="71"/>
  <c r="Z30" i="71" s="1"/>
  <c r="Y26" i="71"/>
  <c r="Z26" i="71" s="1"/>
  <c r="Y29" i="71"/>
  <c r="Z29" i="71" s="1"/>
  <c r="U18" i="35"/>
  <c r="AA21" i="71"/>
  <c r="Y35" i="71"/>
  <c r="Z35" i="71" s="1"/>
  <c r="Y34" i="71"/>
  <c r="Z34" i="71" s="1"/>
  <c r="X32" i="71"/>
  <c r="X29" i="71"/>
  <c r="X37" i="71"/>
  <c r="X30" i="71"/>
  <c r="B38" i="71"/>
  <c r="B39" i="71" s="1"/>
  <c r="B40" i="71" s="1"/>
  <c r="S40" i="71" s="1"/>
  <c r="X12" i="71"/>
  <c r="AA11" i="71"/>
  <c r="X14" i="71"/>
  <c r="AB29" i="71"/>
  <c r="F30" i="71"/>
  <c r="F31" i="71" s="1"/>
  <c r="F32" i="71" s="1"/>
  <c r="V32" i="71" s="1"/>
  <c r="AB26" i="71"/>
  <c r="AA30" i="71"/>
  <c r="C59" i="71"/>
  <c r="D58" i="71"/>
  <c r="AB18" i="36"/>
  <c r="U18" i="36"/>
  <c r="T56" i="71"/>
  <c r="D55" i="71"/>
  <c r="T52" i="71"/>
  <c r="D52" i="71"/>
  <c r="Y33" i="71"/>
  <c r="Z33" i="71" s="1"/>
  <c r="C35" i="71"/>
  <c r="D34" i="71"/>
  <c r="X9" i="71"/>
  <c r="X39" i="71"/>
  <c r="X38" i="71"/>
  <c r="X24" i="71"/>
  <c r="X25" i="71"/>
  <c r="AB11" i="71"/>
  <c r="S21" i="21"/>
  <c r="AA27" i="71"/>
  <c r="AB27" i="71"/>
  <c r="T28" i="71"/>
  <c r="Y28" i="71"/>
  <c r="Z28" i="71" s="1"/>
  <c r="F38" i="71"/>
  <c r="F39" i="71" s="1"/>
  <c r="F40" i="71" s="1"/>
  <c r="V40" i="71" s="1"/>
  <c r="Y24" i="71"/>
  <c r="Z24" i="71" s="1"/>
  <c r="AB24" i="71"/>
  <c r="Y21" i="71"/>
  <c r="Z21" i="71" s="1"/>
  <c r="Y22" i="71"/>
  <c r="Z22" i="71" s="1"/>
  <c r="Y23" i="71"/>
  <c r="Z23" i="71" s="1"/>
  <c r="Y18" i="71"/>
  <c r="Z18" i="71" s="1"/>
  <c r="Y14" i="71"/>
  <c r="Z14" i="71" s="1"/>
  <c r="Y11" i="71"/>
  <c r="Z11" i="71" s="1"/>
  <c r="Y13" i="71"/>
  <c r="Z13" i="71" s="1"/>
  <c r="X17" i="71"/>
  <c r="Y25" i="71"/>
  <c r="Z25" i="71" s="1"/>
  <c r="Y27" i="71"/>
  <c r="Z27" i="71" s="1"/>
  <c r="AA31" i="71"/>
  <c r="Y31" i="71"/>
  <c r="Z31" i="71" s="1"/>
  <c r="X33" i="71"/>
  <c r="AA24" i="71"/>
  <c r="E23" i="71"/>
  <c r="E22" i="71" s="1"/>
  <c r="E21" i="71" s="1"/>
  <c r="E20" i="71" s="1"/>
  <c r="V24" i="71"/>
  <c r="X22" i="71"/>
  <c r="AB21" i="71"/>
  <c r="Y17" i="71"/>
  <c r="Z17" i="71" s="1"/>
  <c r="AB17" i="71"/>
  <c r="AA25" i="71"/>
  <c r="S28" i="71"/>
  <c r="X28" i="71"/>
  <c r="AB31" i="71"/>
  <c r="Y32" i="71"/>
  <c r="Z32" i="71" s="1"/>
  <c r="AB30" i="71"/>
  <c r="E34" i="71"/>
  <c r="E35" i="71" s="1"/>
  <c r="E36" i="71" s="1"/>
  <c r="U36" i="71" s="1"/>
  <c r="AA33" i="71"/>
  <c r="X36" i="71"/>
  <c r="E43" i="71"/>
  <c r="E44" i="71" s="1"/>
  <c r="U44" i="71" s="1"/>
  <c r="AA22" i="71"/>
  <c r="AB23" i="71"/>
  <c r="X21" i="71"/>
  <c r="X18" i="71"/>
  <c r="AA18" i="71"/>
  <c r="AB14" i="71"/>
  <c r="AB18" i="71"/>
  <c r="Y12" i="71"/>
  <c r="Z12" i="71" s="1"/>
  <c r="AA10" i="71"/>
  <c r="AA9" i="71"/>
  <c r="AA23" i="71"/>
  <c r="AA15" i="71"/>
  <c r="AB12" i="71"/>
  <c r="AA14" i="71"/>
  <c r="X13" i="71"/>
  <c r="Y10" i="71"/>
  <c r="Z10" i="71" s="1"/>
  <c r="X34" i="71"/>
  <c r="AB10" i="71"/>
  <c r="AB15" i="71"/>
  <c r="AB13" i="71"/>
  <c r="AA12" i="71"/>
  <c r="X10" i="71"/>
  <c r="Y9" i="71"/>
  <c r="Z9" i="71" s="1"/>
  <c r="X15" i="71"/>
  <c r="AB9" i="71"/>
  <c r="AA13" i="71"/>
  <c r="X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K1" i="73"/>
  <c r="B20" i="31"/>
  <c r="B21" i="31" s="1"/>
  <c r="I1" i="73"/>
  <c r="B39" i="1" s="1"/>
  <c r="F51" i="67"/>
  <c r="F65" i="67"/>
  <c r="M7" i="15"/>
  <c r="F50" i="15"/>
  <c r="F51" i="15"/>
  <c r="F71" i="15"/>
  <c r="L59" i="15"/>
  <c r="N59" i="15"/>
  <c r="L58" i="15"/>
  <c r="M59" i="15"/>
  <c r="C27" i="67"/>
  <c r="F71" i="67"/>
  <c r="C27" i="15"/>
  <c r="F65" i="15"/>
  <c r="N59" i="67"/>
  <c r="L59" i="67"/>
  <c r="M59" i="67"/>
  <c r="B13" i="70"/>
  <c r="M7" i="67"/>
  <c r="F50" i="67"/>
  <c r="C36" i="69"/>
  <c r="F36" i="15"/>
  <c r="C76" i="15"/>
  <c r="F40" i="67"/>
  <c r="F38" i="15"/>
  <c r="M24" i="67"/>
  <c r="M22" i="67"/>
  <c r="F16" i="15"/>
  <c r="L48" i="67"/>
  <c r="J15" i="15"/>
  <c r="M29" i="67"/>
  <c r="G1" i="73"/>
  <c r="F16" i="67"/>
  <c r="F42" i="15"/>
  <c r="F6" i="15"/>
  <c r="M9" i="67"/>
  <c r="M9" i="15"/>
  <c r="F36" i="67"/>
  <c r="M26" i="15"/>
  <c r="M23" i="15"/>
  <c r="M22" i="15"/>
  <c r="M6" i="15"/>
  <c r="M29" i="15"/>
  <c r="M24" i="15"/>
  <c r="F13" i="15"/>
  <c r="F40" i="15"/>
  <c r="F13" i="67"/>
  <c r="F38" i="67"/>
  <c r="C76" i="67"/>
  <c r="M8" i="15"/>
  <c r="C36" i="68" l="1"/>
  <c r="S42" i="21"/>
  <c r="AC42" i="21"/>
  <c r="W42" i="21"/>
  <c r="W12" i="21"/>
  <c r="AA12" i="21"/>
  <c r="C30" i="69"/>
  <c r="C48" i="69"/>
  <c r="E26" i="43"/>
  <c r="E15" i="6"/>
  <c r="E64" i="39" s="1"/>
  <c r="E5" i="6"/>
  <c r="G26" i="43"/>
  <c r="E8" i="6"/>
  <c r="F27" i="6" s="1"/>
  <c r="F26" i="43"/>
  <c r="N370" i="46"/>
  <c r="H26" i="43"/>
  <c r="E63" i="39"/>
  <c r="E59" i="40"/>
  <c r="P6" i="1"/>
  <c r="C13" i="12" s="1"/>
  <c r="E11" i="6"/>
  <c r="E60" i="39" s="1"/>
  <c r="F29" i="6"/>
  <c r="F30" i="6" s="1"/>
  <c r="E13" i="6"/>
  <c r="E12" i="6"/>
  <c r="E57" i="40" s="1"/>
  <c r="E29" i="6"/>
  <c r="K15" i="1" s="1"/>
  <c r="N94" i="46"/>
  <c r="D17" i="53"/>
  <c r="B36" i="72" s="1"/>
  <c r="J7" i="37"/>
  <c r="F7" i="36"/>
  <c r="S7" i="36" s="1"/>
  <c r="H7" i="36"/>
  <c r="C6" i="15"/>
  <c r="C32" i="15" s="1"/>
  <c r="F31" i="15"/>
  <c r="Q71" i="67"/>
  <c r="F66" i="67"/>
  <c r="I54" i="67"/>
  <c r="J53" i="67"/>
  <c r="F1" i="67" s="1"/>
  <c r="J57" i="67"/>
  <c r="J55" i="67" s="1"/>
  <c r="J58" i="67" s="1"/>
  <c r="Q50" i="67" s="1"/>
  <c r="L56" i="67"/>
  <c r="L58" i="67"/>
  <c r="Q73" i="67" s="1"/>
  <c r="F66" i="15"/>
  <c r="F64" i="67"/>
  <c r="F68" i="67"/>
  <c r="Q71" i="15"/>
  <c r="F68" i="15"/>
  <c r="F64" i="15"/>
  <c r="E510" i="3"/>
  <c r="E539" i="3"/>
  <c r="E536" i="3"/>
  <c r="E148" i="3"/>
  <c r="E199" i="3"/>
  <c r="E286" i="3"/>
  <c r="E575" i="3"/>
  <c r="E499" i="3"/>
  <c r="R6" i="3"/>
  <c r="E442" i="3"/>
  <c r="E541" i="3"/>
  <c r="E430" i="3"/>
  <c r="E449" i="3"/>
  <c r="E255" i="3"/>
  <c r="I3" i="6"/>
  <c r="AP6" i="3"/>
  <c r="E554" i="3"/>
  <c r="E435" i="3"/>
  <c r="E491" i="3"/>
  <c r="E417" i="3"/>
  <c r="E479" i="3"/>
  <c r="E56" i="3"/>
  <c r="E37" i="3"/>
  <c r="E95" i="3"/>
  <c r="E152" i="3"/>
  <c r="E132" i="3"/>
  <c r="E192" i="3"/>
  <c r="E258" i="3"/>
  <c r="E241" i="3"/>
  <c r="E292" i="3"/>
  <c r="E363" i="3"/>
  <c r="E349" i="3"/>
  <c r="E389" i="3"/>
  <c r="E544" i="3"/>
  <c r="E76" i="3"/>
  <c r="E409" i="3"/>
  <c r="E484" i="3"/>
  <c r="E425" i="3"/>
  <c r="E467" i="3"/>
  <c r="E46" i="3"/>
  <c r="E103" i="3"/>
  <c r="E160" i="3"/>
  <c r="E142" i="3"/>
  <c r="E200" i="3"/>
  <c r="E267" i="3"/>
  <c r="E249" i="3"/>
  <c r="E300" i="3"/>
  <c r="E371" i="3"/>
  <c r="E492" i="3"/>
  <c r="E23" i="3"/>
  <c r="E33" i="3"/>
  <c r="E144" i="3"/>
  <c r="E184" i="3"/>
  <c r="E233" i="3"/>
  <c r="E355" i="3"/>
  <c r="E381" i="3"/>
  <c r="E68" i="3"/>
  <c r="E63" i="3"/>
  <c r="E81" i="3"/>
  <c r="E118" i="3"/>
  <c r="E264" i="3"/>
  <c r="E283" i="3"/>
  <c r="E309" i="3"/>
  <c r="E513" i="3"/>
  <c r="E21" i="3"/>
  <c r="E383" i="3"/>
  <c r="E232" i="3"/>
  <c r="E370" i="3"/>
  <c r="E102" i="3"/>
  <c r="E113" i="3"/>
  <c r="E287" i="3"/>
  <c r="E326" i="3"/>
  <c r="E22" i="3"/>
  <c r="E226" i="3"/>
  <c r="E43" i="3"/>
  <c r="E15" i="3"/>
  <c r="E79" i="3"/>
  <c r="E100" i="3"/>
  <c r="E137" i="3"/>
  <c r="E234" i="3"/>
  <c r="E299" i="3"/>
  <c r="E325" i="3"/>
  <c r="AQ6" i="3"/>
  <c r="E52" i="3"/>
  <c r="E112" i="3"/>
  <c r="E147" i="3"/>
  <c r="E340" i="3"/>
  <c r="E50" i="3"/>
  <c r="E62" i="3"/>
  <c r="E218" i="3"/>
  <c r="E365" i="3"/>
  <c r="E101" i="3"/>
  <c r="E205" i="3"/>
  <c r="E296" i="3"/>
  <c r="E140" i="3"/>
  <c r="E197" i="3"/>
  <c r="E173" i="3"/>
  <c r="E369" i="3"/>
  <c r="E525" i="3"/>
  <c r="E534" i="3"/>
  <c r="T6" i="3"/>
  <c r="E405" i="3"/>
  <c r="E469" i="3"/>
  <c r="E408" i="3"/>
  <c r="E451" i="3"/>
  <c r="E360" i="3"/>
  <c r="E497" i="3"/>
  <c r="E470" i="3"/>
  <c r="E420" i="3"/>
  <c r="E26" i="3"/>
  <c r="E104" i="3"/>
  <c r="E41" i="3"/>
  <c r="E115" i="3"/>
  <c r="E198" i="3"/>
  <c r="E139" i="3"/>
  <c r="E281" i="3"/>
  <c r="E243" i="3"/>
  <c r="E332" i="3"/>
  <c r="E391" i="3"/>
  <c r="E356" i="3"/>
  <c r="AL6" i="3"/>
  <c r="E42" i="3"/>
  <c r="E75" i="3"/>
  <c r="E428" i="3"/>
  <c r="E482" i="3"/>
  <c r="E412" i="3"/>
  <c r="E18" i="3"/>
  <c r="E96" i="3"/>
  <c r="E78" i="3"/>
  <c r="E190" i="3"/>
  <c r="E174" i="3"/>
  <c r="E275" i="3"/>
  <c r="E235" i="3"/>
  <c r="E324" i="3"/>
  <c r="E342" i="3"/>
  <c r="E35" i="3"/>
  <c r="E34" i="3"/>
  <c r="E49" i="3"/>
  <c r="E206" i="3"/>
  <c r="E251" i="3"/>
  <c r="AF6" i="3"/>
  <c r="E80" i="3"/>
  <c r="E158" i="3"/>
  <c r="E308" i="3"/>
  <c r="E83" i="3"/>
  <c r="E329" i="3"/>
  <c r="E16" i="3"/>
  <c r="E188" i="3"/>
  <c r="E116" i="3"/>
  <c r="E105" i="3"/>
  <c r="E393" i="3"/>
  <c r="E493" i="3"/>
  <c r="E564" i="3"/>
  <c r="E543" i="3"/>
  <c r="E427" i="3"/>
  <c r="E486" i="3"/>
  <c r="E507" i="3"/>
  <c r="E422" i="3"/>
  <c r="E440" i="3"/>
  <c r="E490" i="3"/>
  <c r="E376" i="3"/>
  <c r="AH6" i="3"/>
  <c r="J6" i="3"/>
  <c r="E498" i="3"/>
  <c r="E419" i="3"/>
  <c r="E483" i="3"/>
  <c r="E401" i="3"/>
  <c r="E40" i="3"/>
  <c r="E25" i="3"/>
  <c r="E108" i="3"/>
  <c r="E178" i="3"/>
  <c r="E119" i="3"/>
  <c r="E202" i="3"/>
  <c r="E242" i="3"/>
  <c r="E276" i="3"/>
  <c r="E346" i="3"/>
  <c r="E333" i="3"/>
  <c r="E372" i="3"/>
  <c r="L6" i="3"/>
  <c r="E60" i="3"/>
  <c r="E540" i="3"/>
  <c r="E455" i="3"/>
  <c r="E170" i="3"/>
  <c r="E194" i="3"/>
  <c r="E219" i="3"/>
  <c r="E339" i="3"/>
  <c r="E392" i="3"/>
  <c r="E36" i="3"/>
  <c r="E123" i="3"/>
  <c r="E289" i="3"/>
  <c r="E364" i="3"/>
  <c r="E20" i="3"/>
  <c r="E176" i="3"/>
  <c r="E265" i="3"/>
  <c r="E524" i="3"/>
  <c r="E165" i="3"/>
  <c r="E244" i="3"/>
  <c r="E149" i="3"/>
  <c r="E167" i="3"/>
  <c r="E141" i="3"/>
  <c r="E312" i="3"/>
  <c r="AD6" i="3"/>
  <c r="E542" i="3"/>
  <c r="E552" i="3"/>
  <c r="E421" i="3"/>
  <c r="E464" i="3"/>
  <c r="E487" i="3"/>
  <c r="E398" i="3"/>
  <c r="E416" i="3"/>
  <c r="E374" i="3"/>
  <c r="E566" i="3"/>
  <c r="E413" i="3"/>
  <c r="E460" i="3"/>
  <c r="E520" i="3"/>
  <c r="E436" i="3"/>
  <c r="E39" i="3"/>
  <c r="E90" i="3"/>
  <c r="E57" i="3"/>
  <c r="E131" i="3"/>
  <c r="E187" i="3"/>
  <c r="E155" i="3"/>
  <c r="E240" i="3"/>
  <c r="E297" i="3"/>
  <c r="E259" i="3"/>
  <c r="E348" i="3"/>
  <c r="E378" i="3"/>
  <c r="E375" i="3"/>
  <c r="E504" i="3"/>
  <c r="E58" i="3"/>
  <c r="E110" i="3"/>
  <c r="E488"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129" i="3"/>
  <c r="E502" i="3"/>
  <c r="E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28" i="3"/>
  <c r="E70" i="3"/>
  <c r="E182" i="3"/>
  <c r="E211" i="3"/>
  <c r="E377" i="3"/>
  <c r="E572" i="3"/>
  <c r="E109" i="3"/>
  <c r="E217" i="3"/>
  <c r="E526"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0" i="3"/>
  <c r="E522"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7" i="3"/>
  <c r="E512" i="3"/>
  <c r="E494"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8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68" i="3"/>
  <c r="E396" i="3"/>
  <c r="E273" i="3"/>
  <c r="E489" i="3"/>
  <c r="Q66" i="71"/>
  <c r="Q65" i="71"/>
  <c r="E82" i="3"/>
  <c r="E64" i="3"/>
  <c r="E459" i="3"/>
  <c r="E212" i="3"/>
  <c r="E456" i="3"/>
  <c r="AA44" i="39"/>
  <c r="S44" i="39"/>
  <c r="AC26" i="37"/>
  <c r="W26" i="37"/>
  <c r="E556" i="3"/>
  <c r="AC9" i="34"/>
  <c r="W9" i="34"/>
  <c r="AA38" i="40"/>
  <c r="S38" i="40"/>
  <c r="U12" i="33"/>
  <c r="AB12" i="33"/>
  <c r="BL5" i="3"/>
  <c r="AB28" i="21"/>
  <c r="U28" i="21"/>
  <c r="AC26" i="33"/>
  <c r="W26" i="33"/>
  <c r="G28" i="6"/>
  <c r="C36" i="71"/>
  <c r="D35" i="71"/>
  <c r="AZ472" i="3"/>
  <c r="E452" i="3"/>
  <c r="AC44" i="39"/>
  <c r="W44" i="39"/>
  <c r="AB26" i="37"/>
  <c r="U26" i="37"/>
  <c r="AC39" i="40"/>
  <c r="W39" i="40"/>
  <c r="W36" i="39"/>
  <c r="AC36" i="39"/>
  <c r="W25" i="37"/>
  <c r="AC25" i="37"/>
  <c r="AA12" i="36"/>
  <c r="S12" i="36"/>
  <c r="W12" i="33"/>
  <c r="AC12" i="33"/>
  <c r="AZ503" i="3"/>
  <c r="BA5" i="3"/>
  <c r="E27" i="6" s="1"/>
  <c r="W28" i="21"/>
  <c r="AC28" i="21"/>
  <c r="AZ519" i="3"/>
  <c r="AZ496" i="3"/>
  <c r="AZ501" i="3"/>
  <c r="J6" i="67"/>
  <c r="J18" i="67" s="1"/>
  <c r="J6" i="15"/>
  <c r="J18" i="15" s="1"/>
  <c r="C60" i="71"/>
  <c r="D59" i="71"/>
  <c r="C32" i="71"/>
  <c r="D31" i="71"/>
  <c r="T40" i="71"/>
  <c r="D40" i="71"/>
  <c r="N67" i="71"/>
  <c r="B66" i="71"/>
  <c r="E86" i="3"/>
  <c r="E59" i="3"/>
  <c r="E225" i="3"/>
  <c r="E466" i="3"/>
  <c r="E220" i="3"/>
  <c r="E462" i="3"/>
  <c r="U44" i="39"/>
  <c r="AB44" i="39"/>
  <c r="AB24" i="36"/>
  <c r="U24" i="36"/>
  <c r="AB39" i="40"/>
  <c r="U39" i="40"/>
  <c r="AC23" i="35"/>
  <c r="W23" i="35"/>
  <c r="AA25" i="37"/>
  <c r="S25" i="37"/>
  <c r="AB38" i="40"/>
  <c r="U38" i="40"/>
  <c r="U12" i="36"/>
  <c r="AB12" i="36"/>
  <c r="AC31" i="21"/>
  <c r="W31" i="21"/>
  <c r="B15" i="71"/>
  <c r="B14" i="71" s="1"/>
  <c r="B13" i="71" s="1"/>
  <c r="B12" i="71" s="1"/>
  <c r="S16" i="71"/>
  <c r="E19" i="71"/>
  <c r="E18" i="71" s="1"/>
  <c r="E17" i="71" s="1"/>
  <c r="E16" i="71" s="1"/>
  <c r="V20" i="71"/>
  <c r="E84" i="3"/>
  <c r="AZ76" i="3"/>
  <c r="E67" i="3"/>
  <c r="AZ42" i="3"/>
  <c r="AZ5" i="3" s="1"/>
  <c r="E94" i="3"/>
  <c r="E38" i="3"/>
  <c r="E223" i="3"/>
  <c r="E473" i="3"/>
  <c r="E463" i="3"/>
  <c r="AA26" i="37"/>
  <c r="S26" i="37"/>
  <c r="U23" i="35"/>
  <c r="AB23" i="35"/>
  <c r="U25" i="37"/>
  <c r="AB25" i="37"/>
  <c r="AC38" i="40"/>
  <c r="W38" i="40"/>
  <c r="AC12" i="36"/>
  <c r="W12" i="36"/>
  <c r="AZ504" i="3"/>
  <c r="AB31" i="21"/>
  <c r="U31" i="21"/>
  <c r="AB26" i="33"/>
  <c r="U26" i="33"/>
  <c r="C19" i="71"/>
  <c r="T20" i="71"/>
  <c r="D20" i="71"/>
  <c r="U20" i="71" s="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C29" i="11" s="1"/>
  <c r="D27" i="11" s="1"/>
  <c r="F28" i="12"/>
  <c r="C29" i="12" s="1"/>
  <c r="D28" i="12" s="1"/>
  <c r="E60" i="40"/>
  <c r="F31" i="6"/>
  <c r="E51" i="40"/>
  <c r="AC6" i="3"/>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B40" i="1"/>
  <c r="L36" i="43" s="1"/>
  <c r="S10" i="39"/>
  <c r="AA10" i="39"/>
  <c r="H7" i="33"/>
  <c r="J7" i="33"/>
  <c r="D65" i="40"/>
  <c r="E63" i="40"/>
  <c r="F48" i="35"/>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F11" i="15"/>
  <c r="M11" i="15"/>
  <c r="J10" i="15" s="1"/>
  <c r="F11" i="67"/>
  <c r="F1" i="15"/>
  <c r="Q52" i="15"/>
  <c r="Q60" i="15"/>
  <c r="Q73" i="15"/>
  <c r="Q61" i="67"/>
  <c r="Q74" i="67"/>
  <c r="Q74" i="15"/>
  <c r="Q61" i="15"/>
  <c r="AE11" i="1"/>
  <c r="AE6" i="1"/>
  <c r="AE9" i="1"/>
  <c r="F27" i="68"/>
  <c r="AE7" i="1"/>
  <c r="AE8" i="1"/>
  <c r="AE12" i="1"/>
  <c r="AE10" i="1"/>
  <c r="F41" i="67"/>
  <c r="C16" i="67"/>
  <c r="C16" i="15"/>
  <c r="C28" i="43" l="1"/>
  <c r="T13" i="43" s="1"/>
  <c r="V13" i="43" s="1"/>
  <c r="D26" i="43"/>
  <c r="C25" i="43" s="1"/>
  <c r="D9" i="69"/>
  <c r="C9" i="69" s="1"/>
  <c r="C8" i="68" s="1"/>
  <c r="C5" i="68" s="1"/>
  <c r="D9" i="11"/>
  <c r="C9" i="11" s="1"/>
  <c r="D9" i="68"/>
  <c r="C9" i="68" s="1"/>
  <c r="D19" i="12"/>
  <c r="C19" i="12" s="1"/>
  <c r="E16" i="6"/>
  <c r="Q52" i="67"/>
  <c r="Q60" i="67"/>
  <c r="F67" i="39"/>
  <c r="J5" i="67"/>
  <c r="J24" i="67" s="1"/>
  <c r="E3" i="6"/>
  <c r="AY6" i="3"/>
  <c r="AY51" i="3" s="1"/>
  <c r="N65" i="71"/>
  <c r="N66" i="71"/>
  <c r="J5" i="15"/>
  <c r="J24" i="15" s="1"/>
  <c r="R36" i="36"/>
  <c r="R37" i="36" s="1"/>
  <c r="E65" i="39"/>
  <c r="C18" i="71"/>
  <c r="D19" i="71"/>
  <c r="B11" i="71"/>
  <c r="B10" i="71" s="1"/>
  <c r="B9" i="71" s="1"/>
  <c r="B8" i="71" s="1"/>
  <c r="B7" i="71" s="1"/>
  <c r="B6" i="71" s="1"/>
  <c r="B5" i="71" s="1"/>
  <c r="S12" i="71"/>
  <c r="T32" i="71"/>
  <c r="D32" i="71"/>
  <c r="D36" i="71"/>
  <c r="T36" i="71"/>
  <c r="T42" i="37"/>
  <c r="G42" i="37" s="1"/>
  <c r="G46" i="37" s="1"/>
  <c r="H46" i="37" s="1"/>
  <c r="E15" i="71"/>
  <c r="E14" i="71" s="1"/>
  <c r="E13" i="71" s="1"/>
  <c r="E12" i="71" s="1"/>
  <c r="V16" i="71"/>
  <c r="T60" i="71"/>
  <c r="D60" i="71"/>
  <c r="G30" i="6"/>
  <c r="G31" i="6" s="1"/>
  <c r="E28" i="6"/>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AY188" i="3"/>
  <c r="AY260" i="3"/>
  <c r="AY549" i="3"/>
  <c r="AY360" i="3"/>
  <c r="AY295" i="3"/>
  <c r="AY387" i="3"/>
  <c r="AY481" i="3"/>
  <c r="AY389" i="3"/>
  <c r="AY150" i="3"/>
  <c r="AY556" i="3"/>
  <c r="AY191" i="3"/>
  <c r="AY539" i="3"/>
  <c r="AY193" i="3"/>
  <c r="AY215" i="3"/>
  <c r="AY438" i="3"/>
  <c r="AY169" i="3"/>
  <c r="AY223" i="3"/>
  <c r="AY499" i="3"/>
  <c r="BR6" i="3"/>
  <c r="AY376" i="3"/>
  <c r="AY424" i="3"/>
  <c r="AY256" i="3"/>
  <c r="AY306" i="3"/>
  <c r="AY304" i="3"/>
  <c r="AY564" i="3"/>
  <c r="AY102" i="3"/>
  <c r="AY208" i="3"/>
  <c r="AY445" i="3"/>
  <c r="AY551" i="3"/>
  <c r="AY200" i="3"/>
  <c r="AY307" i="3"/>
  <c r="E6" i="6"/>
  <c r="D37" i="11"/>
  <c r="D14" i="12"/>
  <c r="M18" i="9"/>
  <c r="B118" i="9" s="1"/>
  <c r="B1" i="74" s="1"/>
  <c r="D3" i="34"/>
  <c r="D19" i="11"/>
  <c r="C19" i="11" s="1"/>
  <c r="L18" i="9"/>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T15" i="43" l="1"/>
  <c r="V15" i="43" s="1"/>
  <c r="C39" i="43"/>
  <c r="G39" i="43" s="1"/>
  <c r="I39" i="43" s="1"/>
  <c r="C33" i="43"/>
  <c r="T3" i="43"/>
  <c r="V3" i="43" s="1"/>
  <c r="C38" i="43"/>
  <c r="E38" i="43" s="1"/>
  <c r="T9" i="43"/>
  <c r="V9" i="43" s="1"/>
  <c r="T10" i="43"/>
  <c r="V10" i="43" s="1"/>
  <c r="C40" i="43"/>
  <c r="G40" i="43" s="1"/>
  <c r="I40" i="43" s="1"/>
  <c r="T12" i="43"/>
  <c r="V12" i="43" s="1"/>
  <c r="C42" i="43"/>
  <c r="E42" i="43" s="1"/>
  <c r="T2" i="43"/>
  <c r="V2" i="43" s="1"/>
  <c r="T7" i="43"/>
  <c r="V7" i="43" s="1"/>
  <c r="C41" i="43"/>
  <c r="G41" i="43" s="1"/>
  <c r="I41" i="43" s="1"/>
  <c r="T5" i="43"/>
  <c r="V5" i="43" s="1"/>
  <c r="T4" i="43"/>
  <c r="V4" i="43" s="1"/>
  <c r="T14" i="43"/>
  <c r="V14" i="43" s="1"/>
  <c r="T11" i="43"/>
  <c r="V11" i="43" s="1"/>
  <c r="C37" i="43"/>
  <c r="E37" i="43" s="1"/>
  <c r="T6" i="43"/>
  <c r="V6" i="43" s="1"/>
  <c r="T8" i="43"/>
  <c r="V8" i="43" s="1"/>
  <c r="T16" i="43"/>
  <c r="V16" i="43" s="1"/>
  <c r="AY250" i="3"/>
  <c r="AY122" i="3"/>
  <c r="AY179" i="3"/>
  <c r="AY442" i="3"/>
  <c r="AY96" i="3"/>
  <c r="AY88" i="3"/>
  <c r="AY343" i="3"/>
  <c r="AY525" i="3"/>
  <c r="AY126" i="3"/>
  <c r="AY534" i="3"/>
  <c r="AY283" i="3"/>
  <c r="AY209" i="3"/>
  <c r="AY451" i="3"/>
  <c r="AY347" i="3"/>
  <c r="AY127" i="3"/>
  <c r="AY151" i="3"/>
  <c r="AY583" i="3"/>
  <c r="AY30" i="3"/>
  <c r="BC6" i="3"/>
  <c r="AY587" i="3"/>
  <c r="AY78" i="3"/>
  <c r="AY328" i="3"/>
  <c r="AY552" i="3"/>
  <c r="AY270" i="3"/>
  <c r="AY455" i="3"/>
  <c r="AY340" i="3"/>
  <c r="AY53" i="3"/>
  <c r="AY475" i="3"/>
  <c r="AY44" i="3"/>
  <c r="AY335"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425" i="3"/>
  <c r="AY501" i="3"/>
  <c r="AY398" i="3"/>
  <c r="AY353" i="3"/>
  <c r="AY56" i="3"/>
  <c r="AY230" i="3"/>
  <c r="AY154" i="3"/>
  <c r="AY97" i="3"/>
  <c r="AY310" i="3"/>
  <c r="AY441" i="3"/>
  <c r="AY289" i="3"/>
  <c r="AY297" i="3"/>
  <c r="AY176"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15"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486" i="3"/>
  <c r="AY495" i="3"/>
  <c r="AY462" i="3"/>
  <c r="AY242" i="3"/>
  <c r="AY109" i="3"/>
  <c r="AY247" i="3"/>
  <c r="AY190" i="3"/>
  <c r="AY533" i="3"/>
  <c r="AY372" i="3"/>
  <c r="AY473" i="3"/>
  <c r="AY50" i="3"/>
  <c r="AY276" i="3"/>
  <c r="AY66"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244" i="3"/>
  <c r="AY90" i="3"/>
  <c r="BQ6" i="3"/>
  <c r="AY348" i="3"/>
  <c r="AY166" i="3"/>
  <c r="AY397" i="3"/>
  <c r="AY133" i="3"/>
  <c r="AY61" i="3"/>
  <c r="AY420" i="3"/>
  <c r="AY26" i="3"/>
  <c r="AY261" i="3"/>
  <c r="AY225" i="3"/>
  <c r="AY115" i="3"/>
  <c r="AY585" i="3"/>
  <c r="AY430" i="3"/>
  <c r="AY472" i="3"/>
  <c r="AY316" i="3"/>
  <c r="AY333" i="3"/>
  <c r="AY388" i="3"/>
  <c r="AY259"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404" i="3"/>
  <c r="AY355" i="3"/>
  <c r="AY199" i="3"/>
  <c r="AY75" i="3"/>
  <c r="AY18" i="3"/>
  <c r="BG6" i="3"/>
  <c r="AY571" i="3"/>
  <c r="AY411" i="3"/>
  <c r="AY14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D116" i="43"/>
  <c r="K14" i="1"/>
  <c r="E30" i="6"/>
  <c r="E31" i="6" s="1"/>
  <c r="K26" i="6"/>
  <c r="M26" i="6" s="1"/>
  <c r="I26" i="6" s="1"/>
  <c r="S26" i="6" s="1"/>
  <c r="E11" i="71"/>
  <c r="E10" i="71" s="1"/>
  <c r="E9" i="71" s="1"/>
  <c r="E8" i="71" s="1"/>
  <c r="E7" i="71" s="1"/>
  <c r="E6" i="71" s="1"/>
  <c r="E5" i="71" s="1"/>
  <c r="V12" i="71"/>
  <c r="G54" i="34"/>
  <c r="H54" i="34"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24" i="6"/>
  <c r="D8" i="6"/>
  <c r="C18" i="4"/>
  <c r="D11" i="6"/>
  <c r="H67" i="39"/>
  <c r="G69" i="39"/>
  <c r="G38" i="43"/>
  <c r="I38" i="43" s="1"/>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E40" i="43" l="1"/>
  <c r="G37" i="43"/>
  <c r="I37" i="43" s="1"/>
  <c r="G42" i="43"/>
  <c r="I42" i="43" s="1"/>
  <c r="E41" i="43"/>
  <c r="C30" i="43" s="1"/>
  <c r="B2" i="43" s="1"/>
  <c r="B3" i="43" s="1"/>
  <c r="H22" i="6"/>
  <c r="D10" i="6"/>
  <c r="E61" i="40"/>
  <c r="D12" i="6"/>
  <c r="D19" i="6"/>
  <c r="H25" i="6"/>
  <c r="R25" i="6" s="1"/>
  <c r="R12" i="1" s="1"/>
  <c r="D9" i="6"/>
  <c r="D26" i="6"/>
  <c r="D21" i="6"/>
  <c r="M19" i="9"/>
  <c r="C118" i="9" s="1"/>
  <c r="B2" i="74" s="1"/>
  <c r="D8" i="74" s="1"/>
  <c r="D28" i="6"/>
  <c r="D5" i="6"/>
  <c r="H24" i="6"/>
  <c r="R24" i="6" s="1"/>
  <c r="R11" i="1" s="1"/>
  <c r="D29" i="6"/>
  <c r="D6" i="6"/>
  <c r="D22" i="6"/>
  <c r="R22" i="6" s="1"/>
  <c r="R9" i="1" s="1"/>
  <c r="D13" i="6"/>
  <c r="D23" i="6"/>
  <c r="H21" i="6"/>
  <c r="L19" i="9"/>
  <c r="D14" i="6"/>
  <c r="D20" i="6"/>
  <c r="D27" i="6" s="1"/>
  <c r="C16" i="71"/>
  <c r="D17" i="71"/>
  <c r="H26" i="6"/>
  <c r="R26" i="6" s="1"/>
  <c r="K16" i="1"/>
  <c r="M14" i="1"/>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C31" i="43" l="1"/>
  <c r="D30" i="6"/>
  <c r="D31" i="6" s="1"/>
  <c r="R21" i="6"/>
  <c r="R8" i="1" s="1"/>
  <c r="R20" i="6"/>
  <c r="R7" i="1" s="1"/>
  <c r="O14" i="1"/>
  <c r="O16" i="1" s="1"/>
  <c r="M16" i="1"/>
  <c r="C34" i="11" s="1"/>
  <c r="C15" i="71"/>
  <c r="T16" i="71"/>
  <c r="D16" i="71"/>
  <c r="U16" i="71" s="1"/>
  <c r="C19" i="67"/>
  <c r="C20" i="67" s="1"/>
  <c r="C26" i="67" s="1"/>
  <c r="T16" i="1"/>
  <c r="C18" i="15"/>
  <c r="C15" i="15"/>
  <c r="C36" i="11"/>
  <c r="C37" i="11"/>
  <c r="C23" i="12"/>
  <c r="C14" i="12"/>
  <c r="H19" i="6"/>
  <c r="S19" i="6"/>
  <c r="S27" i="6" s="1"/>
  <c r="I27" i="6"/>
  <c r="C19" i="68"/>
  <c r="D37" i="68"/>
  <c r="C37" i="68" s="1"/>
  <c r="C19" i="69"/>
  <c r="C24" i="69" s="1"/>
  <c r="D37" i="69"/>
  <c r="C37" i="69" s="1"/>
  <c r="C33" i="69" s="1"/>
  <c r="C23" i="69"/>
  <c r="B2" i="76"/>
  <c r="I69" i="39"/>
  <c r="J67" i="39"/>
  <c r="I63" i="40"/>
  <c r="H65" i="40"/>
  <c r="I58" i="21"/>
  <c r="J58" i="21" s="1"/>
  <c r="K58" i="21" s="1"/>
  <c r="L58" i="21" s="1"/>
  <c r="M58" i="21" s="1"/>
  <c r="N58" i="21" s="1"/>
  <c r="O58" i="21" s="1"/>
  <c r="H7" i="21" s="1"/>
  <c r="J7" i="21"/>
  <c r="F7" i="21"/>
  <c r="J48" i="35"/>
  <c r="E6" i="76"/>
  <c r="E2" i="76" l="1"/>
  <c r="B3" i="76" s="1"/>
  <c r="I6" i="6"/>
  <c r="I5" i="6"/>
  <c r="P14" i="1"/>
  <c r="P16" i="1" s="1"/>
  <c r="C11" i="12" s="1"/>
  <c r="C12" i="12" s="1"/>
  <c r="D15" i="71"/>
  <c r="C14" i="71"/>
  <c r="L16" i="1"/>
  <c r="N16" i="1"/>
  <c r="C34" i="68"/>
  <c r="C23" i="67"/>
  <c r="C29" i="67" s="1"/>
  <c r="J59" i="67" s="1"/>
  <c r="J60" i="67" s="1"/>
  <c r="Q48" i="67" s="1"/>
  <c r="C19" i="15"/>
  <c r="C20" i="15" s="1"/>
  <c r="C26" i="15"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15" i="12" l="1"/>
  <c r="C16" i="12" s="1"/>
  <c r="C21" i="12" s="1"/>
  <c r="C22" i="12" s="1"/>
  <c r="C27" i="12" s="1"/>
  <c r="C25" i="12" s="1"/>
  <c r="C38" i="68"/>
  <c r="C35" i="68"/>
  <c r="F50" i="69"/>
  <c r="F50" i="11"/>
  <c r="F50" i="68"/>
  <c r="D14" i="71"/>
  <c r="C13"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33" i="68" l="1"/>
  <c r="C39" i="68" s="1"/>
  <c r="C43" i="68" s="1"/>
  <c r="C30" i="12"/>
  <c r="C28" i="12" s="1"/>
  <c r="C32" i="12" s="1"/>
  <c r="B2" i="12" s="1"/>
  <c r="B3" i="12"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9" i="68" l="1"/>
  <c r="C51" i="68" s="1"/>
  <c r="C52" i="68" s="1"/>
  <c r="B2" i="68" s="1"/>
  <c r="D11" i="71"/>
  <c r="C10"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D2" i="33"/>
  <c r="C102" i="9" l="1"/>
  <c r="C21" i="9"/>
  <c r="B3" i="21"/>
  <c r="G19" i="9"/>
  <c r="G21" i="9" s="1"/>
  <c r="D102" i="9"/>
  <c r="D22" i="9"/>
  <c r="D21" i="9"/>
  <c r="B3" i="68"/>
  <c r="C57" i="68"/>
  <c r="C56" i="68" s="1"/>
  <c r="C9" i="71"/>
  <c r="D10"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34" i="9"/>
  <c r="D35" i="9"/>
  <c r="C20" i="9"/>
  <c r="D2" i="37"/>
  <c r="L51" i="15"/>
  <c r="D2" i="36"/>
  <c r="D20" i="9"/>
  <c r="D2" i="34"/>
  <c r="D2" i="35"/>
  <c r="C103" i="9" l="1"/>
  <c r="D103" i="9"/>
  <c r="G20" i="9"/>
  <c r="C32" i="9" s="1"/>
  <c r="C8" i="7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8" i="1"/>
  <c r="AO6" i="1"/>
  <c r="AO7" i="1"/>
  <c r="AO12" i="1"/>
  <c r="AO9" i="1"/>
  <c r="C35" i="9" l="1"/>
  <c r="C34" i="9" s="1"/>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119" i="9" s="1"/>
  <c r="F5" i="52" s="1"/>
  <c r="B53" i="72" s="1"/>
  <c r="D118" i="9"/>
  <c r="D119" i="9" s="1"/>
  <c r="D5" i="52" s="1"/>
  <c r="B49" i="72" s="1"/>
  <c r="H118" i="9"/>
  <c r="C104" i="9" s="1"/>
  <c r="F4" i="52" l="1"/>
  <c r="B51" i="72" s="1"/>
  <c r="D4" i="52"/>
  <c r="B47" i="72" s="1"/>
  <c r="G118" i="9"/>
  <c r="G4" i="52" s="1"/>
  <c r="B52" i="72" s="1"/>
  <c r="H101" i="9"/>
  <c r="H119" i="9"/>
  <c r="H5" i="52" s="1"/>
  <c r="D14" i="74"/>
  <c r="H4" i="52"/>
  <c r="I118" i="9"/>
  <c r="E14" i="74" l="1"/>
  <c r="F14" i="74"/>
  <c r="B5" i="74"/>
  <c r="C105" i="9"/>
  <c r="H102" i="9"/>
  <c r="D7" i="53" s="1"/>
  <c r="B21" i="72" s="1"/>
  <c r="I4" i="52"/>
  <c r="E118" i="9"/>
  <c r="E4" i="52" s="1"/>
  <c r="B48" i="72" s="1"/>
  <c r="M48" i="9"/>
  <c r="D5" i="53"/>
  <c r="D45" i="9"/>
  <c r="H107" i="9"/>
  <c r="D122" i="9" l="1"/>
  <c r="D13" i="53"/>
  <c r="H108" i="9"/>
  <c r="M49" i="9"/>
  <c r="C5" i="74"/>
  <c r="D5" i="74"/>
  <c r="D52" i="9"/>
  <c r="D55" i="9"/>
  <c r="M53" i="9" s="1"/>
  <c r="C85" i="9"/>
  <c r="C64" i="9"/>
  <c r="C63" i="9" s="1"/>
  <c r="C67" i="9" s="1"/>
  <c r="C93" i="9"/>
  <c r="C86" i="9" s="1"/>
  <c r="C72" i="9"/>
  <c r="C79" i="9" s="1"/>
  <c r="C78" i="9"/>
  <c r="C73" i="9" s="1"/>
  <c r="D53" i="9"/>
  <c r="D6" i="53"/>
  <c r="B22" i="72" s="1"/>
  <c r="B20" i="72"/>
  <c r="C6" i="74" l="1"/>
  <c r="D15" i="53"/>
  <c r="B31" i="72" s="1"/>
  <c r="C80" i="9"/>
  <c r="E80" i="9" s="1"/>
  <c r="E81" i="9" s="1"/>
  <c r="L64" i="9"/>
  <c r="M64" i="9" s="1"/>
  <c r="L66" i="9"/>
  <c r="M66" i="9" s="1"/>
  <c r="L63" i="9"/>
  <c r="M63" i="9" s="1"/>
  <c r="L68" i="9"/>
  <c r="M68" i="9" s="1"/>
  <c r="L65" i="9"/>
  <c r="M65" i="9" s="1"/>
  <c r="L67" i="9"/>
  <c r="M67" i="9" s="1"/>
  <c r="C68" i="9"/>
  <c r="D54" i="9" s="1"/>
  <c r="D59" i="9"/>
  <c r="M55" i="9" s="1"/>
  <c r="B30" i="72"/>
  <c r="D14" i="53"/>
  <c r="B32" i="72" s="1"/>
  <c r="C95" i="9"/>
  <c r="D123" i="9"/>
  <c r="D9" i="52" s="1"/>
  <c r="D8" i="52"/>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<sst xmlns="http://schemas.openxmlformats.org/spreadsheetml/2006/main" count="7869" uniqueCount="3454">
  <si>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</si>
  <si>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</si>
  <si>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</si>
  <si>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</si>
  <si>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</si>
  <si>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</si>
  <si>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</si>
  <si>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</si>
  <si>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</si>
  <si>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</si>
  <si>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</si>
  <si>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</si>
  <si>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</si>
  <si>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</si>
  <si>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</si>
  <si>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</si>
  <si>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</si>
  <si>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</si>
  <si>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</si>
  <si>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</si>
  <si>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</si>
  <si>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</si>
  <si>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</si>
  <si>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</si>
  <si>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</si>
  <si>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</si>
  <si>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</si>
  <si>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</si>
  <si>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</si>
  <si>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</si>
  <si>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</si>
  <si>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</si>
  <si>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</si>
  <si>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</si>
  <si>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</si>
  <si>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</si>
  <si>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</si>
  <si>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</si>
  <si>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</si>
  <si>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</si>
  <si>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</si>
  <si>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</si>
  <si>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</si>
  <si>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</si>
  <si>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</si>
  <si>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</si>
  <si>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</si>
  <si>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</si>
  <si>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</si>
  <si>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</si>
  <si>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</si>
  <si>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</si>
  <si>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</si>
  <si>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</si>
  <si>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</si>
  <si>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</si>
  <si>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</si>
  <si>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</si>
  <si>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</si>
  <si>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</si>
  <si>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</si>
  <si>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</si>
  <si>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</si>
  <si>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</si>
  <si>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</si>
  <si>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</si>
  <si>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</si>
  <si>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</si>
  <si>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</si>
  <si>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</si>
  <si>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</si>
  <si>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</si>
  <si>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</si>
  <si>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</si>
  <si>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</si>
  <si>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</si>
  <si>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</si>
  <si>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</si>
  <si>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</si>
  <si>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</si>
  <si>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</si>
  <si>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</si>
  <si>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</si>
  <si>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</si>
  <si>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</si>
  <si>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</si>
  <si>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</si>
  <si>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</si>
  <si>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</si>
  <si>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</si>
  <si>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</si>
  <si>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</si>
  <si>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</si>
  <si>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</si>
  <si>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</si>
  <si>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</si>
  <si>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</si>
  <si>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</si>
  <si>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</si>
  <si>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</si>
  <si>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</si>
  <si>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</si>
  <si>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</si>
  <si>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</si>
  <si>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</si>
  <si>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</si>
  <si>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</si>
  <si>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</si>
  <si>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</si>
  <si>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</si>
  <si>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</si>
  <si>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</si>
  <si>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</si>
  <si>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</si>
  <si>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</si>
  <si>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</si>
  <si>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</si>
  <si>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</si>
  <si>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</si>
  <si>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</si>
  <si>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</si>
  <si>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</si>
  <si>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</si>
  <si>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</si>
  <si>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</si>
  <si>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</si>
  <si>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</si>
  <si>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</si>
  <si>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</si>
  <si>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</si>
  <si>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</si>
  <si>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</si>
  <si>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</si>
  <si>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</si>
  <si>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</si>
  <si>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</si>
  <si>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</si>
  <si>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</si>
  <si>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</si>
  <si>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</si>
  <si>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</si>
  <si>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</si>
  <si>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</si>
  <si>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</si>
  <si>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</si>
  <si>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</si>
  <si>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</si>
  <si>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</si>
  <si>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</si>
  <si>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</si>
  <si>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</si>
  <si>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</si>
  <si>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</si>
  <si>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</si>
  <si>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</si>
  <si>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</si>
  <si>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</si>
  <si>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</si>
  <si>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</si>
  <si>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</si>
  <si>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</si>
  <si>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</si>
  <si>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</si>
  <si>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</si>
  <si>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</si>
  <si>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</si>
  <si>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</si>
  <si>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</si>
  <si>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</si>
  <si>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</si>
  <si>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</si>
  <si>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</si>
  <si>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</si>
  <si>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</si>
  <si>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</si>
  <si>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</si>
  <si>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</si>
  <si>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</si>
  <si>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</si>
  <si>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</si>
  <si>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</si>
  <si>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</si>
  <si>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</si>
  <si>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</si>
  <si>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</si>
  <si>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</si>
  <si>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</si>
  <si>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</si>
  <si>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</si>
  <si>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</si>
  <si>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</si>
  <si>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</si>
  <si>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</si>
  <si>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</si>
  <si>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</si>
  <si>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</si>
  <si>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</si>
  <si>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</si>
  <si>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</si>
  <si>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</si>
  <si>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</si>
  <si>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</si>
  <si>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</si>
  <si>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</si>
  <si>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</si>
  <si>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</si>
  <si>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</si>
  <si>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</si>
  <si>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</si>
  <si>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</si>
  <si>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</si>
  <si>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</si>
  <si>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</si>
  <si>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</si>
  <si>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</si>
  <si>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</si>
  <si>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</si>
  <si>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</si>
  <si>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</si>
  <si>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</si>
  <si>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</si>
  <si>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</si>
  <si>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</si>
  <si>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</si>
  <si>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</si>
  <si>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</si>
  <si>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</si>
  <si>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</si>
  <si>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</si>
  <si>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</si>
  <si>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</si>
  <si>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</si>
  <si>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</si>
  <si>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</si>
  <si>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</si>
  <si>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</si>
  <si>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</si>
  <si>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</si>
  <si>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</si>
  <si>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</si>
  <si>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</si>
  <si>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</si>
  <si>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</si>
  <si>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</si>
  <si>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</si>
  <si>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</si>
  <si>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</si>
  <si>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</si>
  <si>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</si>
  <si>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</si>
  <si>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</si>
  <si>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</si>
  <si>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</si>
  <si>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</si>
  <si>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</si>
  <si>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</si>
  <si>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</si>
  <si>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</si>
  <si>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</si>
  <si>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</si>
  <si>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</si>
  <si>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</si>
  <si>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</si>
  <si>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</si>
  <si>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</si>
  <si>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</si>
  <si>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</si>
  <si>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</si>
  <si>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</si>
  <si>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</si>
  <si>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</si>
  <si>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</si>
  <si>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</si>
  <si>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</si>
  <si>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</si>
  <si>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</si>
  <si>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</si>
  <si>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</si>
  <si>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</si>
  <si>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</si>
  <si>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</si>
  <si>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</si>
  <si>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</si>
  <si>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</si>
  <si>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</si>
  <si>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</si>
  <si>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</si>
  <si>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</si>
  <si>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</si>
  <si>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</si>
  <si>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</si>
  <si>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</si>
  <si>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</si>
  <si>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</si>
  <si>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</si>
  <si>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</si>
  <si>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</si>
  <si>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</si>
  <si>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</si>
  <si>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</si>
  <si>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</si>
  <si>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</si>
  <si>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</si>
  <si>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</si>
  <si>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</si>
  <si>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</si>
  <si>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</si>
  <si>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</si>
  <si>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</si>
  <si>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</si>
  <si>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</si>
  <si>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</si>
  <si>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</si>
  <si>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</si>
  <si>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</si>
  <si>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</si>
  <si>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</si>
  <si>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</si>
  <si>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</si>
  <si>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</si>
  <si>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</si>
  <si>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</si>
  <si>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</si>
  <si>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</si>
  <si>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</si>
  <si>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</si>
  <si>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</si>
  <si>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</si>
  <si>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</si>
  <si>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</si>
  <si>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</si>
  <si>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</si>
  <si>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</si>
  <si>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</si>
  <si>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</si>
  <si>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</si>
  <si>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</si>
  <si>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</si>
  <si>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</si>
  <si>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</si>
  <si>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</si>
  <si>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</si>
  <si>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</si>
  <si>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</si>
  <si>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</si>
  <si>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</si>
  <si>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</si>
  <si>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</si>
  <si>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</si>
  <si>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</si>
  <si>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</si>
  <si>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</si>
  <si>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</si>
  <si>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</si>
  <si>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</si>
  <si>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</si>
  <si>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</si>
  <si>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</si>
  <si>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</si>
  <si>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</si>
  <si>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</si>
  <si>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</si>
  <si>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</si>
  <si>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</si>
  <si>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</si>
  <si>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</si>
  <si>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</si>
  <si>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</si>
  <si>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</si>
  <si>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</si>
  <si>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</si>
  <si>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</si>
  <si>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</si>
  <si>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</si>
  <si>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</si>
  <si>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</si>
  <si>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</si>
  <si>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</si>
  <si>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</si>
  <si>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</si>
  <si>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</si>
  <si>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</si>
  <si>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</si>
  <si>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</si>
  <si>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</si>
  <si>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</si>
  <si>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</si>
  <si>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</si>
  <si>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</si>
  <si>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</si>
  <si>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</si>
  <si>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</si>
  <si>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</si>
  <si>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</si>
  <si>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</si>
  <si>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</si>
  <si>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</si>
  <si>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</si>
  <si>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</si>
  <si>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</si>
  <si>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</si>
  <si>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</si>
  <si>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</si>
  <si>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</si>
  <si>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</si>
  <si>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</si>
  <si>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</si>
  <si>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</si>
  <si>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</si>
  <si>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</si>
  <si>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</si>
  <si>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</si>
  <si>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</si>
  <si>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</si>
  <si>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</si>
  <si>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</si>
  <si>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</si>
  <si>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</si>
  <si>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</si>
  <si>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</si>
  <si>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</si>
  <si>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</si>
  <si>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</si>
  <si>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</si>
  <si>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</si>
  <si>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</si>
  <si>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</si>
  <si>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</si>
  <si>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</si>
  <si>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</si>
  <si>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</si>
  <si>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</si>
  <si>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</si>
  <si>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</si>
  <si>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</si>
  <si>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</si>
  <si>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</si>
  <si>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</si>
  <si>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</si>
  <si>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</si>
  <si>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</si>
  <si>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</si>
  <si>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</si>
  <si>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</si>
  <si>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</si>
  <si>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</si>
  <si>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</si>
  <si>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</si>
  <si>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</si>
  <si>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</si>
  <si>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</si>
  <si>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</si>
  <si>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</si>
  <si>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</si>
  <si>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</si>
  <si>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</si>
  <si>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</si>
  <si>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</si>
  <si>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</si>
  <si>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</si>
  <si>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</si>
  <si>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</si>
  <si>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</si>
  <si>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</si>
  <si>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</si>
  <si>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</si>
  <si>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</si>
  <si>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</si>
  <si>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</si>
  <si>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</si>
  <si>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</si>
  <si>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</si>
  <si>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</si>
  <si>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</si>
  <si>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</si>
  <si>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</si>
  <si>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</si>
  <si>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</si>
  <si>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</si>
  <si>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</si>
  <si>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</si>
  <si>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</si>
  <si>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</si>
  <si>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</si>
  <si>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</si>
  <si>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</si>
  <si>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</si>
  <si>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</si>
  <si>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</si>
  <si>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</si>
  <si>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</si>
  <si>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</si>
  <si>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</si>
  <si>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</si>
  <si>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</si>
  <si>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</si>
  <si>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</si>
  <si>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</si>
  <si>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</si>
  <si>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</si>
  <si>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</si>
  <si>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</si>
  <si>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</si>
  <si>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</si>
  <si>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</si>
  <si>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</si>
  <si>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</si>
  <si>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</si>
  <si>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</si>
  <si>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</si>
  <si>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</si>
  <si>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</si>
  <si>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</si>
  <si>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</si>
  <si>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</si>
  <si>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</si>
  <si>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</si>
  <si>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</si>
  <si>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</si>
  <si>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</si>
  <si>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</si>
  <si>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</si>
  <si>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</si>
  <si>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</si>
  <si>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</si>
  <si>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</si>
  <si>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</si>
  <si>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</si>
  <si>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</si>
  <si>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</si>
  <si>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</si>
  <si>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</si>
  <si>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</si>
  <si>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</si>
  <si>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</si>
  <si>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</si>
  <si>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</si>
  <si>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</si>
  <si>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</si>
  <si>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</si>
  <si>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</si>
  <si>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</si>
  <si>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</si>
  <si>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</si>
  <si>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</si>
  <si>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</si>
  <si>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</si>
  <si>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</si>
  <si>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</si>
  <si>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</si>
  <si>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</si>
  <si>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</si>
  <si>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</si>
  <si>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</si>
  <si>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</si>
  <si>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</si>
  <si>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</si>
  <si>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</si>
  <si>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</si>
  <si>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</si>
  <si>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</si>
  <si>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</si>
  <si>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</si>
  <si>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</si>
  <si>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</si>
  <si>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</si>
  <si>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</si>
  <si>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</si>
  <si>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</si>
  <si>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</si>
  <si>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</si>
  <si>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</si>
  <si>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</si>
  <si>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</si>
  <si>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</si>
  <si>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</si>
  <si>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</si>
  <si>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</si>
  <si>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</si>
  <si>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</si>
  <si>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</si>
  <si>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</si>
  <si>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</si>
  <si>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</si>
  <si>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</si>
  <si>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</si>
  <si>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</si>
  <si>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</si>
  <si>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</si>
  <si>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</si>
  <si>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</si>
  <si>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</si>
  <si>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</si>
  <si>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</si>
  <si>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</si>
  <si>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</si>
  <si>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</si>
  <si>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</si>
  <si>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</si>
  <si>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</si>
  <si>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</si>
  <si>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</si>
  <si>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</si>
  <si>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</si>
  <si>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</si>
  <si>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</si>
  <si>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</si>
  <si>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</si>
  <si>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</si>
  <si>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</si>
  <si>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</si>
  <si>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</si>
  <si>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</si>
  <si>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</si>
  <si>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</si>
  <si>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</si>
  <si>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</si>
  <si>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</si>
  <si>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</si>
  <si>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</si>
  <si>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</si>
  <si>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</si>
  <si>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</si>
  <si>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</si>
  <si>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</si>
  <si>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</si>
  <si>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</si>
  <si>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</si>
  <si>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</si>
  <si>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</si>
  <si>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</si>
  <si>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</si>
  <si>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</si>
  <si>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</si>
  <si>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</si>
  <si>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</si>
  <si>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</si>
  <si>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</si>
  <si>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</si>
  <si>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</si>
  <si>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</si>
  <si>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</si>
  <si>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</si>
  <si>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</si>
  <si>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</si>
  <si>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</si>
  <si>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</si>
  <si>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</si>
  <si>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</si>
  <si>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</si>
  <si>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</si>
  <si>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</si>
  <si>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</si>
  <si>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</si>
  <si>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</si>
  <si>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</si>
  <si>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</si>
  <si>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</si>
  <si>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</si>
  <si>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</si>
  <si>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</si>
  <si>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</si>
  <si>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</si>
  <si>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</si>
  <si>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</si>
  <si>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</si>
  <si>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</si>
  <si>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</si>
  <si>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</si>
  <si>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</si>
  <si>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</si>
  <si>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</si>
  <si>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</si>
  <si>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</si>
  <si>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</si>
  <si>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</si>
  <si>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</si>
  <si>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</si>
  <si>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</si>
  <si>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</si>
  <si>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</si>
  <si>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</si>
  <si>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</si>
  <si>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</si>
  <si>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</si>
  <si>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</si>
  <si>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</si>
  <si>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</si>
  <si>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</si>
  <si>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</si>
  <si>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</si>
  <si>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</si>
  <si>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</si>
  <si>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</si>
  <si>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</si>
  <si>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</si>
  <si>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</si>
  <si>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</si>
  <si>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</si>
  <si>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</si>
  <si>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</si>
  <si>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</si>
  <si>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</si>
  <si>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</si>
  <si>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</si>
  <si>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</si>
  <si>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</si>
  <si>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</si>
  <si>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</si>
  <si>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</si>
  <si>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</si>
  <si>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</si>
  <si>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</si>
  <si>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</si>
  <si>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</si>
  <si>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</si>
  <si>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</si>
  <si>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</si>
  <si>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</si>
  <si>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</si>
  <si>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</si>
  <si>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</si>
  <si>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</si>
  <si>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</si>
  <si>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</si>
  <si>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</si>
  <si>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</si>
  <si>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</si>
  <si>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</si>
  <si>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</si>
  <si>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</si>
  <si>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</si>
  <si>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</si>
  <si>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</si>
  <si>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</si>
  <si>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</si>
  <si>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</si>
  <si>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</si>
  <si>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</si>
  <si>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</si>
  <si>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</si>
  <si>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</si>
  <si>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</si>
  <si>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</si>
  <si>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</si>
  <si>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</si>
  <si>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</si>
  <si>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</si>
  <si>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</si>
  <si>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</si>
  <si>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</si>
  <si>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</si>
  <si>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</si>
  <si>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</si>
  <si>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</si>
  <si>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</si>
  <si>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</si>
  <si>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</si>
  <si>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</si>
  <si>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</si>
  <si>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</si>
  <si>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</si>
  <si>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</si>
  <si>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</si>
  <si>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</si>
  <si>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</si>
  <si>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</si>
  <si>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</si>
  <si>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</si>
  <si>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</si>
  <si>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</si>
  <si>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</si>
  <si>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</si>
  <si>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</si>
  <si>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</si>
  <si>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</si>
  <si>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</si>
  <si>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</si>
  <si>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</si>
  <si>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</si>
  <si>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</si>
  <si>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</si>
  <si>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</si>
  <si>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</si>
  <si>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</si>
  <si>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</si>
  <si>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</si>
  <si>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</si>
  <si>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</si>
  <si>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</si>
  <si>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</si>
  <si>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</si>
  <si>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</si>
  <si>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</si>
  <si>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</si>
  <si>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</si>
  <si>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</si>
  <si>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</si>
  <si>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</si>
  <si>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</si>
  <si>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</si>
  <si>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</si>
  <si>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</si>
  <si>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</si>
  <si>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</si>
  <si>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</si>
  <si>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</si>
  <si>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</si>
  <si>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</si>
  <si>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</si>
  <si>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</si>
  <si>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</si>
  <si>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</si>
  <si>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</si>
  <si>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</si>
  <si>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</si>
  <si>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</si>
  <si>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</si>
  <si>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</si>
  <si>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</si>
  <si>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</si>
  <si>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</si>
  <si>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</si>
  <si>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</si>
  <si>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</si>
  <si>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</si>
  <si>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</si>
  <si>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</si>
  <si>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</si>
  <si>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</si>
  <si>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</si>
  <si>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</si>
  <si>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</si>
  <si>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</si>
  <si>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</si>
  <si>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</si>
  <si>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</si>
  <si>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</si>
  <si>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</si>
  <si>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</si>
  <si>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</si>
  <si>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</si>
  <si>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</si>
  <si>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</si>
  <si>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</si>
  <si>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</si>
  <si>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</si>
  <si>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</si>
  <si>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</si>
  <si>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</si>
  <si>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</si>
  <si>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</si>
  <si>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</si>
  <si>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</si>
  <si>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</si>
  <si>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</si>
  <si>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</si>
  <si>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</si>
  <si>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</si>
  <si>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</si>
  <si>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</si>
  <si>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</si>
  <si>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</si>
  <si>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</si>
  <si>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</si>
  <si>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</si>
  <si>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</si>
  <si>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</si>
  <si>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</si>
  <si>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</si>
  <si>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</si>
  <si>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</si>
  <si>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</si>
  <si>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</si>
  <si>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</si>
  <si>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</si>
  <si>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</si>
  <si>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</si>
  <si>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</si>
  <si>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</si>
  <si>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</si>
  <si>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</si>
  <si>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</si>
  <si>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</si>
  <si>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</si>
  <si>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</si>
  <si>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</si>
  <si>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</si>
  <si>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</si>
  <si>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</si>
  <si>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</si>
  <si>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</si>
  <si>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</si>
  <si>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</si>
  <si>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</si>
  <si>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</si>
  <si>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</si>
  <si>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</si>
  <si>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</si>
  <si>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</si>
  <si>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</si>
  <si>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</si>
  <si>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</si>
  <si>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</si>
  <si>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</si>
  <si>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</si>
  <si>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</si>
  <si>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</si>
  <si>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</si>
  <si>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</si>
  <si>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</si>
  <si>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</si>
  <si>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</si>
  <si>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</si>
  <si>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</si>
  <si>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</si>
  <si>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</si>
  <si>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</si>
  <si>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</si>
  <si>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</si>
  <si>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</si>
  <si>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</si>
  <si>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</si>
  <si>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</si>
  <si>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</si>
  <si>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</si>
  <si>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</si>
  <si>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</si>
  <si>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</si>
  <si>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</si>
  <si>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</si>
  <si>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</si>
  <si>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</si>
  <si>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</si>
  <si>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</si>
  <si>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</si>
  <si>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</si>
  <si>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</si>
  <si>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</si>
  <si>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</si>
  <si>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</si>
  <si>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</si>
  <si>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</si>
  <si>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</si>
  <si>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</si>
  <si>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</si>
  <si>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</si>
  <si>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</si>
  <si>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</si>
  <si>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</si>
  <si>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</si>
  <si>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</si>
  <si>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</si>
  <si>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</si>
  <si>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</si>
  <si>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</si>
  <si>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</si>
  <si>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</si>
  <si>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</si>
  <si>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</si>
  <si>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</si>
  <si>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</si>
  <si>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</si>
  <si>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</si>
  <si>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</si>
  <si>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</si>
  <si>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</si>
  <si>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</si>
  <si>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</si>
  <si>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</si>
  <si>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</si>
  <si>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</si>
  <si>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</si>
  <si>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</si>
  <si>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</si>
  <si>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</si>
  <si>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</si>
  <si>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</si>
  <si>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</si>
  <si>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</si>
  <si>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</si>
  <si>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</si>
  <si>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</si>
  <si>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</si>
  <si>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</si>
  <si>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</si>
  <si>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</si>
  <si>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</si>
  <si>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</si>
  <si>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</si>
  <si>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</si>
  <si>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</si>
  <si>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</si>
  <si>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</si>
  <si>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</si>
  <si>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</si>
  <si>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</si>
  <si>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</si>
  <si>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</si>
  <si>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</si>
  <si>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</si>
  <si>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</si>
  <si>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</si>
  <si>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</si>
  <si>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</si>
  <si>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</si>
  <si>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</si>
  <si>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</si>
  <si>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</si>
  <si>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</si>
  <si>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</si>
  <si>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</si>
  <si>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</si>
  <si>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</si>
  <si>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</si>
  <si>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</si>
  <si>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</si>
  <si>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</si>
  <si>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</si>
  <si>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</si>
  <si>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</si>
  <si>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</si>
  <si>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</si>
  <si>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</si>
  <si>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</si>
  <si>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</si>
  <si>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</si>
  <si>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</si>
  <si>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</si>
  <si>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</si>
  <si>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</si>
  <si>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</si>
  <si>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</si>
  <si>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</si>
  <si>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</si>
  <si>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</si>
  <si>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</si>
  <si>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</si>
  <si>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</si>
  <si>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</si>
  <si>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</si>
  <si>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</si>
  <si>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</si>
  <si>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</si>
  <si>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</si>
  <si>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</si>
  <si>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</si>
  <si>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</si>
  <si>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</si>
  <si>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</si>
  <si>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</si>
  <si>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</si>
  <si>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</si>
  <si>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</si>
  <si>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</si>
  <si>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</si>
  <si>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</si>
  <si>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</si>
  <si>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</si>
  <si>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</si>
  <si>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</si>
  <si>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</si>
  <si>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</si>
  <si>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</si>
  <si>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</si>
  <si>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</si>
  <si>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</si>
  <si>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</si>
  <si>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</si>
  <si>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</si>
  <si>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</si>
  <si>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</si>
  <si>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</si>
  <si>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</si>
  <si>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</si>
  <si>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</si>
  <si>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</si>
  <si>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</si>
  <si>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</si>
  <si>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</si>
  <si>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</si>
  <si>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</si>
  <si>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</si>
  <si>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</si>
  <si>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</si>
  <si>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</si>
  <si>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</si>
  <si>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</si>
  <si>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</si>
  <si>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</si>
  <si>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</si>
  <si>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</si>
  <si>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</si>
  <si>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</si>
  <si>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</si>
  <si>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</si>
  <si>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</si>
  <si>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</si>
  <si>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</si>
  <si>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</si>
  <si>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</si>
  <si>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</si>
  <si>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</si>
  <si>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</si>
  <si>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</si>
  <si>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</si>
  <si>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</si>
  <si>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</si>
  <si>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</si>
  <si>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</si>
  <si>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</si>
  <si>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</si>
  <si>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</si>
  <si>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</si>
  <si>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</si>
  <si>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</si>
  <si>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</si>
  <si>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</si>
  <si>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</si>
  <si>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</si>
  <si>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</si>
  <si>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</si>
  <si>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</si>
  <si>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</si>
  <si>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</si>
  <si>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</si>
  <si>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</si>
  <si>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</si>
  <si>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</si>
  <si>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</si>
  <si>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</si>
  <si>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</si>
  <si>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</si>
  <si>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</si>
  <si>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</si>
  <si>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</si>
  <si>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</si>
  <si>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</si>
  <si>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</si>
  <si>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</si>
  <si>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</si>
  <si>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</si>
  <si>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</si>
  <si>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</si>
  <si>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</si>
  <si>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</si>
  <si>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</si>
  <si>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</si>
  <si>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</si>
  <si>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</si>
  <si>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</si>
  <si>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</si>
  <si>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</si>
  <si>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</si>
  <si>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</si>
  <si>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</si>
  <si>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</si>
  <si>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</si>
  <si>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</si>
  <si>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</si>
  <si>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</si>
  <si>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</si>
  <si>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</si>
  <si>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</si>
  <si>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</si>
  <si>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</si>
  <si>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</si>
  <si>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</si>
  <si>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</si>
  <si>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</si>
  <si>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</si>
  <si>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</si>
  <si>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</si>
  <si>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</si>
  <si>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</si>
  <si>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</si>
  <si>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</si>
  <si>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</si>
  <si>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</si>
  <si>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</si>
  <si>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</si>
  <si>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</si>
  <si>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</si>
  <si>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</si>
  <si>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</si>
  <si>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</si>
  <si>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</si>
  <si>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</si>
  <si>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</si>
  <si>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</si>
  <si>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</si>
  <si>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</si>
  <si>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</si>
  <si>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</si>
  <si>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</si>
  <si>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</si>
  <si>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</si>
  <si>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</si>
  <si>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</si>
  <si>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</si>
  <si>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</si>
  <si>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</si>
  <si>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</si>
  <si>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</si>
  <si>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</si>
  <si>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</si>
  <si>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</si>
  <si>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</si>
  <si>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</si>
  <si>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</si>
  <si>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</si>
  <si>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</si>
  <si>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</si>
  <si>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</si>
  <si>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</si>
  <si>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</si>
  <si>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</si>
  <si>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</si>
  <si>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</si>
  <si>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</si>
  <si>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</si>
  <si>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</si>
  <si>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</si>
  <si>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</si>
  <si>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</si>
  <si>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</si>
  <si>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</si>
  <si>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</si>
  <si>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</si>
  <si>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</si>
  <si>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</si>
  <si>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</si>
  <si>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</si>
  <si>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</si>
  <si>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</si>
  <si>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</si>
  <si>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</si>
  <si>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</si>
  <si>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</si>
  <si>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</si>
  <si>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</si>
  <si>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</si>
  <si>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</si>
  <si>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</si>
  <si>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</si>
  <si>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</si>
  <si>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</si>
  <si>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</si>
  <si>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</si>
  <si>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</si>
  <si>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</si>
  <si>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</si>
  <si>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</si>
  <si>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</si>
  <si>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</si>
  <si>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</si>
  <si>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</si>
  <si>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</si>
  <si>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</si>
  <si>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</si>
  <si>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</si>
  <si>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</si>
  <si>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</si>
  <si>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</si>
  <si>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</si>
  <si>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</si>
  <si>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</si>
  <si>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</si>
  <si>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</si>
  <si>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</si>
  <si>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</si>
  <si>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</si>
  <si>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</si>
  <si>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</si>
  <si>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</si>
  <si>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</si>
  <si>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</si>
  <si>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</si>
  <si>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</si>
  <si>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</si>
  <si>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</si>
  <si>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</si>
  <si>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</si>
  <si>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</si>
  <si>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</si>
  <si>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</si>
  <si>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</si>
  <si>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</si>
  <si>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</si>
  <si>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</si>
  <si>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</si>
  <si>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</si>
  <si>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</si>
  <si>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</si>
  <si>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</si>
  <si>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</si>
  <si>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</si>
  <si>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</si>
  <si>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</si>
  <si>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</si>
  <si>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</si>
  <si>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</si>
  <si>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</si>
  <si>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</si>
  <si>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</si>
  <si>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</si>
  <si>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</si>
  <si>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</si>
  <si>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</si>
  <si>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</si>
  <si>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</si>
  <si>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</si>
  <si>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</si>
  <si>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</si>
  <si>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</si>
  <si>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</si>
  <si>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</si>
  <si>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</si>
  <si>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</si>
  <si>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</si>
  <si>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</si>
  <si>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</si>
  <si>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</si>
  <si>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</si>
  <si>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</si>
  <si>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</si>
  <si>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</si>
  <si>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</si>
  <si>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</si>
  <si>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</si>
  <si>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</si>
  <si>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</si>
  <si>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</si>
  <si>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</si>
  <si>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</si>
  <si>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</si>
  <si>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</si>
  <si>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</si>
  <si>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</si>
  <si>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</si>
  <si>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</si>
  <si>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</si>
  <si>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</si>
  <si>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</si>
  <si>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</si>
  <si>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</si>
  <si>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</si>
  <si>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</si>
  <si>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</si>
  <si>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</si>
  <si>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</si>
  <si>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</si>
  <si>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</si>
  <si>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</si>
  <si>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</si>
  <si>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</si>
  <si>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</si>
  <si>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</si>
  <si>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</si>
  <si>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</si>
  <si>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</si>
  <si>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</si>
  <si>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</si>
  <si>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</si>
  <si>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</si>
  <si>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</si>
  <si>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</si>
  <si>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</si>
  <si>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</si>
  <si>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</si>
  <si>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</si>
  <si>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</si>
  <si>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</si>
  <si>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</si>
  <si>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</si>
  <si>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</si>
  <si>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</si>
  <si>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</si>
  <si>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</si>
  <si>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</si>
  <si>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</si>
  <si>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</si>
  <si>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</si>
  <si>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</si>
  <si>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</si>
  <si>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</si>
  <si>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</si>
  <si>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</si>
  <si>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</si>
  <si>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</si>
  <si>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</si>
  <si>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</si>
  <si>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</si>
  <si>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</si>
  <si>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</si>
  <si>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</si>
  <si>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</si>
  <si>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</si>
  <si>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</si>
  <si>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</si>
  <si>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</si>
  <si>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</si>
  <si>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</si>
  <si>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</si>
  <si>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</si>
  <si>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</si>
  <si>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</si>
  <si>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</si>
  <si>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</si>
  <si>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</si>
  <si>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</si>
  <si>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</si>
  <si>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</si>
  <si>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</si>
  <si>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</si>
  <si>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</si>
  <si>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</si>
  <si>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</si>
  <si>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</si>
  <si>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</si>
  <si>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</si>
  <si>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</si>
  <si>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</si>
  <si>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</si>
  <si>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</si>
  <si>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</si>
  <si>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</si>
  <si>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</si>
  <si>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</si>
  <si>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</si>
  <si>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</si>
  <si>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</si>
  <si>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</si>
  <si>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</si>
  <si>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</si>
  <si>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</si>
  <si>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</si>
  <si>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</si>
  <si>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</si>
  <si>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</si>
  <si>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</si>
  <si>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</si>
  <si>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</si>
  <si>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</si>
  <si>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</si>
  <si>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</si>
  <si>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</si>
  <si>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</si>
  <si>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</si>
  <si>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</si>
  <si>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</si>
  <si>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</si>
  <si>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</si>
  <si>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</si>
  <si>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</si>
  <si>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</si>
  <si>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</si>
  <si>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</si>
  <si>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</si>
  <si>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</si>
  <si>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</si>
  <si>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</si>
  <si>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</si>
  <si>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</si>
  <si>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</si>
  <si>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</si>
  <si>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</si>
  <si>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</si>
  <si>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</si>
  <si>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</si>
  <si>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</si>
  <si>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</si>
  <si>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</si>
  <si>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</si>
  <si>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</si>
  <si>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</si>
  <si>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</si>
  <si>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</si>
  <si>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</si>
  <si>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</si>
  <si>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</si>
  <si>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</si>
  <si>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</si>
  <si>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</si>
  <si>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</si>
  <si>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</si>
  <si>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</si>
  <si>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</si>
  <si>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</si>
  <si>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</si>
  <si>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</si>
  <si>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</si>
  <si>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</si>
  <si>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</si>
  <si>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</si>
  <si>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</si>
  <si>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</si>
  <si>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</si>
  <si>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</si>
  <si>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</si>
  <si>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</si>
  <si>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</si>
  <si>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</si>
  <si>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</si>
  <si>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</si>
  <si>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</si>
  <si>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</si>
  <si>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</si>
  <si>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</si>
  <si>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</si>
  <si>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</si>
  <si>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</si>
  <si>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</si>
  <si>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</si>
  <si>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</si>
  <si>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</si>
  <si>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</si>
  <si>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</si>
  <si>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</si>
  <si>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</si>
  <si>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</si>
  <si>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</si>
  <si>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</si>
  <si>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</si>
  <si>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</si>
  <si>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</si>
  <si>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</si>
  <si>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</si>
  <si>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</si>
  <si>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</si>
  <si>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</si>
  <si>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</si>
  <si>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</si>
  <si>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</si>
  <si>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</si>
  <si>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</si>
  <si>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</si>
  <si>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</si>
  <si>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</si>
  <si>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</si>
  <si>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</si>
  <si>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</si>
  <si>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</si>
  <si>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</si>
  <si>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</si>
  <si>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</si>
  <si>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</si>
  <si>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</si>
  <si>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</si>
  <si>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</si>
  <si>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</si>
  <si>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</si>
  <si>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</si>
  <si>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</si>
  <si>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</si>
  <si>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</si>
  <si>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</si>
  <si>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</si>
  <si>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</si>
  <si>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</si>
  <si>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</si>
  <si>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</si>
  <si>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</si>
  <si>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</si>
  <si>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</si>
  <si>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</si>
  <si>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</si>
  <si>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</si>
  <si>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</si>
  <si>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</si>
  <si>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</si>
  <si>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</si>
  <si>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</si>
  <si>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</si>
  <si>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</si>
  <si>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</si>
  <si>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</si>
  <si>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</si>
  <si>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</si>
  <si>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</si>
  <si>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</si>
  <si>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</si>
  <si>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</si>
  <si>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</si>
  <si>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</si>
  <si>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</si>
  <si>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</si>
  <si>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</si>
  <si>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</si>
  <si>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</si>
  <si>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</si>
  <si>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</si>
  <si>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</si>
  <si>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</si>
  <si>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</si>
  <si>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</si>
  <si>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</si>
  <si>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</si>
  <si>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</si>
  <si>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</si>
  <si>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</si>
  <si>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</si>
  <si>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</si>
  <si>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</si>
  <si>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</si>
  <si>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</si>
  <si>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</si>
  <si>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</si>
  <si>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</si>
  <si>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</si>
  <si>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</si>
  <si>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</si>
  <si>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</si>
  <si>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</si>
  <si>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</si>
  <si>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</si>
  <si>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</si>
  <si>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</si>
  <si>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</si>
  <si>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</si>
  <si>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</si>
  <si>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</si>
  <si>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</si>
  <si>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</si>
  <si>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</si>
  <si>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</si>
  <si>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</si>
  <si>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</si>
  <si>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</si>
  <si>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</si>
  <si>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</si>
  <si>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</si>
  <si>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</si>
  <si>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</si>
  <si>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</si>
  <si>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</si>
  <si>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</si>
  <si>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</si>
  <si>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</si>
  <si>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</si>
  <si>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</si>
  <si>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</si>
  <si>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</si>
  <si>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</si>
  <si>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</si>
  <si>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</si>
  <si>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</si>
  <si>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</si>
  <si>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</si>
  <si>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</si>
  <si>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</si>
  <si>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</si>
  <si>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</si>
  <si>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</si>
  <si>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</si>
  <si>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</si>
  <si>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</si>
  <si>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</si>
  <si>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</si>
  <si>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</si>
  <si>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</si>
  <si>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</si>
  <si>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</si>
  <si>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</si>
  <si>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</si>
  <si>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</si>
  <si>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</si>
  <si>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</si>
  <si>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</si>
  <si>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</si>
  <si>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</si>
  <si>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</si>
  <si>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</si>
  <si>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</si>
  <si>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</si>
  <si>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</si>
  <si>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</si>
  <si>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</si>
  <si>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</si>
  <si>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</si>
  <si>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</si>
  <si>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</si>
  <si>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</si>
  <si>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</si>
  <si>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</si>
  <si>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</si>
  <si>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</si>
  <si>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</si>
  <si>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</si>
  <si>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</si>
  <si>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</si>
  <si>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</si>
  <si>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</si>
  <si>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</si>
  <si>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</si>
  <si>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</si>
  <si>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</si>
  <si>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</si>
  <si>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</si>
  <si>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</si>
  <si>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</si>
  <si>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</si>
  <si>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</si>
  <si>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</si>
  <si>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</si>
  <si>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</si>
  <si>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</si>
  <si>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</si>
  <si>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</si>
  <si>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</si>
  <si>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</si>
  <si>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</si>
  <si>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</si>
  <si>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</si>
  <si>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</si>
  <si>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</si>
  <si>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</si>
  <si>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</si>
  <si>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</si>
  <si>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</si>
  <si>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</si>
  <si>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</si>
  <si>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</si>
  <si>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</si>
  <si>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</si>
  <si>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</si>
  <si>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</si>
  <si>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</si>
  <si>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</si>
  <si>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</si>
  <si>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</si>
  <si>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</si>
  <si>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</si>
  <si>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</si>
  <si>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</si>
  <si>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</si>
  <si>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</si>
  <si>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</si>
  <si>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</si>
  <si>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</si>
  <si>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</si>
  <si>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</si>
  <si>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</si>
  <si>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</si>
  <si>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</si>
  <si>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</si>
  <si>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</si>
  <si>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</si>
  <si>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</si>
  <si>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</si>
  <si>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</si>
  <si>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</si>
  <si>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</si>
  <si>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</si>
  <si>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</si>
  <si>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</si>
  <si>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</si>
  <si>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</si>
  <si>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</si>
  <si>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</si>
  <si>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</si>
  <si>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</si>
  <si>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</si>
  <si>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</si>
  <si>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</si>
  <si>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</si>
  <si>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</si>
  <si>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</si>
  <si>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</si>
  <si>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</si>
  <si>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</si>
  <si>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</si>
  <si>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</si>
  <si>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</si>
  <si>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</si>
  <si>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</si>
  <si>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</si>
  <si>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</si>
  <si>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</si>
  <si>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</si>
  <si>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</si>
  <si>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</si>
  <si>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</si>
  <si>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</si>
  <si>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</si>
  <si>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</si>
  <si>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</si>
  <si>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</si>
  <si>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</si>
  <si>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</si>
  <si>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</si>
  <si>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</si>
  <si>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</si>
  <si>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</si>
  <si>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</si>
  <si>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</si>
  <si>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</si>
  <si>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</si>
  <si>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</si>
  <si>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</si>
  <si>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</si>
  <si>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</si>
  <si>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</si>
  <si>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</si>
  <si>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</si>
  <si>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</si>
  <si>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</si>
  <si>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</si>
  <si>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</si>
  <si>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</si>
  <si>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</si>
  <si>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</si>
  <si>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</si>
  <si>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</si>
  <si>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</si>
  <si>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</si>
  <si>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</si>
  <si>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</si>
  <si>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</si>
  <si>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</si>
  <si>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</si>
  <si>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</si>
  <si>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</si>
  <si>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</si>
  <si>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</si>
  <si>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</si>
  <si>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</si>
  <si>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</si>
  <si>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</si>
  <si>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</si>
  <si>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</si>
  <si>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</si>
  <si>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</si>
  <si>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</si>
  <si>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</si>
  <si>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</si>
  <si>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</si>
  <si>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</si>
  <si>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</si>
  <si>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</si>
  <si>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</si>
  <si>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</si>
  <si>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</si>
  <si>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</si>
  <si>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</si>
  <si>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</si>
  <si>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</si>
  <si>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</si>
  <si>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</si>
  <si>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</si>
  <si>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</si>
  <si>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</si>
  <si>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</si>
  <si>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</si>
  <si>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</si>
  <si>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</si>
  <si>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</si>
  <si>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</si>
  <si>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</si>
  <si>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</si>
  <si>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</si>
  <si>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</si>
  <si>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</si>
  <si>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</si>
  <si>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</si>
  <si>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</si>
  <si>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</si>
  <si>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</si>
  <si>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</si>
  <si>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</si>
  <si>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</si>
  <si>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</si>
  <si>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</si>
  <si>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</si>
  <si>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</si>
  <si>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</si>
  <si>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</si>
  <si>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</si>
  <si>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</si>
  <si>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</si>
  <si>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</si>
  <si>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</si>
  <si>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</si>
  <si>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</si>
  <si>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</si>
  <si>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</si>
  <si>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</si>
  <si>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</si>
  <si>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</si>
  <si>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</si>
  <si>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</si>
  <si>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</si>
  <si>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</si>
  <si>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</si>
  <si>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</si>
  <si>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</si>
  <si>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</si>
  <si>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</si>
  <si>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</si>
  <si>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</si>
  <si>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</si>
  <si>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</si>
  <si>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</si>
  <si>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</si>
  <si>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</si>
  <si>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</si>
  <si>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</si>
  <si>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</si>
  <si>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</si>
  <si>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</si>
  <si>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</si>
  <si>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</si>
  <si>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</si>
  <si>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</si>
  <si>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</si>
  <si>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</si>
  <si>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</si>
  <si>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</si>
  <si>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</si>
  <si>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</si>
  <si>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</si>
  <si>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</si>
  <si>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</si>
  <si>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</si>
  <si>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</si>
  <si>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</si>
  <si>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</si>
  <si>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</si>
  <si>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</si>
  <si>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</si>
  <si>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</si>
  <si>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</si>
  <si>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</si>
  <si>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</si>
  <si>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</si>
  <si>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</si>
  <si>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</si>
  <si>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</si>
  <si>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</si>
  <si>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</si>
  <si>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</si>
  <si>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</si>
  <si>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</si>
  <si>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</si>
  <si>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</si>
  <si>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</si>
  <si>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</si>
  <si>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</si>
  <si>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</si>
  <si>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</si>
  <si>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</si>
  <si>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</si>
  <si>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</si>
  <si>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</si>
  <si>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</si>
  <si>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</si>
  <si>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</si>
  <si>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</si>
  <si>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</si>
  <si>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</si>
  <si>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</si>
  <si>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</si>
  <si>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</si>
  <si>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</si>
  <si>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</si>
  <si>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</si>
  <si>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</si>
  <si>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</si>
  <si>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</si>
  <si>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</si>
  <si>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</si>
  <si>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</si>
  <si>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</si>
  <si>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</si>
  <si>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</si>
  <si>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</si>
  <si>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</si>
  <si>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</si>
  <si>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</si>
  <si>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</si>
  <si>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</si>
  <si>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</si>
  <si>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</si>
  <si>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</si>
  <si>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</si>
  <si>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</si>
  <si>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</si>
  <si>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</si>
  <si>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</si>
  <si>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</si>
  <si>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</si>
  <si>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</si>
  <si>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</si>
  <si>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</si>
  <si>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</si>
  <si>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</si>
  <si>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</si>
  <si>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</si>
  <si>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</si>
  <si>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</si>
  <si>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</si>
  <si>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</si>
  <si>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</si>
  <si>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</si>
  <si>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</si>
  <si>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</si>
  <si>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</si>
  <si>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</si>
  <si>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</si>
  <si>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</si>
  <si>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</si>
  <si>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</si>
  <si>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</si>
  <si>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</si>
  <si>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</si>
  <si>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</si>
  <si>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</si>
  <si>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</si>
  <si>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</si>
  <si>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</si>
  <si>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</si>
  <si>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</si>
  <si>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</si>
  <si>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</si>
  <si>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</si>
  <si>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</si>
  <si>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</si>
  <si>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</si>
  <si>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</si>
  <si>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</si>
  <si>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</si>
  <si>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</si>
  <si>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</si>
  <si>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</si>
  <si>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</si>
  <si>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</si>
  <si>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</si>
  <si>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</si>
  <si>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</si>
  <si>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</si>
  <si>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</si>
  <si>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</si>
  <si>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</si>
  <si>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</si>
  <si>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</si>
  <si>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</si>
  <si>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</si>
  <si>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</si>
  <si>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</si>
  <si>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</si>
  <si>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</si>
  <si>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</si>
  <si>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</si>
  <si>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</si>
  <si>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</si>
  <si>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</si>
  <si>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</si>
  <si>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</si>
  <si>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</si>
  <si>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</si>
  <si>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</si>
  <si>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</si>
  <si>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</si>
  <si>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</si>
  <si>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</si>
  <si>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</si>
  <si>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</si>
  <si>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</si>
  <si>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</si>
  <si>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</si>
  <si>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</si>
  <si>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</si>
  <si>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</si>
  <si>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</si>
  <si>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</si>
  <si>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</si>
  <si>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</si>
  <si>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</si>
  <si>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</si>
  <si>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</si>
  <si>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</si>
  <si>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</si>
  <si>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</si>
  <si>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</si>
  <si>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</si>
  <si>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</si>
  <si>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</si>
  <si>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</si>
  <si>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</si>
  <si>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</si>
  <si>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</si>
  <si>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</si>
  <si>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</si>
  <si>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</si>
  <si>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</si>
  <si>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</si>
  <si>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</si>
  <si>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</si>
  <si>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</si>
  <si>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</si>
  <si>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</si>
  <si>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</si>
  <si>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</si>
  <si>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</si>
  <si>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</si>
  <si>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</si>
  <si>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</si>
  <si>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</si>
  <si>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</si>
  <si>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</si>
  <si>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</si>
  <si>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</si>
  <si>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</si>
  <si>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</si>
  <si>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</si>
  <si>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</si>
  <si>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</si>
  <si>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</si>
  <si>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</si>
  <si>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</si>
  <si>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</si>
  <si>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</si>
  <si>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</si>
  <si>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</si>
  <si>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</si>
  <si>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</si>
  <si>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</si>
  <si>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</si>
  <si>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</si>
  <si>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</si>
  <si>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</si>
  <si>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</si>
  <si>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</si>
  <si>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</si>
  <si>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</si>
  <si>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</si>
  <si>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</si>
  <si>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</si>
  <si>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</si>
  <si>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</si>
  <si>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</si>
  <si>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</si>
  <si>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</si>
  <si>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</si>
  <si>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</si>
  <si>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</si>
  <si>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</si>
  <si>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</si>
  <si>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</si>
  <si>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</si>
  <si>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</si>
  <si>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</si>
  <si>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</si>
  <si>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</si>
  <si>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</si>
  <si>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</si>
  <si>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</si>
  <si>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</si>
  <si>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</si>
  <si>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</si>
  <si>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</si>
  <si>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</si>
  <si>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</si>
  <si>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</si>
  <si>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</si>
  <si>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</si>
  <si>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</si>
  <si>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</si>
  <si>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</si>
  <si>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</si>
  <si>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</si>
  <si>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</si>
  <si>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</si>
  <si>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</si>
  <si>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</si>
  <si>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</si>
  <si>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</si>
  <si>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</si>
  <si>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</si>
  <si>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</si>
  <si>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</si>
  <si>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</si>
  <si>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</si>
  <si>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</si>
  <si>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</si>
  <si>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</si>
  <si>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</si>
  <si>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</si>
  <si>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</si>
  <si>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</si>
  <si>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</si>
  <si>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</si>
  <si>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</si>
  <si>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</si>
  <si>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</si>
  <si>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</si>
  <si>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</si>
  <si>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</si>
  <si>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</si>
  <si>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</si>
  <si>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</si>
  <si>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</si>
  <si>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</si>
  <si>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</si>
  <si>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</si>
  <si>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</si>
  <si>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</si>
  <si>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</si>
  <si>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</si>
  <si>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</si>
  <si>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</si>
  <si>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</si>
  <si>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</si>
  <si>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</si>
  <si>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</si>
  <si>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</si>
  <si>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</si>
  <si>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</si>
  <si>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</si>
  <si>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</si>
  <si>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</si>
  <si>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</si>
  <si>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</si>
  <si>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</si>
  <si>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</si>
  <si>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</si>
  <si>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</si>
  <si>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</si>
  <si>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</si>
  <si>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</si>
  <si>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</si>
  <si>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</si>
  <si>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</si>
  <si>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</si>
  <si>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</si>
  <si>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</si>
  <si>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</si>
  <si>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</si>
  <si>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</si>
  <si>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</si>
  <si>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</si>
  <si>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</si>
  <si>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</si>
  <si>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</si>
  <si>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</si>
  <si>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</si>
  <si>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</si>
  <si>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</si>
  <si>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</si>
  <si>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</si>
  <si>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</si>
  <si>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</si>
  <si>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</si>
  <si>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</si>
  <si>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</si>
  <si>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</si>
  <si>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</si>
  <si>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</si>
  <si>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</si>
  <si>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</si>
  <si>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</si>
  <si>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</si>
  <si>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</si>
  <si>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</si>
  <si>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</si>
  <si>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</si>
  <si>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</si>
  <si>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</si>
  <si>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</si>
  <si>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</si>
  <si>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</si>
  <si>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</si>
  <si>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</si>
  <si>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</si>
  <si>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</si>
  <si>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</si>
  <si>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</si>
  <si>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</si>
  <si>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</si>
  <si>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</si>
  <si>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</si>
  <si>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</si>
  <si>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</si>
  <si>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</si>
  <si>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</si>
  <si>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</si>
  <si>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</si>
  <si>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</si>
  <si>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</si>
  <si>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</si>
  <si>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</si>
  <si>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</si>
  <si>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</si>
  <si>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</si>
  <si>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</si>
  <si>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</si>
  <si>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</si>
  <si>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</si>
  <si>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</si>
  <si>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</si>
  <si>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</si>
  <si>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</si>
  <si>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</si>
  <si>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</si>
  <si>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</si>
  <si>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</si>
  <si>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</si>
  <si>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</si>
  <si>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</si>
  <si>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</si>
  <si>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</si>
  <si>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</si>
  <si>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</si>
  <si>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</si>
  <si>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</si>
  <si>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</si>
  <si>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</si>
  <si>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</si>
  <si>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</si>
  <si>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</si>
  <si>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</si>
  <si>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</si>
  <si>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</si>
  <si>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</si>
  <si>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</si>
  <si>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</si>
  <si>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</si>
  <si>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</si>
  <si>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</si>
  <si>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</si>
  <si>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</si>
  <si>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</si>
  <si>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</si>
  <si>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</si>
  <si>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</si>
  <si>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</si>
  <si>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</si>
  <si>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</si>
  <si>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</si>
  <si>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</si>
  <si>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</si>
  <si>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</si>
  <si>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</si>
  <si>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</si>
  <si>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</si>
  <si>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</si>
  <si>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</si>
  <si>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</si>
  <si>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</si>
  <si>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</si>
  <si>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</si>
  <si>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</si>
  <si>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</si>
  <si>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</si>
  <si>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</si>
  <si>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</si>
  <si>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</si>
  <si>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</si>
  <si>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</si>
  <si>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</si>
  <si>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</si>
  <si>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</si>
  <si>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</si>
  <si>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</si>
  <si>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</si>
  <si>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</si>
  <si>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</si>
  <si>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</si>
  <si>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</si>
  <si>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</si>
  <si>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</si>
  <si>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</si>
  <si>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</si>
  <si>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</si>
  <si>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</si>
  <si>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</si>
  <si>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</si>
  <si>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</si>
  <si>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</si>
  <si>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</si>
  <si>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</si>
  <si>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</si>
  <si>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</si>
  <si>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</si>
  <si>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</si>
  <si>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</si>
  <si>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</si>
  <si>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</si>
  <si>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</si>
  <si>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</si>
  <si>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</si>
  <si>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</si>
  <si>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</si>
  <si>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</si>
  <si>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</si>
  <si>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</si>
  <si>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</si>
  <si>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</si>
  <si>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</si>
  <si>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</si>
  <si>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</si>
  <si>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</si>
  <si>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</si>
  <si>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</si>
  <si>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</si>
  <si>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</si>
  <si>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</si>
  <si>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</si>
  <si>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</si>
  <si>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</si>
  <si>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</si>
  <si>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</si>
  <si>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</si>
  <si>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</si>
  <si>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</si>
  <si>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</si>
  <si>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</si>
  <si>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</si>
  <si>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</si>
  <si>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</si>
  <si>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</si>
  <si>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</si>
  <si>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</si>
  <si>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</si>
  <si>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</si>
  <si>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</si>
  <si>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</si>
  <si>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</si>
  <si>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</si>
  <si>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</si>
  <si>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</si>
  <si>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</si>
  <si>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</si>
  <si>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</si>
  <si>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</si>
  <si>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</si>
  <si>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</si>
  <si>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</si>
  <si>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</si>
  <si>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</si>
  <si>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</si>
  <si>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</si>
  <si>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</si>
  <si>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</si>
  <si>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</si>
  <si>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</si>
  <si>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</si>
  <si>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</si>
  <si>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</si>
  <si>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</si>
  <si>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</si>
  <si>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</si>
  <si>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</si>
  <si>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</si>
  <si>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</si>
  <si>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</si>
  <si>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</si>
  <si>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</si>
  <si>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</si>
  <si>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</si>
  <si>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</si>
  <si>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</si>
  <si>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</si>
  <si>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</si>
  <si>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</si>
  <si>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</si>
  <si>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</si>
  <si>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</si>
  <si>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</si>
  <si>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</si>
  <si>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</si>
  <si>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</si>
  <si>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</si>
  <si>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</si>
  <si>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</si>
  <si>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</si>
  <si>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</si>
  <si>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</si>
  <si>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</si>
  <si>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</si>
  <si>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</si>
  <si>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</si>
  <si>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</si>
  <si>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</si>
  <si>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</si>
  <si>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</si>
  <si>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</si>
  <si>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</si>
  <si>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</si>
  <si>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</si>
  <si>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</si>
  <si>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</si>
  <si>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</si>
  <si>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</si>
  <si>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</si>
  <si>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</si>
  <si>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</si>
  <si>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</si>
  <si>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</si>
  <si>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</si>
  <si>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</si>
  <si>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</si>
  <si>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</si>
  <si>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</si>
  <si>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</si>
  <si>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</si>
  <si>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</si>
  <si>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</si>
  <si>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</si>
  <si>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</si>
  <si>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</si>
  <si>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</si>
  <si>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</si>
  <si>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</si>
  <si>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</si>
  <si>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</si>
  <si>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</si>
  <si>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</si>
  <si>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</si>
  <si>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</si>
  <si>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</si>
  <si>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</si>
  <si>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</si>
  <si>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</si>
  <si>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</si>
  <si>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</si>
  <si>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</si>
  <si>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</si>
  <si>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</si>
  <si>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</si>
  <si>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</si>
  <si>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</si>
  <si>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</si>
  <si>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</si>
  <si>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</si>
  <si>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</si>
  <si>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</si>
  <si>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</si>
  <si>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</si>
  <si>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</si>
  <si>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</si>
  <si>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</si>
  <si>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</si>
  <si>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</si>
  <si>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</si>
  <si>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</si>
  <si>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</si>
  <si>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</si>
  <si>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</si>
  <si>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</si>
  <si>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</si>
  <si>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</si>
  <si>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</si>
  <si>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</si>
  <si>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</si>
  <si>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</si>
  <si>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</si>
  <si>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</si>
  <si>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</si>
  <si>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</si>
  <si>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</si>
  <si>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</si>
  <si>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</si>
  <si>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</si>
  <si>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</si>
  <si>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</si>
  <si>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</si>
  <si>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</si>
  <si>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</si>
  <si>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</si>
  <si>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</si>
  <si>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</si>
  <si>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</si>
  <si>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</si>
  <si>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</si>
  <si>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</si>
  <si>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</si>
  <si>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</si>
  <si>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</si>
  <si>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</si>
  <si>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</si>
  <si>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</si>
  <si>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</si>
  <si>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</si>
  <si>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</si>
  <si>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</si>
  <si>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</si>
  <si>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</si>
  <si>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</si>
  <si>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</si>
  <si>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</si>
  <si>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</si>
  <si>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</si>
  <si>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</si>
  <si>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</si>
  <si>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</si>
  <si>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</si>
  <si>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</si>
  <si>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</si>
  <si>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</si>
  <si>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</si>
  <si>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</si>
  <si>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</si>
  <si>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</si>
  <si>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</si>
  <si>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</si>
  <si>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</si>
  <si>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</si>
  <si>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</si>
  <si>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</si>
  <si>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</si>
  <si>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</si>
  <si>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</si>
  <si>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</si>
  <si>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</si>
  <si>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</si>
  <si>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</si>
  <si>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</si>
  <si>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</si>
  <si>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</si>
  <si>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</si>
  <si>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</si>
  <si>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</si>
  <si>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</si>
  <si>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</si>
  <si>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</si>
  <si>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</si>
  <si>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</si>
  <si>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</si>
  <si>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</si>
  <si>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</si>
  <si>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</si>
  <si>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</si>
  <si>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</si>
  <si>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</si>
  <si>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</si>
  <si>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</si>
  <si>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</si>
  <si>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</si>
  <si>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</si>
  <si>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</si>
  <si>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</si>
  <si>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</si>
  <si>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</si>
  <si>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</si>
  <si>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</si>
  <si>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</si>
  <si>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</si>
  <si>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</si>
  <si>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</si>
  <si>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</si>
  <si>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</si>
  <si>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</si>
  <si>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</si>
  <si>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</si>
  <si>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</si>
  <si>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</si>
  <si>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</si>
  <si>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</si>
  <si>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</si>
  <si>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</si>
  <si>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</si>
  <si>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</si>
  <si>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</si>
  <si>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</si>
  <si>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</si>
  <si>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</si>
  <si>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</si>
  <si>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</si>
  <si>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</si>
  <si>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</si>
  <si>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</si>
  <si>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</si>
  <si>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</si>
  <si>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</si>
  <si>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</si>
  <si>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</si>
  <si>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</si>
  <si>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</si>
  <si>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</si>
  <si>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</si>
  <si>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</si>
  <si>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</si>
  <si>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</si>
  <si>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</si>
  <si>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</si>
  <si>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</si>
  <si>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</si>
  <si>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</si>
  <si>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</si>
  <si>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</si>
  <si>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</si>
  <si>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</si>
  <si>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</si>
  <si>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</si>
  <si>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</si>
  <si>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</si>
  <si>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</si>
  <si>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</si>
  <si>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</si>
  <si>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</si>
  <si>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</si>
  <si>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</si>
  <si>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</si>
  <si>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</si>
  <si>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</si>
  <si>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</si>
  <si>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</si>
  <si>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</si>
  <si>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</si>
  <si>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</si>
  <si>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</si>
  <si>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</si>
  <si>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</si>
  <si>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</si>
  <si>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</si>
  <si>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</si>
  <si>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</si>
  <si>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</si>
  <si>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</si>
  <si>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</si>
  <si>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</si>
  <si>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</si>
  <si>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</si>
  <si>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</si>
  <si>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</si>
  <si>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</si>
  <si>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</si>
  <si>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</si>
  <si>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</si>
  <si>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</si>
  <si>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</si>
  <si>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</si>
  <si>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</si>
  <si>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</si>
  <si>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</si>
  <si>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</si>
  <si>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</si>
  <si>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</si>
  <si>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</si>
  <si>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</si>
  <si>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</si>
  <si>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</si>
  <si>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</si>
  <si>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</si>
  <si>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</si>
  <si>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</si>
  <si>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</si>
  <si>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</si>
  <si>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</si>
  <si>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</si>
  <si>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</si>
  <si>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</si>
  <si>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</si>
  <si>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</si>
  <si>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</si>
  <si>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</si>
  <si>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</si>
  <si>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</si>
  <si>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</si>
  <si>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</si>
  <si>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</si>
  <si>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</si>
  <si>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</si>
  <si>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</si>
  <si>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</si>
  <si>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</si>
  <si>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</si>
  <si>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</si>
  <si>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</si>
  <si>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</si>
  <si>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</si>
  <si>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</si>
  <si>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</si>
  <si>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</si>
  <si>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</si>
  <si>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</si>
  <si>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</si>
  <si>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</si>
  <si>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</si>
  <si>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</si>
  <si>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</si>
  <si>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</si>
  <si>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</si>
  <si>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</si>
  <si>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</si>
  <si>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</si>
  <si>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</si>
  <si>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</si>
  <si>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</si>
  <si>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</si>
  <si>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</si>
  <si>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</si>
  <si>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</si>
  <si>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</si>
  <si>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</si>
  <si>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</si>
  <si>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</si>
  <si>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</si>
  <si>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</si>
  <si>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</si>
  <si>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</si>
  <si>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</si>
  <si>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</si>
  <si>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</si>
  <si>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</si>
  <si>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</si>
  <si>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</si>
  <si>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</si>
  <si>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</si>
  <si>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</si>
  <si>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</si>
  <si>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</si>
  <si>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</si>
  <si>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</si>
  <si>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</si>
  <si>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</si>
  <si>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</si>
  <si>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</si>
  <si>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</si>
  <si>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</si>
  <si>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</si>
  <si>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</si>
  <si>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</si>
  <si>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</si>
  <si>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</si>
  <si>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</si>
  <si>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</si>
  <si>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</si>
  <si>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</si>
  <si>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</si>
  <si>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</si>
  <si>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</si>
  <si>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</si>
  <si>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</si>
  <si>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</si>
  <si>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</si>
  <si>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</si>
  <si>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</si>
  <si>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</si>
  <si>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</si>
  <si>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</si>
  <si>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</si>
  <si>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</si>
  <si>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</si>
  <si>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</si>
  <si>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</si>
  <si>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</si>
  <si>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</si>
  <si>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</si>
  <si>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</si>
  <si>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</si>
  <si>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</si>
  <si>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</si>
  <si>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</si>
  <si>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</si>
  <si>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</si>
  <si>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</si>
  <si>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</si>
  <si>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</si>
  <si>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</si>
  <si>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</si>
  <si>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</si>
  <si>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</si>
  <si>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</si>
  <si>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</si>
  <si>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</si>
  <si>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</si>
  <si>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</si>
  <si>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</si>
  <si>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</si>
  <si>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</si>
  <si>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</si>
  <si>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</si>
  <si>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</si>
  <si>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</si>
  <si>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</si>
  <si>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</si>
  <si>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</si>
  <si>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</si>
  <si>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</si>
  <si>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</si>
  <si>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</si>
  <si>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</si>
  <si>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</si>
  <si>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</si>
  <si>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</si>
  <si>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</si>
  <si>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</si>
  <si>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</si>
  <si>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</si>
  <si>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</si>
  <si>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</si>
  <si>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</si>
  <si>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</si>
  <si>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</si>
  <si>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</si>
  <si>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</si>
  <si>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</si>
  <si>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</si>
  <si>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</si>
  <si>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</si>
  <si>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</si>
  <si>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</si>
  <si>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</si>
  <si>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</si>
  <si>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</si>
  <si>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</si>
  <si>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</si>
  <si>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</si>
  <si>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</si>
  <si>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</si>
  <si>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</si>
  <si>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</si>
  <si>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</si>
  <si>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</si>
  <si>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</si>
  <si>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</si>
  <si>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</si>
  <si>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</si>
  <si>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</si>
  <si>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</si>
  <si>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</si>
  <si>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</si>
  <si>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</si>
  <si>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</si>
  <si>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</si>
  <si>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</si>
  <si>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</si>
  <si>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</si>
  <si>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</si>
  <si>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</si>
  <si>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</si>
  <si>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</si>
  <si>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</si>
  <si>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</si>
  <si>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</si>
  <si>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</si>
  <si>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</si>
  <si>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</si>
  <si>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</si>
  <si>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</si>
  <si>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</si>
  <si>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</si>
  <si>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</si>
  <si>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</si>
  <si>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</si>
  <si>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</si>
  <si>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</si>
  <si>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</si>
  <si>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</si>
  <si>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</si>
  <si>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</si>
  <si>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</si>
  <si>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</si>
  <si>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</si>
  <si>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</si>
  <si>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</si>
  <si>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</si>
  <si>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</si>
  <si>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</si>
  <si>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</si>
  <si>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</si>
  <si>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</si>
  <si>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</si>
  <si>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</si>
  <si>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</si>
  <si>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</si>
  <si>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</si>
  <si>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</si>
  <si>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</si>
  <si>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</si>
  <si>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</si>
  <si>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</si>
  <si>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</si>
  <si>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</si>
  <si>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</si>
  <si>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</si>
  <si>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</si>
  <si>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</si>
  <si>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</si>
  <si>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</si>
  <si>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</si>
  <si>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</si>
  <si>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</si>
  <si>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</si>
  <si>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</si>
  <si>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</si>
  <si>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</si>
  <si>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</si>
  <si>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</si>
  <si>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</si>
  <si>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</si>
  <si>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</si>
  <si>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</si>
  <si>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</si>
  <si>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</si>
  <si>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</si>
  <si>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</si>
  <si>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</si>
  <si>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</si>
  <si>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</si>
  <si>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</si>
  <si>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</si>
  <si>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</si>
  <si>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</si>
  <si>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</si>
  <si>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</si>
  <si>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</si>
  <si>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</si>
  <si>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</si>
  <si>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</si>
  <si>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</si>
  <si>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</si>
  <si>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</si>
  <si>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</si>
  <si>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</si>
  <si>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</si>
  <si>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</si>
  <si>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</si>
  <si>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</si>
  <si>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</si>
  <si>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</si>
  <si>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</si>
  <si>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</si>
  <si>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</si>
  <si>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</si>
  <si>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</si>
  <si>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</si>
  <si>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</si>
  <si>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</si>
  <si>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</si>
  <si>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</si>
  <si>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</si>
  <si>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</si>
  <si>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</si>
  <si>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</si>
  <si>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</si>
  <si>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</si>
  <si>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</si>
  <si>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</si>
  <si>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</si>
  <si>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</si>
  <si>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</si>
  <si>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</si>
  <si>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</si>
  <si>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</si>
  <si>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</si>
  <si>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</si>
  <si>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</si>
  <si>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</si>
  <si>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</si>
  <si>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</si>
  <si>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</si>
  <si>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</si>
  <si>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</si>
  <si>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</si>
  <si>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</si>
  <si>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</si>
  <si>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</si>
  <si>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</si>
  <si>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</si>
  <si>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</si>
  <si>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</si>
  <si>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</si>
  <si>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</si>
  <si>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</si>
  <si>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</si>
  <si>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</si>
  <si>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</si>
  <si>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</si>
  <si>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</si>
  <si>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</si>
  <si>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</si>
  <si>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</si>
  <si>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</si>
  <si>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</si>
  <si>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</si>
  <si>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</si>
  <si>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</si>
  <si>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</si>
  <si>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</si>
  <si>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</si>
  <si>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</si>
  <si>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</si>
  <si>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</si>
  <si>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</si>
  <si>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</si>
  <si>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</si>
  <si>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</si>
  <si>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</si>
  <si>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</si>
  <si>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</si>
  <si>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</si>
  <si>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</si>
  <si>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</si>
  <si>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</si>
  <si>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</si>
  <si>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</si>
  <si>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</si>
  <si>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</si>
  <si>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</si>
  <si>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</si>
  <si>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</si>
  <si>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</si>
  <si>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</si>
  <si>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</si>
  <si>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</si>
  <si>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</si>
  <si>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</si>
  <si>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</si>
  <si>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</si>
  <si>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</si>
  <si>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</si>
  <si>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</si>
  <si>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</si>
  <si>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</si>
  <si>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</si>
  <si>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</si>
  <si>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</si>
  <si>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</si>
  <si>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</si>
  <si>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</si>
  <si>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</si>
  <si>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</si>
  <si>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</si>
  <si>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</si>
  <si>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</si>
  <si>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</si>
  <si>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</si>
  <si>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</si>
  <si>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</si>
  <si>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</si>
  <si>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</si>
  <si>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</si>
  <si>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</si>
  <si>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</si>
  <si>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</si>
  <si>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</si>
  <si>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</si>
  <si>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</si>
  <si>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</si>
  <si>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</si>
  <si>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</si>
  <si>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</si>
  <si>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</si>
  <si>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</si>
  <si>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</si>
  <si>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</si>
  <si>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</si>
  <si>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</si>
  <si>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</si>
  <si>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</si>
  <si>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</si>
  <si>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</si>
  <si>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</si>
  <si>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</si>
  <si>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</si>
  <si>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</si>
  <si>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</si>
  <si>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</si>
  <si>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</si>
  <si>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</si>
  <si>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</si>
  <si>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</si>
  <si>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</si>
  <si>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</si>
  <si>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</si>
  <si>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</si>
  <si>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</si>
  <si>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</si>
  <si>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</si>
  <si>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</si>
  <si>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</si>
  <si>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</si>
  <si>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</si>
  <si>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</si>
  <si>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</si>
  <si>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</si>
  <si>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</si>
  <si>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</si>
  <si>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</si>
  <si>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</si>
  <si>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</si>
  <si>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</si>
  <si>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</si>
  <si>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</si>
  <si>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</si>
  <si>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</si>
  <si>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</si>
  <si>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</si>
  <si>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</si>
  <si>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</si>
  <si>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</si>
  <si>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</si>
  <si>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</si>
  <si>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</si>
  <si>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</si>
  <si>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</si>
  <si>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</si>
  <si>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</si>
  <si>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</si>
  <si>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</si>
  <si>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</si>
  <si>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</si>
  <si>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</si>
  <si>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</si>
  <si>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</si>
  <si>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</si>
  <si>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</si>
  <si>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</si>
  <si>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</si>
  <si>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</si>
  <si>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</si>
  <si>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</si>
  <si>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</si>
  <si>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</si>
  <si>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</si>
  <si>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</si>
  <si>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</si>
  <si>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</si>
  <si>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</si>
  <si>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</si>
  <si>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</si>
  <si>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</si>
  <si>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</si>
  <si>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</si>
  <si>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</si>
  <si>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</si>
  <si>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</si>
  <si>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</si>
  <si>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</si>
  <si>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</si>
  <si>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</si>
  <si>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</si>
  <si>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</si>
  <si>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</si>
  <si>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</si>
  <si>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</si>
  <si>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</si>
  <si>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</si>
  <si>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</si>
  <si>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</si>
  <si>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</si>
  <si>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</si>
  <si>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</si>
  <si>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</si>
  <si>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</si>
  <si>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</si>
  <si>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</si>
  <si>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</si>
  <si>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</si>
  <si>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</si>
  <si>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</si>
  <si>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</si>
  <si>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</si>
  <si>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</si>
  <si>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</si>
  <si>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</si>
  <si>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</si>
  <si>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</si>
  <si>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</si>
  <si>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</si>
  <si>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</si>
  <si>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</si>
  <si>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</si>
  <si>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</si>
  <si>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</si>
  <si>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</si>
  <si>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</si>
  <si>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</si>
  <si>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</si>
  <si>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</si>
  <si>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</si>
  <si>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</si>
  <si>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</si>
  <si>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</si>
  <si>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</si>
  <si>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</si>
  <si>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</si>
  <si>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</si>
  <si>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</si>
  <si>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</si>
  <si>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</si>
  <si>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</si>
  <si>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</si>
  <si>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</si>
  <si>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</si>
  <si>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</si>
  <si>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</si>
  <si>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</si>
  <si>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</si>
  <si>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</si>
  <si>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</si>
  <si>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</si>
  <si>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</si>
  <si>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</si>
  <si>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</si>
  <si>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</si>
  <si>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</si>
  <si>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</si>
  <si>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</si>
  <si>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</si>
  <si>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</si>
  <si>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</si>
  <si>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</si>
  <si>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</si>
  <si>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</si>
  <si>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</si>
  <si>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</si>
  <si>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</si>
  <si>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</si>
  <si>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</si>
  <si>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</si>
  <si>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</si>
  <si>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</si>
  <si>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</si>
  <si>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</si>
  <si>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</si>
  <si>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</si>
  <si>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</si>
  <si>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</si>
  <si>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</si>
  <si>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</si>
  <si>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</si>
  <si>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</si>
  <si>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</si>
  <si>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</si>
  <si>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</si>
  <si>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</si>
  <si>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</si>
  <si>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</si>
  <si>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</si>
  <si>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</si>
  <si>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</si>
  <si>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</si>
  <si>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</si>
  <si>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</si>
  <si>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</si>
  <si>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</si>
  <si>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</si>
  <si>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</si>
  <si>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</si>
  <si>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</si>
  <si>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</si>
  <si>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</si>
  <si>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</si>
  <si>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</si>
  <si>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</si>
  <si>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</si>
  <si>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</si>
  <si>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</si>
  <si>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</si>
  <si>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</si>
  <si>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</si>
  <si>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</si>
  <si>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</si>
  <si>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</si>
  <si>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</si>
  <si>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</si>
  <si>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</si>
  <si>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</si>
  <si>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</si>
  <si>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</si>
  <si>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</si>
  <si>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</si>
  <si>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</si>
  <si>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</si>
  <si>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</si>
  <si>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</si>
  <si>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</si>
  <si>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</si>
  <si>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</si>
  <si>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</si>
  <si>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</si>
  <si>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</si>
  <si>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</si>
  <si>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</si>
  <si>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</si>
  <si>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Ⅱ—01</t>
  </si>
  <si>
    <t>抵押</t>
  </si>
  <si>
    <t>房地产抵押价值</t>
  </si>
  <si>
    <t>北京市</t>
  </si>
  <si>
    <t>自然人</t>
  </si>
  <si>
    <t>是</t>
  </si>
  <si>
    <t>地上</t>
  </si>
  <si>
    <t>住宅</t>
  </si>
  <si>
    <t>住宅</t>
    <phoneticPr fontId="7" type="noConversion"/>
  </si>
  <si>
    <t>利息：取LPR加浮动点数</t>
  </si>
  <si>
    <t>成新度</t>
  </si>
  <si>
    <t>城镇住宅用地</t>
  </si>
  <si>
    <t>自定义容积率</t>
  </si>
  <si>
    <t>有</t>
  </si>
  <si>
    <t>500米范围内</t>
  </si>
  <si>
    <t>与级别开发程度一致</t>
  </si>
  <si>
    <t>较好</t>
  </si>
  <si>
    <t>好</t>
  </si>
  <si>
    <t>一般</t>
  </si>
  <si>
    <t>未包含在土地购买价格中</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</si>
  <si>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</si>
  <si>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</si>
  <si>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</si>
  <si>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</si>
  <si>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</si>
  <si>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</si>
  <si>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</si>
  <si>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</si>
  <si>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</si>
  <si>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</si>
  <si>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</si>
  <si>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</si>
  <si>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</si>
  <si>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</si>
  <si>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</si>
  <si>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</si>
  <si>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</si>
  <si>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</si>
  <si>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</si>
  <si>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</si>
  <si>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</si>
  <si>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</si>
  <si>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</si>
  <si>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东城区</t>
    <phoneticPr fontId="134" type="noConversion"/>
  </si>
  <si>
    <t>新太仓</t>
    <phoneticPr fontId="134" type="noConversion"/>
  </si>
  <si>
    <r>
      <t>5北</t>
    </r>
    <r>
      <rPr>
        <sz val="11"/>
        <color theme="1"/>
        <rFont val="宋体"/>
        <family val="3"/>
        <charset val="134"/>
        <scheme val="minor"/>
      </rPr>
      <t>5南3东3西</t>
    </r>
    <phoneticPr fontId="134" type="noConversion"/>
  </si>
  <si>
    <t>北锣鼓巷</t>
    <phoneticPr fontId="134" type="noConversion"/>
  </si>
  <si>
    <t>4北4南2东</t>
    <phoneticPr fontId="134" type="noConversion"/>
  </si>
  <si>
    <t>南锣鼓巷</t>
    <phoneticPr fontId="134" type="noConversion"/>
  </si>
  <si>
    <t>新翻建</t>
    <phoneticPr fontId="134" type="noConversion"/>
  </si>
  <si>
    <t>售价</t>
  </si>
  <si>
    <t>全部缴纳</t>
  </si>
  <si>
    <t>项目模式</t>
  </si>
  <si>
    <t>正常</t>
    <phoneticPr fontId="24" type="noConversion"/>
  </si>
  <si>
    <t>正常</t>
    <phoneticPr fontId="24" type="noConversion"/>
  </si>
  <si>
    <t>土地面积</t>
    <phoneticPr fontId="134" type="noConversion"/>
  </si>
  <si>
    <t>总价</t>
  </si>
  <si>
    <t>总价</t>
    <phoneticPr fontId="134" type="noConversion"/>
  </si>
  <si>
    <t>地面单价</t>
    <phoneticPr fontId="134" type="noConversion"/>
  </si>
  <si>
    <t>建筑面积</t>
    <phoneticPr fontId="134" type="noConversion"/>
  </si>
  <si>
    <t>容积率描述</t>
    <phoneticPr fontId="2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</si>
  <si>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</si>
  <si>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</si>
  <si>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</si>
  <si>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精装</t>
    <phoneticPr fontId="24" type="noConversion"/>
  </si>
  <si>
    <t>普装</t>
  </si>
  <si>
    <t>普装</t>
    <phoneticPr fontId="24" type="noConversion"/>
  </si>
  <si>
    <t>简装</t>
    <phoneticPr fontId="24" type="noConversion"/>
  </si>
  <si>
    <t>毛坯</t>
    <phoneticPr fontId="24" type="noConversion"/>
  </si>
  <si>
    <t>好</t>
    <phoneticPr fontId="24" type="noConversion"/>
  </si>
  <si>
    <t>较好</t>
    <phoneticPr fontId="24" type="noConversion"/>
  </si>
  <si>
    <t>比较法-住宅</t>
  </si>
  <si>
    <t>成本法</t>
  </si>
  <si>
    <t>简装</t>
    <phoneticPr fontId="2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</si>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</sst>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2023年1月13日</v>
      </c>
    </row>
    <row r="13" spans="1:2" s="1203" customFormat="1">
      <c r="A13" s="1201" t="s">
        <v>529</v>
      </c>
      <c r="B13" s="1202"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5982</v>
      </c>
    </row>
    <row r="21" spans="1:2" s="1203" customFormat="1">
      <c r="A21" s="1201" t="s">
        <v>537</v>
      </c>
      <c r="B21" s="1202">
        <f ca="1">'预评函-2'!D7</f>
        <v>373408</v>
      </c>
    </row>
    <row r="22" spans="1:2" s="1203" customFormat="1">
      <c r="A22" s="1201" t="s">
        <v>538</v>
      </c>
      <c r="B22" s="1202" t="str">
        <f ca="1">'预评函-2'!D6</f>
        <v>伍仟玖佰捌拾贰万元整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5982</v>
      </c>
    </row>
    <row r="31" spans="1:2" s="1203" customFormat="1">
      <c r="A31" s="1201" t="s">
        <v>576</v>
      </c>
      <c r="B31" s="1202">
        <f ca="1">'预评函-2'!D15</f>
        <v>373408</v>
      </c>
    </row>
    <row r="32" spans="1:2" s="1203" customFormat="1">
      <c r="A32" s="1201" t="s">
        <v>543</v>
      </c>
      <c r="B32" s="1202" t="str">
        <f ca="1">'预评函-2'!D14</f>
        <v>伍仟玖佰捌拾贰万元整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f ca="1">'预评函-3'!D4</f>
        <v>5761</v>
      </c>
    </row>
    <row r="48" spans="1:2" s="1203" customFormat="1">
      <c r="A48" s="1201" t="s">
        <v>549</v>
      </c>
      <c r="B48" s="1202">
        <f ca="1">'预评函-3'!E4</f>
        <v>359613</v>
      </c>
    </row>
    <row r="49" spans="1:2" s="1203" customFormat="1">
      <c r="A49" s="1201" t="s">
        <v>550</v>
      </c>
      <c r="B49" s="1202" t="str">
        <f ca="1">'预评函-3'!D5</f>
        <v>伍仟柒佰陆拾壹万元整</v>
      </c>
    </row>
    <row r="50" spans="1:2" s="1203" customFormat="1">
      <c r="A50" s="1201" t="s">
        <v>574</v>
      </c>
      <c r="B50" s="1202" t="str">
        <f>'预评函-3'!F2</f>
        <v>在建建筑物价值</v>
      </c>
    </row>
    <row r="51" spans="1:2" s="1203" customFormat="1">
      <c r="A51" s="1201" t="s">
        <v>551</v>
      </c>
      <c r="B51" s="1202">
        <f ca="1">'预评函-3'!F4</f>
        <v>221</v>
      </c>
    </row>
    <row r="52" spans="1:2" s="1203" customFormat="1">
      <c r="A52" s="1201" t="s">
        <v>552</v>
      </c>
      <c r="B52" s="1202">
        <f ca="1">'预评函-3'!G4</f>
        <v>13795</v>
      </c>
    </row>
    <row r="53" spans="1:2" s="1203" customFormat="1">
      <c r="A53" s="1201" t="s">
        <v>580</v>
      </c>
      <c r="B53" s="1202" t="str">
        <f ca="1">'预评函-3'!F5</f>
        <v>贰佰贰拾壹万元整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44939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5" sqref="C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44939</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6"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07"/>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66.83</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3"/>
      <c r="C16" s="3514"/>
      <c r="D16" s="3515"/>
      <c r="E16" s="2412" t="s">
        <v>2194</v>
      </c>
      <c r="F16" s="3516"/>
      <c r="G16" s="3517"/>
      <c r="H16" s="3517"/>
      <c r="I16" s="3518"/>
      <c r="J16" s="2438"/>
      <c r="K16" s="2616"/>
      <c r="L16" s="2450"/>
      <c r="M16" s="2450"/>
      <c r="N16" s="2508"/>
      <c r="O16" s="2450"/>
      <c r="P16" s="2508"/>
      <c r="Q16" s="2438"/>
      <c r="R16" s="2438"/>
    </row>
    <row r="17" spans="1:28">
      <c r="A17" s="313" t="s">
        <v>2195</v>
      </c>
      <c r="B17" s="302" t="s">
        <v>2196</v>
      </c>
      <c r="C17" s="8">
        <f>'数据-汇总表'!E3</f>
        <v>160.19999999999999</v>
      </c>
      <c r="D17" s="2321" t="s">
        <v>2197</v>
      </c>
      <c r="E17" s="3519" t="s">
        <v>2198</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22" t="s">
        <v>2202</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9" t="s">
        <v>2206</v>
      </c>
      <c r="C20" s="3510"/>
      <c r="D20" s="3511" t="s">
        <v>2207</v>
      </c>
      <c r="E20" s="3512"/>
      <c r="F20" s="2646" t="s">
        <v>1056</v>
      </c>
      <c r="G20" s="2663"/>
      <c r="H20" s="2663"/>
      <c r="I20" s="2663"/>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5" t="s">
        <v>2228</v>
      </c>
      <c r="T34" s="2427" t="str">
        <f>NUMBERSTRING(7-K34,1)&amp;"通"</f>
        <v>七通</v>
      </c>
      <c r="U34" s="2438"/>
      <c r="V34" s="2438"/>
    </row>
    <row r="35" spans="1:30">
      <c r="A35" s="2428"/>
      <c r="B35" s="3532" t="s">
        <v>2229</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3379</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8"/>
      <c r="G2" s="2649"/>
      <c r="H2" s="2650"/>
      <c r="I2" s="2324" t="s">
        <v>1132</v>
      </c>
      <c r="J2" s="2658"/>
      <c r="K2" s="2658"/>
      <c r="L2" s="2658"/>
      <c r="M2" s="2658"/>
      <c r="N2" s="2660"/>
      <c r="O2" s="2658"/>
      <c r="P2" s="2658"/>
    </row>
    <row r="3" spans="1:16" ht="15.75" thickBot="1">
      <c r="A3" s="3543" t="s">
        <v>1105</v>
      </c>
      <c r="B3" s="3543"/>
      <c r="C3" s="3543"/>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44"/>
      <c r="B4" s="3545"/>
      <c r="C4" s="3546"/>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47" t="s">
        <v>1110</v>
      </c>
      <c r="C5" s="3547"/>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47" t="s">
        <v>1111</v>
      </c>
      <c r="C6" s="3547"/>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39"/>
      <c r="B7" s="3540"/>
      <c r="C7" s="3541"/>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10" sqref="N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3386</v>
      </c>
      <c r="D6" s="858">
        <f>SUMIF(项目基本情况!C$12:I$12,C6,项目基本情况!C$14:I$14)</f>
        <v>70</v>
      </c>
      <c r="E6" s="857">
        <f>IF(B6="","",SUMIF(项目基本情况!C$12:H$12,C6,项目基本情况!C$13:H$13))</f>
        <v>69335</v>
      </c>
      <c r="F6" s="64">
        <f>SUMIF(项目基本情况!C$12:I$12,C6,项目基本情况!C$15:I$15)</f>
        <v>66.83</v>
      </c>
      <c r="G6" s="65">
        <f>IF(ISERROR(ROUND(POWER(1+H6,D6-F6)*(POWER(1+H6,F6)-1)/(POWER(1+H6,D6)-1),3)),0,ROUND(POWER(1+H6,D6-F6)*(POWER(1+H6,F6)-1)/(POWER(1+H6,D6)-1),3))</f>
        <v>0.99299999999999999</v>
      </c>
      <c r="H6" s="732">
        <v>4.4999999999999998E-2</v>
      </c>
      <c r="I6" s="732">
        <v>0.05</v>
      </c>
      <c r="J6" s="66">
        <v>6.5000000000000002E-2</v>
      </c>
      <c r="K6" s="1030">
        <f>SUMIF('数据-汇总表'!C$19:C$33,A6,'数据-汇总表'!E$19:E$33)</f>
        <v>160.19999999999999</v>
      </c>
      <c r="L6" s="3800">
        <v>4000</v>
      </c>
      <c r="M6" s="67">
        <f t="shared" ref="M6:M14" si="0">ROUND(K6*L6/10000,0)</f>
        <v>64</v>
      </c>
      <c r="N6" s="731">
        <f>ROUND(1-(1-2%)*(2023-N19)/50,2)</f>
        <v>0.96</v>
      </c>
      <c r="O6" s="67" t="str">
        <f>IF($N$5="成新度","——",ROUND(M6*N6,0))</f>
        <v>——</v>
      </c>
      <c r="P6" s="68" t="str">
        <f>IF($N$5="成新度","——",M6-O6)</f>
        <v>——</v>
      </c>
      <c r="Q6" s="3801">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0.99299999999999999</v>
      </c>
      <c r="H16" s="90">
        <f>ROUND(SUMPRODUCT(H6:H13,K6:K13)/SUMPRODUCT((H6:H13&gt;0)*(K6:K13)),3)</f>
        <v>4.4999999999999998E-2</v>
      </c>
      <c r="I16" s="91"/>
      <c r="J16" s="91"/>
      <c r="K16" s="92">
        <f>SUM(K6:K15)</f>
        <v>160.19999999999999</v>
      </c>
      <c r="L16" s="93">
        <f>ROUND(M16*10000/SUM(K6:K14),0)</f>
        <v>3995</v>
      </c>
      <c r="M16" s="93">
        <f>SUM(M6:M14)</f>
        <v>64</v>
      </c>
      <c r="N16" s="94">
        <f>ROUND(SUMPRODUCT(M6:M14,N6:N14)/M16,3)</f>
        <v>0.96</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v>2021</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8" t="s">
        <v>2286</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160.19999999999999</v>
      </c>
      <c r="C1" s="2685"/>
      <c r="D1" s="2685"/>
      <c r="E1" s="2685"/>
      <c r="F1" s="2685"/>
      <c r="G1" s="2686"/>
      <c r="H1" s="2687"/>
      <c r="I1" s="2687"/>
      <c r="J1" s="2687"/>
      <c r="K1" s="2687"/>
    </row>
    <row r="2" spans="1:11" ht="16.5">
      <c r="A2" s="2511" t="s">
        <v>653</v>
      </c>
      <c r="B2" s="2511">
        <f>SUM(C14:C23)</f>
        <v>292.20999999999998</v>
      </c>
      <c r="C2" s="2685"/>
      <c r="D2" s="2685"/>
      <c r="E2" s="2685"/>
      <c r="F2" s="2685"/>
      <c r="G2" s="2686"/>
      <c r="H2" s="2687"/>
      <c r="I2" s="2687"/>
      <c r="J2" s="2687"/>
      <c r="K2" s="2687"/>
    </row>
    <row r="3" spans="1:11" ht="16.5">
      <c r="A3" s="2511" t="s">
        <v>662</v>
      </c>
      <c r="B3" s="2513">
        <f>项目基本情况!D3</f>
        <v>44939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5982</v>
      </c>
      <c r="C5" s="2511">
        <f ca="1">IF(B5=D14,结果表!H102,ROUND(B5*10000/$B$1,0))</f>
        <v>373408</v>
      </c>
      <c r="D5" s="2511">
        <f ca="1">ROUND(B5*10000/$B$2,0)</f>
        <v>204716</v>
      </c>
      <c r="E5" s="2685"/>
      <c r="F5" s="2686"/>
      <c r="G5" s="2686"/>
      <c r="H5" s="2687"/>
      <c r="I5" s="2687"/>
      <c r="J5" s="2687"/>
      <c r="K5" s="2687"/>
    </row>
    <row r="6" spans="1:11" ht="16.5">
      <c r="A6" s="2511" t="s">
        <v>656</v>
      </c>
      <c r="B6" s="2511">
        <f>SUM(G14:G23)</f>
        <v>0</v>
      </c>
      <c r="C6" s="2511">
        <f ca="1">IF(B6=G14,结果表!H108,ROUND(B6*10000/$B$1,0))</f>
        <v>373408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160.19999999999999</v>
      </c>
      <c r="C14" s="2517">
        <f>'数据-汇总表'!D3</f>
        <v>292.20999999999998</v>
      </c>
      <c r="D14" s="2517">
        <f ca="1">结果表!H118</f>
        <v>5982</v>
      </c>
      <c r="E14" s="2517">
        <f ca="1">ROUND(D14*10000/B14,0)</f>
        <v>373408</v>
      </c>
      <c r="F14" s="2517">
        <f ca="1">ROUND(D14*10000/C14,0)</f>
        <v>204716</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 zoomScaleNormal="100" zoomScaleSheetLayoutView="100" zoomScalePageLayoutView="80" workbookViewId="0">
      <selection activeCell="E22" sqref="E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3450</v>
      </c>
      <c r="D4" s="1756" t="s">
        <v>3451</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5" t="s">
        <v>1268</v>
      </c>
      <c r="B5" s="3620">
        <v>25</v>
      </c>
      <c r="C5" s="3623"/>
      <c r="D5" s="3611"/>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v>8</v>
      </c>
      <c r="D14" s="3611">
        <v>2</v>
      </c>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2" t="s">
        <v>2131</v>
      </c>
      <c r="F18" s="3643"/>
      <c r="G18" s="3643"/>
      <c r="H18" s="3643"/>
      <c r="I18" s="3643"/>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2669</v>
      </c>
      <c r="E19" s="1761" t="s">
        <v>1292</v>
      </c>
      <c r="F19" s="1762" t="s">
        <v>1291</v>
      </c>
      <c r="G19" s="136">
        <f ca="1">ROUND(C19*$C$18+D19*$D$18,0)</f>
        <v>5982</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166604</v>
      </c>
      <c r="E20" s="1764"/>
      <c r="F20" s="1026" t="s">
        <v>1295</v>
      </c>
      <c r="G20" s="139">
        <f ca="1">ROUND(C20*$C$18+D20*$D$18,0)</f>
        <v>219769</v>
      </c>
      <c r="H20" s="808" t="s">
        <v>1296</v>
      </c>
      <c r="I20" s="129"/>
    </row>
    <row r="21" spans="1:36" ht="15" customHeight="1" thickBot="1">
      <c r="A21" s="828"/>
      <c r="B21" s="1765" t="s">
        <v>1297</v>
      </c>
      <c r="C21" s="719">
        <f ca="1">ROUND(C19*10000/L19,0)</f>
        <v>233052</v>
      </c>
      <c r="D21" s="720">
        <f ca="1">ROUND(D19*10000/L19,0)</f>
        <v>91338</v>
      </c>
      <c r="E21" s="828"/>
      <c r="F21" s="1765" t="s">
        <v>1297</v>
      </c>
      <c r="G21" s="140">
        <f ca="1">ROUND(G19*10000/L19,0)</f>
        <v>204716</v>
      </c>
      <c r="H21" s="1766" t="s">
        <v>1296</v>
      </c>
      <c r="I21" s="129"/>
    </row>
    <row r="22" spans="1:36" ht="15" thickBot="1">
      <c r="A22" s="1688" t="s">
        <v>1298</v>
      </c>
      <c r="B22" s="1767"/>
      <c r="C22" s="1768"/>
      <c r="D22" s="721">
        <f ca="1">IF(C19&lt;D19,D19/C19-1,C19/D19-1)</f>
        <v>1.5515174222555266</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5982</v>
      </c>
      <c r="D32" s="1775" t="s">
        <v>3435</v>
      </c>
      <c r="E32" s="129"/>
      <c r="F32" s="129"/>
      <c r="G32" s="129"/>
      <c r="H32" s="129"/>
      <c r="I32" s="129"/>
    </row>
    <row r="33" spans="1:15" ht="15">
      <c r="A33" s="786" t="s">
        <v>1306</v>
      </c>
      <c r="B33" s="1776"/>
      <c r="C33" s="1777" t="s">
        <v>3453</v>
      </c>
      <c r="D33" s="1778" t="s">
        <v>3451</v>
      </c>
      <c r="E33" s="1779" t="s">
        <v>1307</v>
      </c>
      <c r="F33" s="1780" t="str">
        <f>IF(D32="楼面单价","取值（单价）","取值（总价）")</f>
        <v>取值（总价）</v>
      </c>
      <c r="G33" s="129"/>
      <c r="H33" s="129"/>
      <c r="I33" s="129"/>
    </row>
    <row r="34" spans="1:15" ht="15">
      <c r="A34" s="1781"/>
      <c r="B34" s="1782" t="s">
        <v>1308</v>
      </c>
      <c r="C34" s="148">
        <f ca="1">IF(C33="自定义",F34,C32-C35)</f>
        <v>5761</v>
      </c>
      <c r="D34" s="861">
        <f ca="1">IF(C33="自定义",ROUND(C34/C32,3),IF(C33="收益比率",SUMIF(INDIRECT("'"&amp;D33&amp;"'"&amp;"!b:b"),"土地收益比率",INDIRECT("'"&amp;D33&amp;"'"&amp;"!c:c")),SUMIF(INDIRECT("'"&amp;D33&amp;"'"&amp;"!b:b"),"土地成本比率",INDIRECT("'"&amp;D33&amp;"'"&amp;"!c:c"))))</f>
        <v>0.96299999999999997</v>
      </c>
      <c r="E34" s="1783" t="s">
        <v>1309</v>
      </c>
      <c r="F34" s="1330"/>
      <c r="G34" s="129"/>
      <c r="H34" s="129"/>
      <c r="I34" s="129"/>
    </row>
    <row r="35" spans="1:15" ht="15.75" thickBot="1">
      <c r="A35" s="1784"/>
      <c r="B35" s="1785" t="s">
        <v>1310</v>
      </c>
      <c r="C35" s="1170">
        <f ca="1">IF(C33="自定义",F35,ROUND(C32*D35,0))</f>
        <v>221</v>
      </c>
      <c r="D35" s="1171">
        <f ca="1">IF(C33="自定义",ROUND(C35/C32,3),IF(C33="收益比率",SUMIF(INDIRECT("'"&amp;D33&amp;"'"&amp;"!b:b"),"建筑物收益比率",INDIRECT("'"&amp;D33&amp;"'"&amp;"!c:c")),SUMIF(INDIRECT("'"&amp;D33&amp;"'"&amp;"!b:b"),"建筑物成本比率",INDIRECT("'"&amp;D33&amp;"'"&amp;"!c:c"))))</f>
        <v>3.6999999999999998E-2</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f ca="1">ROUND(H101*F45,0)</f>
        <v>5982</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2">
        <v>1</v>
      </c>
      <c r="K46" s="3553" t="s">
        <v>1331</v>
      </c>
      <c r="L46" s="3553"/>
      <c r="M46" s="3554"/>
      <c r="N46" s="3554"/>
      <c r="O46" s="3554"/>
    </row>
    <row r="47" spans="1:15" ht="12" customHeight="1">
      <c r="A47" s="160" t="s">
        <v>1332</v>
      </c>
      <c r="B47" s="161"/>
      <c r="C47" s="162"/>
      <c r="D47" s="1087" t="s">
        <v>1333</v>
      </c>
      <c r="E47" s="302" t="s">
        <v>1334</v>
      </c>
      <c r="F47" s="163" t="s">
        <v>1335</v>
      </c>
      <c r="G47" s="2545" t="s">
        <v>1336</v>
      </c>
      <c r="H47" s="2546"/>
      <c r="I47" s="159"/>
      <c r="J47" s="2522">
        <v>2</v>
      </c>
      <c r="K47" s="3553" t="s">
        <v>1337</v>
      </c>
      <c r="L47" s="3553"/>
      <c r="M47" s="3555">
        <f>'数据-取费表'!B2</f>
        <v>44939</v>
      </c>
      <c r="N47" s="3555"/>
      <c r="O47" s="3555"/>
    </row>
    <row r="48" spans="1:15" ht="25.5">
      <c r="A48" s="3615" t="s">
        <v>1338</v>
      </c>
      <c r="B48" s="3616"/>
      <c r="C48" s="361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3" t="s">
        <v>1340</v>
      </c>
      <c r="L48" s="3553"/>
      <c r="M48" s="3556">
        <f ca="1">H101</f>
        <v>5982</v>
      </c>
      <c r="N48" s="3556"/>
      <c r="O48" s="3556"/>
    </row>
    <row r="49" spans="1:35" ht="25.5" customHeight="1">
      <c r="A49" s="2332" t="s">
        <v>1341</v>
      </c>
      <c r="B49" s="3601" t="s">
        <v>1342</v>
      </c>
      <c r="C49" s="3601"/>
      <c r="D49" s="1590">
        <v>0</v>
      </c>
      <c r="E49" s="324" t="s">
        <v>1343</v>
      </c>
      <c r="F49" s="2423" t="s">
        <v>28</v>
      </c>
      <c r="G49" s="3584"/>
      <c r="H49" s="2309" t="s">
        <v>2134</v>
      </c>
      <c r="I49" s="2310"/>
      <c r="J49" s="2522">
        <v>4</v>
      </c>
      <c r="K49" s="3553" t="str">
        <f>IF(项目基本情况!E8="房地产抵押价值","房地产抵押价值","抵押担保权已注销时的房地产抵押价值")</f>
        <v>房地产抵押价值</v>
      </c>
      <c r="L49" s="3553"/>
      <c r="M49" s="3556">
        <f ca="1">IF(项目基本情况!E8="房地产抵押价值",H107,H109)</f>
        <v>5982</v>
      </c>
      <c r="N49" s="3556"/>
      <c r="O49" s="3556"/>
    </row>
    <row r="50" spans="1:35" ht="25.5" customHeight="1">
      <c r="A50" s="2550"/>
      <c r="B50" s="3601" t="s">
        <v>1344</v>
      </c>
      <c r="C50" s="3601"/>
      <c r="D50" s="2551"/>
      <c r="E50" s="332"/>
      <c r="F50" s="2423"/>
      <c r="G50" s="3585"/>
      <c r="H50" s="2311" t="s">
        <v>2135</v>
      </c>
      <c r="I50" s="2310"/>
      <c r="J50" s="3552" t="s">
        <v>1345</v>
      </c>
      <c r="K50" s="3552"/>
      <c r="L50" s="3552"/>
      <c r="M50" s="3552"/>
      <c r="N50" s="3552"/>
      <c r="O50" s="3552"/>
    </row>
    <row r="51" spans="1:35" ht="20.45" customHeight="1">
      <c r="A51" s="2552"/>
      <c r="B51" s="3601" t="s">
        <v>1346</v>
      </c>
      <c r="C51" s="3601"/>
      <c r="D51" s="1087"/>
      <c r="E51" s="327"/>
      <c r="F51" s="2423"/>
      <c r="G51" s="3586"/>
      <c r="H51" s="2311" t="s">
        <v>2136</v>
      </c>
      <c r="I51" s="2310"/>
      <c r="J51" s="2523" t="s">
        <v>1347</v>
      </c>
      <c r="K51" s="3553" t="s">
        <v>1348</v>
      </c>
      <c r="L51" s="3553"/>
      <c r="M51" s="2523" t="s">
        <v>1349</v>
      </c>
      <c r="N51" s="2523" t="s">
        <v>1350</v>
      </c>
      <c r="O51" s="2523" t="s">
        <v>1351</v>
      </c>
    </row>
    <row r="52" spans="1:35" ht="24" customHeight="1">
      <c r="A52" s="2334" t="s">
        <v>1352</v>
      </c>
      <c r="B52" s="3601" t="s">
        <v>1353</v>
      </c>
      <c r="C52" s="3601"/>
      <c r="D52" s="1087">
        <f ca="1">ROUND(D45*'数据-取费表'!B41/(1+'数据-取费表'!C42),0)</f>
        <v>319</v>
      </c>
      <c r="E52" s="2333" t="s">
        <v>1354</v>
      </c>
      <c r="F52" s="2553">
        <f>'数据-取费表'!B41</f>
        <v>5.6000000000000001E-2</v>
      </c>
      <c r="G52" s="2554"/>
      <c r="H52" s="2543"/>
      <c r="I52" s="1807"/>
      <c r="J52" s="2522">
        <v>1</v>
      </c>
      <c r="K52" s="3578" t="s">
        <v>1355</v>
      </c>
      <c r="L52" s="3578"/>
      <c r="M52" s="2524" t="b">
        <f>D48</f>
        <v>0</v>
      </c>
      <c r="N52" s="2522" t="str">
        <f>E48</f>
        <v>销售额×税（费）率</v>
      </c>
      <c r="O52" s="2525">
        <f>F48</f>
        <v>5.6000000000000001E-2</v>
      </c>
    </row>
    <row r="53" spans="1:35" ht="12" customHeight="1">
      <c r="A53" s="2334" t="s">
        <v>1356</v>
      </c>
      <c r="B53" s="3602" t="s">
        <v>2291</v>
      </c>
      <c r="C53" s="3603"/>
      <c r="D53" s="1087">
        <f ca="1">ROUND(D45*'数据-取费表'!B41/(1+'数据-取费表'!C42),0)</f>
        <v>319</v>
      </c>
      <c r="E53" s="2333" t="s">
        <v>1354</v>
      </c>
      <c r="F53" s="2553">
        <f>'数据-取费表'!B41</f>
        <v>5.6000000000000001E-2</v>
      </c>
      <c r="G53" s="2554"/>
      <c r="H53" s="2543"/>
      <c r="I53" s="1807"/>
      <c r="J53" s="2522">
        <v>2</v>
      </c>
      <c r="K53" s="3578" t="s">
        <v>1357</v>
      </c>
      <c r="L53" s="3578"/>
      <c r="M53" s="2524">
        <f t="shared" ref="M53:O54" ca="1" si="0">D55</f>
        <v>3</v>
      </c>
      <c r="N53" s="2522" t="str">
        <f t="shared" si="0"/>
        <v>销售额×税（费）率</v>
      </c>
      <c r="O53" s="2525" t="str">
        <f t="shared" si="0"/>
        <v>免征</v>
      </c>
    </row>
    <row r="54" spans="1:35" ht="12" customHeight="1">
      <c r="A54" s="2334" t="s">
        <v>1358</v>
      </c>
      <c r="B54" s="3602" t="s">
        <v>2292</v>
      </c>
      <c r="C54" s="3603"/>
      <c r="D54" s="1087">
        <f ca="1">C68</f>
        <v>319</v>
      </c>
      <c r="E54" s="327" t="s">
        <v>1359</v>
      </c>
      <c r="F54" s="2553">
        <f>'数据-取费表'!B41</f>
        <v>5.6000000000000001E-2</v>
      </c>
      <c r="G54" s="2554"/>
      <c r="H54" s="2555"/>
      <c r="I54" s="1807"/>
      <c r="J54" s="2522">
        <v>3</v>
      </c>
      <c r="K54" s="3578" t="s">
        <v>1360</v>
      </c>
      <c r="L54" s="3578"/>
      <c r="M54" s="2524">
        <f t="shared" ca="1" si="0"/>
        <v>3386</v>
      </c>
      <c r="N54" s="2522" t="str">
        <f t="shared" si="0"/>
        <v>增值额×税（费）率</v>
      </c>
      <c r="O54" s="2526" t="str">
        <f t="shared" si="0"/>
        <v>免征</v>
      </c>
    </row>
    <row r="55" spans="1:35" ht="24" customHeight="1">
      <c r="A55" s="3638" t="s">
        <v>1361</v>
      </c>
      <c r="B55" s="3616"/>
      <c r="C55" s="3616"/>
      <c r="D55" s="2323">
        <f ca="1">IF(H55="个人住宅",0,ROUND(D45*I55,0))</f>
        <v>3</v>
      </c>
      <c r="E55" s="2333" t="s">
        <v>1362</v>
      </c>
      <c r="F55" s="2553" t="str">
        <f>IF(H55="正常",I55,"免征")</f>
        <v>免征</v>
      </c>
      <c r="G55" s="2554"/>
      <c r="H55" s="2549"/>
      <c r="I55" s="165">
        <f>'数据-取费表'!B49</f>
        <v>5.0000000000000001E-4</v>
      </c>
      <c r="J55" s="2522">
        <f>IF(H59="非个人房产","",4)</f>
        <v>4</v>
      </c>
      <c r="K55" s="3578" t="str">
        <f>IF(H59="非个人房产","——","个人所得税")</f>
        <v>个人所得税</v>
      </c>
      <c r="L55" s="3578"/>
      <c r="M55" s="2527">
        <f ca="1">D59</f>
        <v>57</v>
      </c>
      <c r="N55" s="2039" t="str">
        <f>E59</f>
        <v>差额计税</v>
      </c>
      <c r="O55" s="2528">
        <f>F59</f>
        <v>0.01</v>
      </c>
    </row>
    <row r="56" spans="1:35" ht="24.75">
      <c r="A56" s="3638" t="s">
        <v>1363</v>
      </c>
      <c r="B56" s="3616"/>
      <c r="C56" s="3616"/>
      <c r="D56" s="2323">
        <f ca="1">IF(H56="个人住宅",D57,D58)</f>
        <v>3386</v>
      </c>
      <c r="E56" s="2333" t="s">
        <v>1364</v>
      </c>
      <c r="F56" s="2553" t="str">
        <f>IF(H56="正常",F58,"免征")</f>
        <v>免征</v>
      </c>
      <c r="G56" s="2556" t="s">
        <v>1365</v>
      </c>
      <c r="H56" s="2557"/>
      <c r="I56" s="1808"/>
      <c r="J56" s="2522" t="str">
        <f>IF(项目基本情况!K6="上海银行",IF(J55="",4,J55+1),"")</f>
        <v/>
      </c>
      <c r="K56" s="3559" t="str">
        <f>IF(项目基本情况!K6="上海银行","其他处置费用","")</f>
        <v/>
      </c>
      <c r="L56" s="3560"/>
      <c r="M56" s="2524"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90">
        <v>0</v>
      </c>
      <c r="E57" s="324" t="s">
        <v>1343</v>
      </c>
      <c r="F57" s="302"/>
      <c r="G57" s="2554"/>
      <c r="H57" s="2558"/>
      <c r="I57" s="1808"/>
      <c r="J57" s="3578">
        <f>IF(AND(J55="",J56=""),4,IF(项目基本情况!K6="上海银行",结果表!J56+1,结果表!J55+1))</f>
        <v>5</v>
      </c>
      <c r="K57" s="3578" t="s">
        <v>1367</v>
      </c>
      <c r="L57" s="2529" t="s">
        <v>1368</v>
      </c>
      <c r="M57" s="2530"/>
      <c r="N57" s="2531">
        <f ca="1">SUMIF(M52:M56,"&lt;9e307")</f>
        <v>3446</v>
      </c>
      <c r="O57" s="2532"/>
      <c r="P57" s="2689">
        <f ca="1">N57/M49</f>
        <v>0.57606151788699433</v>
      </c>
    </row>
    <row r="58" spans="1:35" ht="24.75">
      <c r="A58" s="2334" t="s">
        <v>1352</v>
      </c>
      <c r="B58" s="3602" t="s">
        <v>1369</v>
      </c>
      <c r="C58" s="3601"/>
      <c r="D58" s="2323">
        <f ca="1">IF(H58="转让取得",C81,C97)</f>
        <v>3386</v>
      </c>
      <c r="E58" s="2333" t="s">
        <v>1364</v>
      </c>
      <c r="F58" s="302" t="s">
        <v>28</v>
      </c>
      <c r="G58" s="2554"/>
      <c r="H58" s="2557"/>
      <c r="I58" s="1808"/>
      <c r="J58" s="3578"/>
      <c r="K58" s="3578"/>
      <c r="L58" s="2529" t="s">
        <v>1370</v>
      </c>
      <c r="M58" s="2533"/>
      <c r="N58" s="2534" t="str">
        <f ca="1">NUMBERSTRING(INT(N57*10000),2)&amp;"元整"</f>
        <v>叁仟肆佰肆拾陆万元整</v>
      </c>
      <c r="O58" s="2535"/>
    </row>
    <row r="59" spans="1:35" ht="24.75" thickBot="1">
      <c r="A59" s="3582" t="s">
        <v>1371</v>
      </c>
      <c r="B59" s="3583"/>
      <c r="C59" s="3583"/>
      <c r="D59" s="2559">
        <f ca="1">IF(H59="非个人房产","——",IF(H59="个人住宅（满五唯一有凭证）",0,IF(H59="个人其他（无凭证）",ROUND(D45*F59,0),ROUND(C67*F59,0))))</f>
        <v>57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0">
        <f>J57+1</f>
        <v>6</v>
      </c>
      <c r="K59" s="3578" t="s">
        <v>1372</v>
      </c>
      <c r="L59" s="2522" t="s">
        <v>1368</v>
      </c>
      <c r="M59" s="2536"/>
      <c r="N59" s="2537">
        <f ca="1">M49-N57</f>
        <v>2536</v>
      </c>
      <c r="O59" s="2538"/>
    </row>
    <row r="60" spans="1:35" ht="12" customHeight="1">
      <c r="A60" s="1809"/>
      <c r="B60" s="1747"/>
      <c r="C60" s="1747"/>
      <c r="D60" s="1747"/>
      <c r="E60" s="1578"/>
      <c r="F60" s="1808"/>
      <c r="G60" s="1808"/>
      <c r="H60" s="1810"/>
      <c r="I60" s="129"/>
      <c r="J60" s="3581"/>
      <c r="K60" s="3578"/>
      <c r="L60" s="2529" t="s">
        <v>1370</v>
      </c>
      <c r="M60" s="2533"/>
      <c r="N60" s="2534" t="str">
        <f ca="1">NUMBERSTRING(INT(N59*10000),2)&amp;"元整"</f>
        <v>贰仟伍佰叁拾陆万元整</v>
      </c>
      <c r="O60" s="2535"/>
    </row>
    <row r="61" spans="1:35" ht="13.5" thickBot="1">
      <c r="A61" s="3637" t="s">
        <v>1373</v>
      </c>
      <c r="B61" s="3637"/>
      <c r="C61" s="3637"/>
      <c r="D61" s="3637"/>
      <c r="E61" s="3637"/>
      <c r="F61" s="1808"/>
      <c r="G61" s="1808"/>
      <c r="H61" s="1810"/>
      <c r="I61" s="129"/>
      <c r="J61" s="2522">
        <f>J59+1</f>
        <v>7</v>
      </c>
      <c r="K61" s="3578" t="s">
        <v>1374</v>
      </c>
      <c r="L61" s="3578"/>
      <c r="M61" s="2539"/>
      <c r="N61" s="2540">
        <f ca="1">ROUND(N59*10000/'数据-汇总表'!E3,0)</f>
        <v>158302</v>
      </c>
      <c r="O61" s="2541"/>
    </row>
    <row r="62" spans="1:35" ht="12.75">
      <c r="A62" s="3597" t="s">
        <v>1375</v>
      </c>
      <c r="B62" s="3598"/>
      <c r="C62" s="2020"/>
      <c r="D62" s="2020" t="s">
        <v>1376</v>
      </c>
      <c r="E62" s="166" t="s">
        <v>1377</v>
      </c>
      <c r="F62" s="1808"/>
      <c r="G62" s="1808"/>
      <c r="H62" s="1810"/>
      <c r="I62" s="129"/>
    </row>
    <row r="63" spans="1:35" ht="12.75">
      <c r="A63" s="173" t="s">
        <v>330</v>
      </c>
      <c r="B63" s="167" t="s">
        <v>1378</v>
      </c>
      <c r="C63" s="2563">
        <f ca="1">ROUND((C64+C65)/(1+'数据-取费表'!C42),0)</f>
        <v>5697</v>
      </c>
      <c r="D63" s="167"/>
      <c r="E63" s="168"/>
      <c r="F63" s="1808"/>
      <c r="G63" s="1808"/>
      <c r="H63" s="1810"/>
      <c r="I63" s="129"/>
      <c r="J63" s="3561" t="s">
        <v>1379</v>
      </c>
      <c r="K63" s="1332" t="s">
        <v>1380</v>
      </c>
      <c r="L63" s="1332">
        <f ca="1">IF(M49&gt;10000,M49*0.5%,IF(AND(M49&gt;1000,M49&lt;=10000),M49*1%,IF(AND(M49&gt;100,M49&lt;=1000),M49*3%,IF(AND(M49&gt;10,M49&lt;=100),M49*5%,M49*8%))))</f>
        <v>59.82</v>
      </c>
      <c r="M63" s="302">
        <f ca="1">ROUND(L63,1)</f>
        <v>59.8</v>
      </c>
      <c r="N63" s="2542"/>
      <c r="Z63" s="1752"/>
      <c r="AI63" s="1753"/>
    </row>
    <row r="64" spans="1:35" ht="14.25" customHeight="1">
      <c r="A64" s="169" t="s">
        <v>325</v>
      </c>
      <c r="B64" s="170" t="s">
        <v>1381</v>
      </c>
      <c r="C64" s="2564">
        <f ca="1">D45</f>
        <v>5982</v>
      </c>
      <c r="D64" s="170" t="s">
        <v>26</v>
      </c>
      <c r="E64" s="172"/>
      <c r="F64" s="1808"/>
      <c r="G64" s="1808"/>
      <c r="H64" s="1810"/>
      <c r="I64" s="129"/>
      <c r="J64" s="3561"/>
      <c r="K64" s="1332" t="s">
        <v>1382</v>
      </c>
      <c r="L64" s="1332">
        <f ca="1">IF(M49&gt;2000,M49*0.5%,IF(AND(M49&gt;1000,M49&lt;=2000),M49*0.6%,IF(AND(M49&gt;500,M49&lt;=1000),M49*0.7%,IF(AND(M49&gt;200,M49&lt;=500),M49*0.8%,IF(AND(M49&gt;100,M49&lt;=200),M49*0.9%,IF(AND(M49&gt;50,M49&lt;=100),M49*1%,IF(AND(M49&gt;20,M49&lt;=50),M49*1.5%,IF(AND(M49&gt;10,M49&lt;=20),M49*2%,IF(AND(M49&gt;1,M49&lt;=10),M49*2.5%)))))))))</f>
        <v>29.91</v>
      </c>
      <c r="M64" s="302">
        <f t="shared" ref="M64:M65" ca="1" si="1">ROUND(L64,1)</f>
        <v>29.9</v>
      </c>
      <c r="N64" s="2543" t="s">
        <v>1383</v>
      </c>
      <c r="Z64" s="1752"/>
      <c r="AI64" s="1753"/>
    </row>
    <row r="65" spans="1:35" ht="14.25" customHeight="1">
      <c r="A65" s="169" t="s">
        <v>326</v>
      </c>
      <c r="B65" s="170" t="s">
        <v>1384</v>
      </c>
      <c r="C65" s="2565"/>
      <c r="D65" s="170"/>
      <c r="E65" s="172"/>
      <c r="F65" s="1808"/>
      <c r="G65" s="1808"/>
      <c r="H65" s="1810"/>
      <c r="I65" s="129"/>
      <c r="J65" s="3561"/>
      <c r="K65" s="1332" t="s">
        <v>1385</v>
      </c>
      <c r="L65" s="1332">
        <f ca="1">IF(M49&gt;1000,M49*0.1%,IF(AND(M49&gt;500,M49&lt;=1000),M49*0.5%,IF(AND(M49&gt;50,M49&lt;=500),M49*1%,IF(AND(M49&gt;1,M49&lt;=50),M49*1.5%))))</f>
        <v>5.9820000000000002</v>
      </c>
      <c r="M65" s="302">
        <f t="shared" ca="1" si="1"/>
        <v>6</v>
      </c>
      <c r="N65" s="2543" t="s">
        <v>1383</v>
      </c>
      <c r="Z65" s="1752"/>
      <c r="AI65" s="1753"/>
    </row>
    <row r="66" spans="1:35" ht="14.25" customHeight="1">
      <c r="A66" s="173" t="s">
        <v>327</v>
      </c>
      <c r="B66" s="174" t="s">
        <v>1386</v>
      </c>
      <c r="C66" s="2566"/>
      <c r="D66" s="174" t="s">
        <v>26</v>
      </c>
      <c r="E66" s="1338" t="s">
        <v>671</v>
      </c>
      <c r="F66" s="1808"/>
      <c r="G66" s="1808"/>
      <c r="H66" s="1810"/>
      <c r="I66" s="129"/>
      <c r="J66" s="3561"/>
      <c r="K66" s="1332" t="s">
        <v>1387</v>
      </c>
      <c r="L66" s="1332">
        <f ca="1">M49*0.5%</f>
        <v>29.91</v>
      </c>
      <c r="M66" s="302">
        <f ca="1">IF(L66&gt;0.5,0.5,ROUND(L66,0))</f>
        <v>0.5</v>
      </c>
      <c r="N66" s="2543" t="s">
        <v>1388</v>
      </c>
      <c r="Z66" s="1752"/>
      <c r="AI66" s="1753"/>
    </row>
    <row r="67" spans="1:35" ht="14.25" customHeight="1">
      <c r="A67" s="173" t="s">
        <v>328</v>
      </c>
      <c r="B67" s="174" t="s">
        <v>1389</v>
      </c>
      <c r="C67" s="2567">
        <f ca="1">C63-C66</f>
        <v>5697</v>
      </c>
      <c r="D67" s="170" t="s">
        <v>26</v>
      </c>
      <c r="E67" s="172"/>
      <c r="F67" s="1808"/>
      <c r="G67" s="1808"/>
      <c r="H67" s="1810"/>
      <c r="I67" s="129"/>
      <c r="J67" s="3561"/>
      <c r="K67" s="1332" t="s">
        <v>1390</v>
      </c>
      <c r="L67" s="1332">
        <f ca="1">IF(M49&gt;=10000,(8.25+(M49-10000)*0.01%),IF(AND(M49&gt;=8000,M49&lt;10000),(7.85+(M49-8000)*0.02%),IF(AND(M49&gt;=5000,M49&lt;8000),(6.65+(M49-5000)*0.04%),IF(AND(M49&gt;=2000,M49&lt;5000),(4.25+(PM49-2000)*0.08%),IF(AND(M49&gt;=1000,M49&lt;2000),(2.75+(M49-1000)*0.15%),IF(AND(M49&gt;=100,M49&lt;1000),(0.5+(M49-100)*0.25%),IF(AND(M49&gt;0,M49&lt;100),M49*0.5%)))))))</f>
        <v>7.0428000000000006</v>
      </c>
      <c r="M67" s="302">
        <f ca="1">ROUND(L67*0.9,1)</f>
        <v>6.3</v>
      </c>
      <c r="N67" s="2542"/>
      <c r="Z67" s="1752"/>
      <c r="AI67" s="1753"/>
    </row>
    <row r="68" spans="1:35" ht="14.25" customHeight="1" thickBot="1">
      <c r="A68" s="176" t="s">
        <v>329</v>
      </c>
      <c r="B68" s="177" t="s">
        <v>1391</v>
      </c>
      <c r="C68" s="2568">
        <f ca="1">IF(C67&lt;=0,0,ROUND(C67*D68,0))</f>
        <v>319</v>
      </c>
      <c r="D68" s="2569">
        <f>'数据-取费表'!B41</f>
        <v>5.6000000000000001E-2</v>
      </c>
      <c r="E68" s="178"/>
      <c r="F68" s="1808"/>
      <c r="G68" s="1808"/>
      <c r="H68" s="1810"/>
      <c r="I68" s="129"/>
      <c r="J68" s="3561"/>
      <c r="K68" s="1332" t="s">
        <v>1392</v>
      </c>
      <c r="L68" s="1332">
        <f ca="1">IF(M49&gt;10000,M49*0.5%,IF(AND(M49&gt;5000,M49&lt;=10000),M49*1%,IF(AND(M49&gt;1000,M49&lt;=5000),M49*2%,IF(AND(M49&gt;200,M49&lt;=1000),M49*3%,M49*5%))))</f>
        <v>59.82</v>
      </c>
      <c r="M68" s="302">
        <f ca="1">ROUND(L68,1)</f>
        <v>59.8</v>
      </c>
      <c r="N68" s="2542"/>
      <c r="Z68" s="1752"/>
      <c r="AI68" s="1753"/>
    </row>
    <row r="69" spans="1:35" s="1772" customFormat="1" ht="16.5" customHeight="1">
      <c r="A69" s="1811"/>
      <c r="B69" s="1812"/>
      <c r="C69" s="1813"/>
      <c r="D69" s="1814"/>
      <c r="E69" s="1815"/>
      <c r="F69" s="1578"/>
      <c r="G69" s="1578"/>
      <c r="H69" s="1577"/>
      <c r="I69" s="1747"/>
      <c r="J69" s="3561"/>
      <c r="K69" s="1332" t="s">
        <v>1393</v>
      </c>
      <c r="L69" s="1332"/>
      <c r="M69" s="302">
        <f ca="1">ROUND(SUM(M63:M68),0)</f>
        <v>162</v>
      </c>
      <c r="N69" s="2544">
        <f ca="1">M69/M49</f>
        <v>2.7081243731193579E-2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5697</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34</v>
      </c>
      <c r="D78" s="2576">
        <f>'数据-取费表'!B43</f>
        <v>6.000000000000001E-3</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5663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166.55882352941177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3386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5697</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34</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3" t="s">
        <v>2129</v>
      </c>
      <c r="H90" s="356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4" t="s">
        <v>1422</v>
      </c>
      <c r="F92" s="3595"/>
      <c r="G92" s="3595"/>
      <c r="H92" s="359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34</v>
      </c>
      <c r="D93" s="2576">
        <f>'数据-取费表'!B43</f>
        <v>6.000000000000001E-3</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5663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166.55882352941177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3386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4" t="str">
        <f>C4</f>
        <v>比较法-住宅</v>
      </c>
      <c r="D101" s="2585" t="str">
        <f>D4</f>
        <v>成本法</v>
      </c>
      <c r="E101" s="3557" t="s">
        <v>1431</v>
      </c>
      <c r="F101" s="3558"/>
      <c r="G101" s="1827" t="s">
        <v>1432</v>
      </c>
      <c r="H101" s="2594">
        <f ca="1">H118</f>
        <v>5982</v>
      </c>
      <c r="I101" s="129"/>
    </row>
    <row r="102" spans="1:35" ht="18.75" customHeight="1">
      <c r="A102" s="3589" t="s">
        <v>1433</v>
      </c>
      <c r="B102" s="2583" t="s">
        <v>1432</v>
      </c>
      <c r="C102" s="2584">
        <f ca="1">IF(D32="楼面单价",ROUND(C19,0),C19)</f>
        <v>6810</v>
      </c>
      <c r="D102" s="2585">
        <f ca="1">IF(D32="楼面单价",ROUND(D19,0),D19)</f>
        <v>2669</v>
      </c>
      <c r="E102" s="3557"/>
      <c r="F102" s="3558"/>
      <c r="G102" s="1827" t="s">
        <v>1434</v>
      </c>
      <c r="H102" s="2554">
        <f ca="1">I118</f>
        <v>373408</v>
      </c>
      <c r="I102" s="129"/>
    </row>
    <row r="103" spans="1:35" ht="42.75" customHeight="1">
      <c r="A103" s="3589"/>
      <c r="B103" s="2583" t="s">
        <v>1434</v>
      </c>
      <c r="C103" s="2586">
        <f ca="1">C20</f>
        <v>233060</v>
      </c>
      <c r="D103" s="2587">
        <f ca="1">D20</f>
        <v>166604</v>
      </c>
      <c r="E103" s="3550" t="s">
        <v>1435</v>
      </c>
      <c r="F103" s="3551"/>
      <c r="G103" s="1828" t="s">
        <v>1436</v>
      </c>
      <c r="H103" s="2594">
        <f>IF(D36="正常操作",H104+H105+H106,H105+H106)</f>
        <v>0</v>
      </c>
      <c r="I103" s="129"/>
    </row>
    <row r="104" spans="1:35" ht="18.75" customHeight="1">
      <c r="A104" s="3589" t="s">
        <v>1437</v>
      </c>
      <c r="B104" s="2588" t="s">
        <v>1432</v>
      </c>
      <c r="C104" s="2589">
        <f ca="1">H118</f>
        <v>5982</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373408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0" t="str">
        <f>IF(项目基本情况!E8="已注销","——","3.房地产抵押价值")</f>
        <v>3.房地产抵押价值</v>
      </c>
      <c r="F107" s="3558"/>
      <c r="G107" s="1827" t="s">
        <v>1432</v>
      </c>
      <c r="H107" s="2594">
        <f ca="1">IF(E107="——","——",H101-H103)</f>
        <v>5982</v>
      </c>
      <c r="I107" s="129"/>
    </row>
    <row r="108" spans="1:35" ht="18.75" customHeight="1">
      <c r="A108" s="129"/>
      <c r="B108" s="129"/>
      <c r="C108" s="129"/>
      <c r="D108" s="129"/>
      <c r="E108" s="3590"/>
      <c r="F108" s="3558"/>
      <c r="G108" s="1827" t="s">
        <v>1434</v>
      </c>
      <c r="H108" s="2554">
        <f ca="1">IF(H107=H101,H102,ROUND(H107*10000/'数据-汇总表'!E3,0))</f>
        <v>373408</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7" t="str">
        <f>IF(E109="——","——",H101-H105-H106)</f>
        <v>——</v>
      </c>
      <c r="I109" s="129"/>
    </row>
    <row r="110" spans="1:35" ht="18.75" customHeight="1">
      <c r="A110" s="129"/>
      <c r="B110" s="129"/>
      <c r="C110" s="129"/>
      <c r="D110" s="129"/>
      <c r="E110" s="3590"/>
      <c r="F110" s="3558"/>
      <c r="G110" s="1827" t="s">
        <v>1434</v>
      </c>
      <c r="H110" s="2554"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4" t="str">
        <f>IF(E111="——","——",N59)</f>
        <v>——</v>
      </c>
      <c r="I111" s="129"/>
    </row>
    <row r="112" spans="1:35" ht="18.75" customHeight="1" thickBot="1">
      <c r="A112" s="129"/>
      <c r="B112" s="129"/>
      <c r="C112" s="129"/>
      <c r="D112" s="129"/>
      <c r="E112" s="3592"/>
      <c r="F112" s="3593"/>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f ca="1">ROUND(IF(D32="总价",C34,E118*B118/10000),0)</f>
        <v>5761</v>
      </c>
      <c r="E118" s="2328">
        <f ca="1">ROUND(IF(C33="自定义",IF(D32="楼面单价",C34,D118*10000/B118),I118-G118),0)</f>
        <v>359613</v>
      </c>
      <c r="F118" s="2328">
        <f ca="1">ROUND(IF(D32="总价",C35,G118*B118/10000),0)</f>
        <v>221</v>
      </c>
      <c r="G118" s="2328">
        <f ca="1">ROUND(IF(D32="楼面单价",C35,F118*10000/B118),0)</f>
        <v>13795</v>
      </c>
      <c r="H118" s="2328">
        <f ca="1">ROUND(IF(D32="总价",C32,I118*B118/10000),0)</f>
        <v>5982</v>
      </c>
      <c r="I118" s="2328">
        <f ca="1">ROUND(IF(D32="楼面单价",C32,H118*10000/B118),0)</f>
        <v>373408</v>
      </c>
    </row>
    <row r="119" spans="1:27" ht="18.75" customHeight="1">
      <c r="A119" s="3565" t="s">
        <v>1452</v>
      </c>
      <c r="B119" s="3565"/>
      <c r="C119" s="3565"/>
      <c r="D119" s="3571" t="str">
        <f ca="1">NUMBERSTRING(INT(D118*10000),2)&amp;"元整"</f>
        <v>伍仟柒佰陆拾壹万元整</v>
      </c>
      <c r="E119" s="3572"/>
      <c r="F119" s="3571" t="str">
        <f ca="1">NUMBERSTRING(INT(F118*10000),2)&amp;"元整"</f>
        <v>贰佰贰拾壹万元整</v>
      </c>
      <c r="G119" s="3572"/>
      <c r="H119" s="3571" t="str">
        <f ca="1">NUMBERSTRING(INT(H118*10000),2)&amp;"元整"</f>
        <v>伍仟玖佰捌拾贰万元整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5982</v>
      </c>
      <c r="E122" s="3567"/>
      <c r="F122" s="3567"/>
      <c r="G122" s="3567"/>
      <c r="H122" s="3567"/>
      <c r="I122" s="3568"/>
      <c r="AA122" s="725"/>
    </row>
    <row r="123" spans="1:27" ht="18.75" customHeight="1">
      <c r="A123" s="3565" t="s">
        <v>1452</v>
      </c>
      <c r="B123" s="3565"/>
      <c r="C123" s="3565"/>
      <c r="D123" s="3571" t="str">
        <f ca="1">NUMBERSTRING(INT(D122*10000),2)&amp;"元整"</f>
        <v>伍仟玖佰捌拾贰万元整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90" zoomScaleNormal="60" zoomScaleSheetLayoutView="90" workbookViewId="0">
      <selection activeCell="E42" sqref="E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3386</v>
      </c>
      <c r="E1" s="3425" t="s">
        <v>3431</v>
      </c>
      <c r="F1" s="1879" t="s">
        <v>3429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4"/>
      <c r="M4" s="2715"/>
      <c r="N4" s="2715"/>
      <c r="O4" s="2715"/>
      <c r="P4" s="3666" t="s">
        <v>1672</v>
      </c>
      <c r="Q4" s="3667"/>
      <c r="R4" s="3649" t="s">
        <v>1668</v>
      </c>
      <c r="S4" s="3650"/>
      <c r="T4" s="3649" t="s">
        <v>1669</v>
      </c>
      <c r="U4" s="3650"/>
      <c r="V4" s="3674" t="s">
        <v>1670</v>
      </c>
      <c r="W4" s="3674"/>
      <c r="X4" s="1355"/>
      <c r="Y4" s="3649" t="s">
        <v>1672</v>
      </c>
      <c r="Z4" s="3650"/>
      <c r="AA4" s="3644" t="s">
        <v>1668</v>
      </c>
      <c r="AB4" s="3644" t="s">
        <v>1669</v>
      </c>
      <c r="AC4" s="3644" t="s">
        <v>1670</v>
      </c>
    </row>
    <row r="5" spans="1:29" ht="15">
      <c r="A5" s="358"/>
      <c r="B5" s="359"/>
      <c r="C5" s="3655" t="s">
        <v>1673</v>
      </c>
      <c r="D5" s="3656"/>
      <c r="E5" s="3653" t="str">
        <f>Sheet1!A23</f>
        <v>南锣鼓巷</v>
      </c>
      <c r="F5" s="3654"/>
      <c r="G5" s="3655" t="str">
        <f>Sheet1!A24</f>
        <v>北锣鼓巷</v>
      </c>
      <c r="H5" s="3656"/>
      <c r="I5" s="3655" t="str">
        <f>Sheet1!A25</f>
        <v>新太仓</v>
      </c>
      <c r="J5" s="3656"/>
      <c r="K5" s="1890"/>
      <c r="L5" s="2714"/>
      <c r="M5" s="2715"/>
      <c r="N5" s="2715"/>
      <c r="O5" s="2715"/>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1890" t="s">
        <v>1678</v>
      </c>
      <c r="L6" s="2714"/>
      <c r="M6" s="2715"/>
      <c r="N6" s="2715"/>
      <c r="O6" s="2715"/>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44939</v>
      </c>
      <c r="D7" s="365">
        <v>100</v>
      </c>
      <c r="E7" s="366">
        <f>C7</f>
        <v>44939</v>
      </c>
      <c r="F7" s="367">
        <f>SUMIF(58:58,YEAR(E7)&amp;"-"&amp;MONTH(E7),59:59)</f>
        <v>100</v>
      </c>
      <c r="G7" s="366">
        <f>C7</f>
        <v>44939</v>
      </c>
      <c r="H7" s="365">
        <f>SUMIF(58:58,YEAR(G7)&amp;"-"&amp;MONTH(G7),59:59)</f>
        <v>100</v>
      </c>
      <c r="I7" s="366">
        <f>C7</f>
        <v>44939</v>
      </c>
      <c r="J7" s="365">
        <f>SUMIF(58:58,YEAR(I7)&amp;"-"&amp;MONTH(I7),59:59)</f>
        <v>100</v>
      </c>
      <c r="K7" s="1891"/>
      <c r="L7" s="2716"/>
      <c r="M7" s="2717"/>
      <c r="N7" s="2717"/>
      <c r="O7" s="2717"/>
      <c r="P7" s="3647" t="s">
        <v>1680</v>
      </c>
      <c r="Q7" s="3675"/>
      <c r="R7" s="701" t="s">
        <v>20</v>
      </c>
      <c r="S7" s="702">
        <f t="shared" ref="S7:S15" si="0">F7</f>
        <v>100</v>
      </c>
      <c r="T7" s="701" t="s">
        <v>20</v>
      </c>
      <c r="U7" s="702">
        <f t="shared" ref="U7:U15" si="1">H7</f>
        <v>100</v>
      </c>
      <c r="V7" s="701" t="s">
        <v>20</v>
      </c>
      <c r="W7" s="702">
        <f t="shared" ref="W7:W15" si="2">J7</f>
        <v>100</v>
      </c>
      <c r="X7" s="703"/>
      <c r="Y7" s="3647" t="s">
        <v>1680</v>
      </c>
      <c r="Z7" s="3648"/>
      <c r="AA7" s="704">
        <f>D7/F7</f>
        <v>1</v>
      </c>
      <c r="AB7" s="704">
        <f>D7/H7</f>
        <v>1</v>
      </c>
      <c r="AC7" s="704">
        <f>D7/J7</f>
        <v>1</v>
      </c>
    </row>
    <row r="8" spans="1:29" s="108" customFormat="1" ht="15.75" thickBot="1">
      <c r="A8" s="362" t="s">
        <v>1681</v>
      </c>
      <c r="B8" s="363"/>
      <c r="C8" s="3454" t="s">
        <v>3432</v>
      </c>
      <c r="D8" s="365">
        <v>100</v>
      </c>
      <c r="E8" s="3455" t="s">
        <v>3433</v>
      </c>
      <c r="F8" s="367">
        <f>SUMIF(61:61,E8,62:62)-SUMIF(61:61,C8,62:62)+100</f>
        <v>100</v>
      </c>
      <c r="G8" s="3454" t="s">
        <v>3433</v>
      </c>
      <c r="H8" s="365">
        <f>SUMIF(61:61,G8,62:62)-SUMIF(61:61,C8,62:62)+100</f>
        <v>100</v>
      </c>
      <c r="I8" s="3455" t="s">
        <v>3433</v>
      </c>
      <c r="J8" s="365">
        <f>SUMIF(61:61,I8,62:62)-SUMIF(61:61,C8,62:62)+100</f>
        <v>100</v>
      </c>
      <c r="K8" s="1891"/>
      <c r="L8" s="2716"/>
      <c r="M8" s="2717"/>
      <c r="N8" s="2717"/>
      <c r="O8" s="2717"/>
      <c r="P8" s="3647" t="s">
        <v>1683</v>
      </c>
      <c r="Q8" s="3648"/>
      <c r="R8" s="701" t="s">
        <v>20</v>
      </c>
      <c r="S8" s="702">
        <f t="shared" si="0"/>
        <v>100</v>
      </c>
      <c r="T8" s="701" t="s">
        <v>20</v>
      </c>
      <c r="U8" s="702">
        <f t="shared" si="1"/>
        <v>100</v>
      </c>
      <c r="V8" s="701" t="s">
        <v>20</v>
      </c>
      <c r="W8" s="702">
        <f t="shared" si="2"/>
        <v>100</v>
      </c>
      <c r="X8" s="703"/>
      <c r="Y8" s="3647" t="s">
        <v>1683</v>
      </c>
      <c r="Z8" s="36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61"/>
      <c r="Q11" s="1343"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c r="A12" s="382"/>
      <c r="B12" s="3456" t="s">
        <v>3439</v>
      </c>
      <c r="C12" s="383" t="s">
        <v>3440</v>
      </c>
      <c r="D12" s="384">
        <v>100</v>
      </c>
      <c r="E12" s="383" t="s">
        <v>3440</v>
      </c>
      <c r="F12" s="376">
        <f>SUMIF(70:70,E12,71:71)-SUMIF(70:70,C12,71:71)+100</f>
        <v>100</v>
      </c>
      <c r="G12" s="383" t="s">
        <v>3440</v>
      </c>
      <c r="H12" s="127">
        <f>SUMIF(70:70,G12,71:71)-SUMIF(70:70,C12,71:71)+100</f>
        <v>100</v>
      </c>
      <c r="I12" s="383" t="s">
        <v>3441</v>
      </c>
      <c r="J12" s="127">
        <f>SUMIF(70:70,I12,71:71)-SUMIF(70:70,C12,71:71)+100</f>
        <v>102</v>
      </c>
      <c r="K12" s="1893"/>
      <c r="L12" s="2716"/>
      <c r="M12" s="2717"/>
      <c r="N12" s="2717"/>
      <c r="O12" s="2717"/>
      <c r="P12" s="3661"/>
      <c r="Q12" s="1343" t="str">
        <f t="shared" si="6"/>
        <v>容积率描述</v>
      </c>
      <c r="R12" s="701" t="s">
        <v>18</v>
      </c>
      <c r="S12" s="702">
        <f t="shared" si="0"/>
        <v>100</v>
      </c>
      <c r="T12" s="701" t="s">
        <v>18</v>
      </c>
      <c r="U12" s="702">
        <f t="shared" si="1"/>
        <v>100</v>
      </c>
      <c r="V12" s="701" t="s">
        <v>18</v>
      </c>
      <c r="W12" s="702">
        <f t="shared" si="2"/>
        <v>102</v>
      </c>
      <c r="X12" s="703"/>
      <c r="Y12" s="3620"/>
      <c r="Z12" s="52" t="str">
        <f t="shared" si="7"/>
        <v>容积率描述</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1"/>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1"/>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689"/>
      <c r="Q16" s="1352"/>
      <c r="R16" s="705"/>
      <c r="S16" s="706"/>
      <c r="T16" s="705"/>
      <c r="U16" s="706"/>
      <c r="V16" s="705"/>
      <c r="W16" s="706"/>
      <c r="X16" s="1355"/>
      <c r="Y16" s="368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689"/>
      <c r="Q22" s="1352"/>
      <c r="R22" s="705"/>
      <c r="S22" s="706"/>
      <c r="T22" s="705"/>
      <c r="U22" s="706"/>
      <c r="V22" s="705"/>
      <c r="W22" s="706"/>
      <c r="X22" s="1355"/>
      <c r="Y22" s="368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Sheet1!C23</f>
        <v>1498.19</v>
      </c>
      <c r="F33" s="376">
        <f>LOOKUP(E33,103:103,104:104)-LOOKUP(C33,103:103,104:104)+100</f>
        <v>106</v>
      </c>
      <c r="G33" s="380">
        <f>Sheet1!C24</f>
        <v>332.22</v>
      </c>
      <c r="H33" s="127">
        <f>LOOKUP(G33,103:103,104:104)-LOOKUP(C33,103:103,104:104)+100</f>
        <v>100</v>
      </c>
      <c r="I33" s="381">
        <f>Sheet1!C25</f>
        <v>325.19</v>
      </c>
      <c r="J33" s="127">
        <f>LOOKUP(I33,103:103,104:104)-LOOKUP(C33,103:103,104:104)+100</f>
        <v>100</v>
      </c>
      <c r="K33" s="1893"/>
      <c r="L33" s="2720"/>
      <c r="M33" s="2722"/>
      <c r="N33" s="2722"/>
      <c r="O33" s="2722"/>
      <c r="P33" s="3684"/>
      <c r="Q33" s="707" t="str">
        <f t="shared" si="11"/>
        <v>项目建筑规模</v>
      </c>
      <c r="R33" s="708" t="s">
        <v>18</v>
      </c>
      <c r="S33" s="709">
        <f t="shared" si="12"/>
        <v>106</v>
      </c>
      <c r="T33" s="708" t="s">
        <v>18</v>
      </c>
      <c r="U33" s="709">
        <f t="shared" si="13"/>
        <v>100</v>
      </c>
      <c r="V33" s="708" t="s">
        <v>18</v>
      </c>
      <c r="W33" s="709">
        <f t="shared" si="14"/>
        <v>100</v>
      </c>
      <c r="X33" s="710"/>
      <c r="Y33" s="3686"/>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684"/>
      <c r="Q37" s="1343"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3457" t="s">
        <v>3443</v>
      </c>
      <c r="D42" s="386">
        <v>100</v>
      </c>
      <c r="E42" s="3458" t="s">
        <v>3444</v>
      </c>
      <c r="F42" s="412">
        <f>SUMIF(122:122,E42,123:123)-SUMIF(122:122,C42,123:123)+100</f>
        <v>98</v>
      </c>
      <c r="G42" s="3457" t="s">
        <v>3452</v>
      </c>
      <c r="H42" s="386">
        <f>SUMIF(122:122,G42,123:123)-SUMIF(122:122,C42,123:123)+100</f>
        <v>96</v>
      </c>
      <c r="I42" s="3458" t="s">
        <v>3445</v>
      </c>
      <c r="J42" s="386">
        <f>SUMIF(122:122,I42,123:123)-SUMIF(122:122,C42,123:123)+100</f>
        <v>98</v>
      </c>
      <c r="K42" s="377">
        <v>2</v>
      </c>
      <c r="L42" s="2721"/>
      <c r="M42" s="2715"/>
      <c r="N42" s="2715"/>
      <c r="O42" s="2715"/>
      <c r="P42" s="3684"/>
      <c r="Q42" s="1352" t="str">
        <f t="shared" si="11"/>
        <v>内部装修</v>
      </c>
      <c r="R42" s="705" t="s">
        <v>18</v>
      </c>
      <c r="S42" s="706">
        <f t="shared" si="12"/>
        <v>98</v>
      </c>
      <c r="T42" s="705" t="s">
        <v>18</v>
      </c>
      <c r="U42" s="706">
        <f t="shared" si="13"/>
        <v>96</v>
      </c>
      <c r="V42" s="705" t="s">
        <v>18</v>
      </c>
      <c r="W42" s="706">
        <f t="shared" si="14"/>
        <v>98</v>
      </c>
      <c r="X42" s="1355"/>
      <c r="Y42" s="3686"/>
      <c r="Z42" s="1356" t="str">
        <f t="shared" si="18"/>
        <v>内部装修</v>
      </c>
      <c r="AA42" s="1353">
        <f t="shared" si="15"/>
        <v>1.0204081632653061</v>
      </c>
      <c r="AB42" s="1353">
        <f t="shared" si="16"/>
        <v>1.0416666666666667</v>
      </c>
      <c r="AC42" s="1353">
        <f t="shared" si="17"/>
        <v>1.0204081632653061</v>
      </c>
    </row>
    <row r="43" spans="1:29" ht="15">
      <c r="A43" s="423"/>
      <c r="B43" s="375" t="s">
        <v>1707</v>
      </c>
      <c r="C43" s="3457" t="s">
        <v>3448</v>
      </c>
      <c r="D43" s="386">
        <v>100</v>
      </c>
      <c r="E43" s="3458" t="s">
        <v>3397</v>
      </c>
      <c r="F43" s="412">
        <f>SUMIF(124:124,E43,125:125)-SUMIF(124:124,C43,125:125)+100</f>
        <v>90</v>
      </c>
      <c r="G43" s="3457" t="s">
        <v>3397</v>
      </c>
      <c r="H43" s="386">
        <f>SUMIF(124:124,G43,125:125)-SUMIF(124:124,C43,125:125)+100</f>
        <v>90</v>
      </c>
      <c r="I43" s="3458" t="s">
        <v>3449</v>
      </c>
      <c r="J43" s="386">
        <f>SUMIF(124:124,I43,125:125)-SUMIF(124:124,C43,125:125)+100</f>
        <v>95</v>
      </c>
      <c r="K43" s="377">
        <v>5</v>
      </c>
      <c r="L43" s="2721"/>
      <c r="M43" s="2715"/>
      <c r="N43" s="2715"/>
      <c r="O43" s="2715"/>
      <c r="P43" s="3684"/>
      <c r="Q43" s="1352" t="str">
        <f t="shared" si="11"/>
        <v>内部装修维护情况</v>
      </c>
      <c r="R43" s="705" t="s">
        <v>18</v>
      </c>
      <c r="S43" s="706">
        <f t="shared" si="12"/>
        <v>90</v>
      </c>
      <c r="T43" s="705" t="s">
        <v>18</v>
      </c>
      <c r="U43" s="706">
        <f t="shared" si="13"/>
        <v>90</v>
      </c>
      <c r="V43" s="705" t="s">
        <v>18</v>
      </c>
      <c r="W43" s="706">
        <f t="shared" si="14"/>
        <v>95</v>
      </c>
      <c r="X43" s="1355"/>
      <c r="Y43" s="3686"/>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f>Sheet1!E23</f>
        <v>240290</v>
      </c>
      <c r="F47" s="1157"/>
      <c r="G47" s="1158">
        <f>Sheet1!E24</f>
        <v>200169</v>
      </c>
      <c r="H47" s="1159"/>
      <c r="I47" s="1156">
        <f>Sheet1!E25</f>
        <v>199883</v>
      </c>
      <c r="J47" s="1159"/>
      <c r="K47" s="1913"/>
      <c r="L47" s="2723"/>
      <c r="M47" s="2724"/>
      <c r="N47" s="2715"/>
      <c r="O47" s="2724"/>
      <c r="P47" s="3679" t="str">
        <f>A47</f>
        <v>成交单价（元/平方米）</v>
      </c>
      <c r="Q47" s="3679"/>
      <c r="R47" s="3680">
        <f>E47</f>
        <v>240290</v>
      </c>
      <c r="S47" s="3680"/>
      <c r="T47" s="3680">
        <f>G47</f>
        <v>200169</v>
      </c>
      <c r="U47" s="3680"/>
      <c r="V47" s="3680">
        <f>I47</f>
        <v>199883</v>
      </c>
      <c r="W47" s="3680"/>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679" t="str">
        <f>A48</f>
        <v>比较价值（元/平方米）</v>
      </c>
      <c r="Q48" s="3679"/>
      <c r="R48" s="3680">
        <f>IF(F1="售价",ROUND(PRODUCT(R47,AA7:AA46),0),ROUND(PRODUCT(R47,AA7:AA46),1))</f>
        <v>257017</v>
      </c>
      <c r="S48" s="3680"/>
      <c r="T48" s="3680">
        <f>IF(F1="售价",ROUND(PRODUCT(T47,AB7:AB46),0),ROUND(PRODUCT(T47,AB7:AB46),1))</f>
        <v>231677</v>
      </c>
      <c r="U48" s="3680"/>
      <c r="V48" s="3680">
        <f>IF(F1="售价",ROUND(PRODUCT(V47,AC7:AC46),0),ROUND(PRODUCT(V47,AC7:AC46),1))</f>
        <v>210487</v>
      </c>
      <c r="W48" s="3680"/>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676" t="str">
        <f>A49</f>
        <v>估价对象XX用房的比较价值（楼面单价，元/平方米）</v>
      </c>
      <c r="Q49" s="3677"/>
      <c r="R49" s="3678">
        <f>IF(F1="售价",ROUND(IF(D48="简单平均",AVERAGE(R48:V48),R48*F48+T48*H48+V48*J48),0),ROUND(IF(D48="简单平均",AVERAGE(R48:V48),R48*F48+T48*H48+V48*J48),1))</f>
        <v>233060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v>4</v>
      </c>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t="str">
        <f>B12</f>
        <v>容积率描述</v>
      </c>
      <c r="C70" s="503" t="s">
        <v>3440</v>
      </c>
      <c r="D70" s="503" t="s">
        <v>3442</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29.2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106</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9" t="s">
        <v>3443</v>
      </c>
      <c r="D122" s="3459" t="s">
        <v>3445</v>
      </c>
      <c r="E122" s="3459" t="s">
        <v>3446</v>
      </c>
      <c r="F122" s="3460" t="s">
        <v>3447</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7" sqref="I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2671.1689000000001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166740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18315290</v>
      </c>
      <c r="D5" s="211" t="s">
        <v>1469</v>
      </c>
      <c r="E5" s="212" t="s">
        <v>1470</v>
      </c>
      <c r="F5" s="212" t="s">
        <v>1471</v>
      </c>
      <c r="G5" s="213"/>
    </row>
    <row r="6" spans="1:8" s="214" customFormat="1" ht="13.5" customHeight="1">
      <c r="A6" s="778" t="s">
        <v>1472</v>
      </c>
      <c r="B6" s="215" t="s">
        <v>1473</v>
      </c>
      <c r="C6" s="216">
        <f>ROUND(基准地价修正!D33*基准地价修正!C33,0)</f>
        <v>17742115</v>
      </c>
      <c r="D6" s="217"/>
      <c r="E6" s="218"/>
      <c r="F6" s="218"/>
      <c r="G6" s="219"/>
    </row>
    <row r="7" spans="1:8" s="214" customFormat="1" ht="13.5" customHeight="1">
      <c r="A7" s="778" t="s">
        <v>1474</v>
      </c>
      <c r="B7" s="215" t="s">
        <v>1475</v>
      </c>
      <c r="C7" s="220">
        <f>ROUND(C6*F7,0)</f>
        <v>541135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t="s">
        <v>3398</v>
      </c>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160.19999999999999</v>
      </c>
      <c r="E19" s="211">
        <f>'数据-取费表'!B31</f>
        <v>200</v>
      </c>
      <c r="F19" s="231"/>
      <c r="G19" s="1856" t="s">
        <v>3399</v>
      </c>
    </row>
    <row r="20" spans="1:7" s="214" customFormat="1" ht="13.5" customHeight="1">
      <c r="A20" s="255" t="s">
        <v>1574</v>
      </c>
      <c r="B20" s="210" t="s">
        <v>1575</v>
      </c>
      <c r="C20" s="232">
        <f ca="1">ROUND((C5+C19)*F20,0)</f>
        <v>549459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771486</v>
      </c>
      <c r="D22" s="235">
        <f ca="1">C26</f>
        <v>5.9999999999999995E-4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760085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11401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3772950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3772950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25721553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15956</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15491</v>
      </c>
      <c r="D42" s="238"/>
      <c r="E42" s="238"/>
      <c r="F42" s="239"/>
      <c r="G42" s="3690" t="s">
        <v>1591</v>
      </c>
    </row>
    <row r="43" spans="1:7" ht="13.5" customHeight="1">
      <c r="A43" s="780" t="s">
        <v>347</v>
      </c>
      <c r="B43" s="215" t="s">
        <v>1545</v>
      </c>
      <c r="C43" s="238">
        <f ca="1">ROUND(IF('数据-取费表'!B22&lt;=1,C39*F22*'数据-取费表'!B20/2,C39*(POWER((1+F22),'数据-取费表'!B20/2)-1)),0)</f>
        <v>465</v>
      </c>
      <c r="D43" s="238"/>
      <c r="E43" s="238"/>
      <c r="F43" s="239"/>
      <c r="G43" s="3691"/>
    </row>
    <row r="44" spans="1:7" ht="13.5" customHeight="1">
      <c r="A44" s="780" t="s">
        <v>348</v>
      </c>
      <c r="B44" s="215" t="s">
        <v>1546</v>
      </c>
      <c r="C44" s="238">
        <f ca="1">ROUND(IF('数据-取费表'!B22&lt;=1,C40*F22*'数据-取费表'!B20/2,C40*(POWER((1+F22),'数据-取费表'!B20/2)-1)),4)</f>
        <v>5.9999999999999995E-4</v>
      </c>
      <c r="D44" s="238"/>
      <c r="E44" s="238"/>
      <c r="F44" s="239"/>
      <c r="G44" s="3692"/>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1031392</v>
      </c>
      <c r="D49" s="232"/>
      <c r="E49" s="232"/>
      <c r="F49" s="264"/>
      <c r="G49" s="234" t="s">
        <v>1554</v>
      </c>
    </row>
    <row r="50" spans="1:7" s="258" customFormat="1">
      <c r="A50" s="255" t="s">
        <v>1555</v>
      </c>
      <c r="B50" s="210" t="s">
        <v>1556</v>
      </c>
      <c r="C50" s="232"/>
      <c r="D50" s="232"/>
      <c r="E50" s="232"/>
      <c r="F50" s="264">
        <f>IF('数据-取费表'!B24=0,'数据-取费表'!N16,1)</f>
        <v>0.96</v>
      </c>
      <c r="G50" s="247"/>
    </row>
    <row r="51" spans="1:7" ht="16.5" customHeight="1">
      <c r="A51" s="255" t="s">
        <v>1558</v>
      </c>
      <c r="B51" s="210" t="s">
        <v>1593</v>
      </c>
      <c r="C51" s="232">
        <f ca="1">ROUND(C49*F50,0)</f>
        <v>990136</v>
      </c>
      <c r="D51" s="232"/>
      <c r="E51" s="232"/>
      <c r="F51" s="264"/>
      <c r="G51" s="234" t="s">
        <v>1560</v>
      </c>
    </row>
    <row r="52" spans="1:7" s="208" customFormat="1" ht="16.5" thickBot="1">
      <c r="A52" s="265" t="s">
        <v>1561</v>
      </c>
      <c r="B52" s="266"/>
      <c r="C52" s="267">
        <f ca="1">C31+C51</f>
        <v>26711689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0</v>
      </c>
      <c r="D6" s="155" t="s">
        <v>2109</v>
      </c>
      <c r="E6" s="302" t="s">
        <v>696</v>
      </c>
      <c r="F6" s="303">
        <f ca="1">INDIRECT("'数据-取费表'!u"&amp;$G$1)</f>
        <v>0</v>
      </c>
      <c r="G6" s="1384"/>
      <c r="H6" s="1069" t="s">
        <v>398</v>
      </c>
      <c r="I6" s="3695" t="s">
        <v>694</v>
      </c>
      <c r="J6" s="301">
        <f ca="1">ROUND(M6*M8*M7*(1-M9)/10000,0)</f>
        <v>0</v>
      </c>
      <c r="K6" s="155" t="s">
        <v>2108</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0</v>
      </c>
      <c r="D6" s="155" t="s">
        <v>2106</v>
      </c>
      <c r="E6" s="302" t="s">
        <v>696</v>
      </c>
      <c r="F6" s="303">
        <f ca="1">INDIRECT("'数据-取费表'!u"&amp;$G$1)</f>
        <v>0</v>
      </c>
      <c r="G6" s="1384"/>
      <c r="H6" s="1069" t="s">
        <v>398</v>
      </c>
      <c r="I6" s="3695" t="s">
        <v>694</v>
      </c>
      <c r="J6" s="301">
        <f ca="1">ROUND(M6*M8*M7*(1-M9),0)</f>
        <v>0</v>
      </c>
      <c r="K6" s="1376"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698" t="s">
        <v>2320</v>
      </c>
      <c r="K2" s="369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0" t="s">
        <v>2330</v>
      </c>
      <c r="K3" s="3701"/>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0" t="s">
        <v>2332</v>
      </c>
      <c r="K4" s="3701"/>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2" t="s">
        <v>2336</v>
      </c>
      <c r="B6" s="3703"/>
      <c r="C6" s="3704"/>
      <c r="D6" s="2869"/>
      <c r="E6" s="2870"/>
      <c r="F6" s="2871"/>
      <c r="G6" s="2872"/>
      <c r="H6" s="2847"/>
      <c r="I6" s="2848"/>
      <c r="J6" s="3705">
        <v>1</v>
      </c>
      <c r="K6" s="370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5"/>
      <c r="K7" s="370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9" t="s">
        <v>2350</v>
      </c>
      <c r="C8" s="3710"/>
      <c r="D8" s="2888" t="s">
        <v>2351</v>
      </c>
      <c r="E8" s="2889" t="s">
        <v>2352</v>
      </c>
      <c r="F8" s="2890" t="s">
        <v>2353</v>
      </c>
      <c r="G8" s="2891"/>
      <c r="H8" s="2847"/>
      <c r="I8" s="2848"/>
      <c r="J8" s="3705"/>
      <c r="K8" s="370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9" t="s">
        <v>2356</v>
      </c>
      <c r="C9" s="3710"/>
      <c r="D9" s="2888">
        <f>ROUND(D6*E9,0)</f>
        <v>0</v>
      </c>
      <c r="E9" s="2892"/>
      <c r="F9" s="2893" t="s">
        <v>2357</v>
      </c>
      <c r="G9" s="2872"/>
      <c r="H9" s="2847"/>
      <c r="I9" s="2848"/>
      <c r="J9" s="3705"/>
      <c r="K9" s="3707"/>
      <c r="L9" s="2882" t="s">
        <v>2358</v>
      </c>
      <c r="M9" s="2883"/>
      <c r="N9" s="2859"/>
      <c r="O9" s="2884"/>
      <c r="P9" s="2884"/>
      <c r="Q9" s="2885">
        <v>365</v>
      </c>
      <c r="R9" s="2886">
        <f t="shared" si="0"/>
        <v>0</v>
      </c>
      <c r="S9" s="2840"/>
      <c r="T9" s="2840"/>
      <c r="U9" s="2840"/>
      <c r="V9" s="2848"/>
    </row>
    <row r="10" spans="1:22" s="2852" customFormat="1" ht="13.15" customHeight="1">
      <c r="A10" s="2887">
        <v>2</v>
      </c>
      <c r="B10" s="3709" t="s">
        <v>2359</v>
      </c>
      <c r="C10" s="3710"/>
      <c r="D10" s="2888">
        <f>ROUND(D6*E10,0)</f>
        <v>0</v>
      </c>
      <c r="E10" s="2892"/>
      <c r="F10" s="2893" t="s">
        <v>2360</v>
      </c>
      <c r="G10" s="2872"/>
      <c r="H10" s="2847"/>
      <c r="I10" s="2848"/>
      <c r="J10" s="3705"/>
      <c r="K10" s="3707"/>
      <c r="L10" s="2882" t="s">
        <v>2361</v>
      </c>
      <c r="M10" s="2883"/>
      <c r="N10" s="2859"/>
      <c r="O10" s="2884"/>
      <c r="P10" s="2884"/>
      <c r="Q10" s="2885">
        <v>365</v>
      </c>
      <c r="R10" s="2886">
        <f t="shared" si="0"/>
        <v>0</v>
      </c>
      <c r="S10" s="2840"/>
      <c r="T10" s="2840"/>
      <c r="U10" s="2840"/>
      <c r="V10" s="2848"/>
    </row>
    <row r="11" spans="1:22" s="2852" customFormat="1" ht="13.15" customHeight="1">
      <c r="A11" s="2887">
        <v>3</v>
      </c>
      <c r="B11" s="3709" t="s">
        <v>2362</v>
      </c>
      <c r="C11" s="3710"/>
      <c r="D11" s="2888">
        <f>D12+D14+D15+D16</f>
        <v>0</v>
      </c>
      <c r="E11" s="2894" t="e">
        <f>D11/D6</f>
        <v>#DIV/0!</v>
      </c>
      <c r="F11" s="2890"/>
      <c r="G11" s="2891"/>
      <c r="H11" s="2847"/>
      <c r="I11" s="2848"/>
      <c r="J11" s="3705"/>
      <c r="K11" s="370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1" t="s">
        <v>2365</v>
      </c>
      <c r="C12" s="3712"/>
      <c r="D12" s="2896">
        <f>ROUND(D13*1.2%*(1-30%),0)</f>
        <v>0</v>
      </c>
      <c r="E12" s="2897">
        <v>1.2E-2</v>
      </c>
      <c r="F12" s="2890" t="s">
        <v>2366</v>
      </c>
      <c r="G12" s="2891"/>
      <c r="H12" s="2847"/>
      <c r="I12" s="2848"/>
      <c r="J12" s="3705"/>
      <c r="K12" s="370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5"/>
      <c r="K13" s="370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1" t="s">
        <v>2371</v>
      </c>
      <c r="C14" s="3712"/>
      <c r="D14" s="2896">
        <f>ROUND(E14*B5/10000,0)</f>
        <v>0</v>
      </c>
      <c r="E14" s="2885"/>
      <c r="F14" s="2890" t="s">
        <v>2372</v>
      </c>
      <c r="G14" s="2891"/>
      <c r="H14" s="2847"/>
      <c r="I14" s="2848"/>
      <c r="J14" s="3705"/>
      <c r="K14" s="370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1" t="s">
        <v>2375</v>
      </c>
      <c r="C15" s="3712"/>
      <c r="D15" s="2896">
        <f>ROUND(D6*E15,0)</f>
        <v>0</v>
      </c>
      <c r="E15" s="2897">
        <v>5.5E-2</v>
      </c>
      <c r="F15" s="2890" t="s">
        <v>2376</v>
      </c>
      <c r="G15" s="2872"/>
      <c r="H15" s="2847"/>
      <c r="I15" s="2848"/>
      <c r="J15" s="3705">
        <v>2</v>
      </c>
      <c r="K15" s="370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1" t="s">
        <v>2384</v>
      </c>
      <c r="C16" s="3712"/>
      <c r="D16" s="2907">
        <f>D6*E16</f>
        <v>0</v>
      </c>
      <c r="E16" s="2908"/>
      <c r="F16" s="2893" t="s">
        <v>2385</v>
      </c>
      <c r="G16" s="2872"/>
      <c r="H16" s="2847"/>
      <c r="I16" s="2848"/>
      <c r="J16" s="3705"/>
      <c r="K16" s="370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3" t="s">
        <v>2387</v>
      </c>
      <c r="C17" s="3714"/>
      <c r="D17" s="2910">
        <f>ROUND(D6*E17,0)</f>
        <v>0</v>
      </c>
      <c r="E17" s="2911"/>
      <c r="F17" s="2912" t="s">
        <v>2388</v>
      </c>
      <c r="G17" s="2872"/>
      <c r="H17" s="2847"/>
      <c r="I17" s="2848"/>
      <c r="J17" s="3705"/>
      <c r="K17" s="370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5"/>
      <c r="K18" s="370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5"/>
      <c r="K19" s="370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5"/>
      <c r="K21" s="370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5"/>
      <c r="K22" s="370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5"/>
      <c r="K23" s="370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5"/>
      <c r="K24" s="370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8" t="s">
        <v>2320</v>
      </c>
      <c r="K32" s="369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0" t="s">
        <v>2330</v>
      </c>
      <c r="K33" s="3701"/>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0" t="s">
        <v>2332</v>
      </c>
      <c r="K34" s="370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5">
        <v>1</v>
      </c>
      <c r="K36" s="370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5"/>
      <c r="K40" s="370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7" t="s">
        <v>1654</v>
      </c>
      <c r="C5" s="3718"/>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A37" zoomScale="90" zoomScaleNormal="70" zoomScaleSheetLayoutView="90" workbookViewId="0">
      <selection activeCell="E53" sqref="E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166604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1831</v>
      </c>
      <c r="D5" s="211" t="s">
        <v>1469</v>
      </c>
      <c r="E5" s="212" t="s">
        <v>1470</v>
      </c>
      <c r="F5" s="212" t="s">
        <v>1471</v>
      </c>
      <c r="G5" s="213"/>
    </row>
    <row r="6" spans="1:9" s="214" customFormat="1" ht="13.5" customHeight="1">
      <c r="A6" s="778" t="s">
        <v>1472</v>
      </c>
      <c r="B6" s="215" t="s">
        <v>1473</v>
      </c>
      <c r="C6" s="216">
        <f>基准地价修正!B2</f>
        <v>1774</v>
      </c>
      <c r="D6" s="217"/>
      <c r="E6" s="218"/>
      <c r="F6" s="218"/>
      <c r="G6" s="219"/>
    </row>
    <row r="7" spans="1:9" s="214" customFormat="1" ht="13.5" customHeight="1">
      <c r="A7" s="778" t="s">
        <v>1474</v>
      </c>
      <c r="B7" s="215" t="s">
        <v>1475</v>
      </c>
      <c r="C7" s="220">
        <f>ROUND(C6*F7,0)</f>
        <v>54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t="s">
        <v>3398</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3430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3399</v>
      </c>
    </row>
    <row r="20" spans="1:7" s="214" customFormat="1" ht="13.5" customHeight="1">
      <c r="A20" s="255" t="s">
        <v>1493</v>
      </c>
      <c r="B20" s="210" t="s">
        <v>1494</v>
      </c>
      <c r="C20" s="232">
        <f>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77</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377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377</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90" t="s">
        <v>1544</v>
      </c>
    </row>
    <row r="43" spans="1:7" ht="13.5" customHeight="1">
      <c r="A43" s="780" t="s">
        <v>347</v>
      </c>
      <c r="B43" s="215" t="s">
        <v>1545</v>
      </c>
      <c r="C43" s="238">
        <f ca="1">ROUND(IF('数据-取费表'!B22&lt;=1,C39*F22*'数据-取费表'!B21/2,C39*(POWER((1+F22),'数据-取费表'!B21/2)-1)),0)</f>
        <v>0</v>
      </c>
      <c r="D43" s="238"/>
      <c r="E43" s="238"/>
      <c r="F43" s="239"/>
      <c r="G43" s="3691"/>
    </row>
    <row r="44" spans="1:7" ht="13.5" customHeight="1">
      <c r="A44" s="780" t="s">
        <v>348</v>
      </c>
      <c r="B44" s="215" t="s">
        <v>1546</v>
      </c>
      <c r="C44" s="238">
        <f ca="1">ROUND(IF('数据-取费表'!B22&lt;=1,C40*F22*'数据-取费表'!B21/2,C40*(POWER((1+F22),'数据-取费表'!B21/2)-1)),4)</f>
        <v>5.9999999999999995E-4</v>
      </c>
      <c r="D44" s="238"/>
      <c r="E44" s="238"/>
      <c r="F44" s="239"/>
      <c r="G44" s="3692"/>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0.96</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2669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1774</v>
      </c>
      <c r="C2" s="1998" t="s">
        <v>1935</v>
      </c>
      <c r="D2" s="1999" t="s">
        <v>1936</v>
      </c>
      <c r="E2" s="3421" t="s">
        <v>3386</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77572</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60710</v>
      </c>
      <c r="C3" s="1998" t="s">
        <v>1941</v>
      </c>
      <c r="D3" s="1999" t="s">
        <v>1942</v>
      </c>
      <c r="E3" s="3419" t="s">
        <v>3390</v>
      </c>
      <c r="F3" s="2003" t="s">
        <v>3391</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61585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26"/>
      <c r="B4" s="3727"/>
      <c r="C4" s="3727"/>
      <c r="D4" s="3728"/>
      <c r="E4" s="3728"/>
      <c r="F4" s="3728"/>
      <c r="G4" s="3728"/>
      <c r="H4" s="3728"/>
      <c r="I4" s="3728"/>
      <c r="J4" s="3729"/>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53213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48152</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45893</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23" t="s">
        <v>1960</v>
      </c>
      <c r="X8" s="372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25"/>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2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3392</v>
      </c>
      <c r="D15" s="2043" t="s">
        <v>3392</v>
      </c>
      <c r="E15" s="2044" t="s">
        <v>3393</v>
      </c>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30" t="s">
        <v>3261</v>
      </c>
      <c r="B20" s="167" t="s">
        <v>1994</v>
      </c>
      <c r="C20" s="3324">
        <f>ROUND(IF(F21="与级别开发程度一致",0,(G21-E21)/C21),0)</f>
        <v>0</v>
      </c>
      <c r="D20" s="3340" t="s">
        <v>1998</v>
      </c>
      <c r="E20" s="3341"/>
      <c r="F20" s="3736" t="s">
        <v>1995</v>
      </c>
      <c r="G20" s="3737"/>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3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3" t="s">
        <v>2002</v>
      </c>
      <c r="E23" s="761">
        <v>44197</v>
      </c>
      <c r="F23" s="2053" t="s">
        <v>2003</v>
      </c>
      <c r="G23" s="762">
        <f>'数据-取费表'!B2</f>
        <v>44939</v>
      </c>
      <c r="H23" s="3342" t="s">
        <v>3263</v>
      </c>
      <c r="I23" s="3343" t="str">
        <f>IF(H23="季度增幅（自定义）",SUMIF(N25:N28,E2,O25:O28),"")</f>
        <v/>
      </c>
      <c r="J23" s="3445" t="s">
        <v>3262</v>
      </c>
      <c r="K23" s="1125"/>
      <c r="L23" s="2054" t="s">
        <v>2004</v>
      </c>
      <c r="M23" s="1328">
        <f>ROUND(SUMIF(地价!B2:G2,E2,地价!B16:G16),0)</f>
        <v>687</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0.99429999999999996</v>
      </c>
      <c r="D24" s="2059" t="s">
        <v>2007</v>
      </c>
      <c r="E24" s="1335">
        <f>存贷款利率!E22/100</f>
        <v>4.3499999999999997E-2</v>
      </c>
      <c r="F24" s="2059" t="s">
        <v>1999</v>
      </c>
      <c r="G24" s="768">
        <f>SUMIF(M30:Q30,E2,M33:Q33)</f>
        <v>0.05</v>
      </c>
      <c r="H24" s="2059" t="s">
        <v>2008</v>
      </c>
      <c r="I24" s="769">
        <f>SUMIF('数据-取费表'!C6:C15,E2,'数据-取费表'!F6:F15)/COUNTIF('数据-取费表'!C6:C15,E2)</f>
        <v>66.83</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3264</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3265</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1.0605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1774</v>
      </c>
      <c r="D30" s="2082"/>
      <c r="E30" s="2045"/>
      <c r="F30" s="2083"/>
      <c r="G30" s="2045"/>
      <c r="H30" s="2045"/>
      <c r="I30" s="2045"/>
      <c r="J30" s="2084"/>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60717</v>
      </c>
      <c r="D33" s="2097">
        <f>'数据-汇总表'!D3</f>
        <v>292.20999999999998</v>
      </c>
      <c r="E33" s="773">
        <f>ROUND(C33*D33/10000,0)</f>
        <v>1774</v>
      </c>
      <c r="F33" s="3345" t="s">
        <v>3267</v>
      </c>
      <c r="G33" s="2098"/>
      <c r="H33" s="2098"/>
      <c r="I33" s="2098"/>
      <c r="J33" s="2099"/>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15179</v>
      </c>
      <c r="D34" s="2102"/>
      <c r="E34" s="773">
        <f>ROUND(IF(B25="楼层修正",SUM(V2:V16)*M40,C34*D34/10000),0)</f>
        <v>0</v>
      </c>
      <c r="F34" s="2103" t="s">
        <v>2032</v>
      </c>
      <c r="G34" s="2104"/>
      <c r="H34" s="2104"/>
      <c r="I34" s="2104"/>
      <c r="J34" s="2105"/>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34"/>
      <c r="B37" s="2112" t="s">
        <v>2036</v>
      </c>
      <c r="C37" s="175">
        <f>ROUND(D5*C22*C23*C24*C28*F37,0)</f>
        <v>24547</v>
      </c>
      <c r="D37" s="2097"/>
      <c r="E37" s="171">
        <f>ROUND(C37*D37/10000,0)</f>
        <v>0</v>
      </c>
      <c r="F37" s="171">
        <f>SUMIF(修正!A57:A68,G2,修正!B57:B68)</f>
        <v>0.7</v>
      </c>
      <c r="G37" s="171">
        <f>ROUND(IF(E2="工业",C37*$M$42,C37*$M$41),0)</f>
        <v>6137</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35"/>
      <c r="B38" s="2040" t="s">
        <v>2037</v>
      </c>
      <c r="C38" s="175">
        <f>ROUND(D5*C22*C23*C24*C28*F38,0)</f>
        <v>14027</v>
      </c>
      <c r="D38" s="2097"/>
      <c r="E38" s="171">
        <f t="shared" ref="E38:E42" si="4">ROUND(C38*D38/10000,0)</f>
        <v>0</v>
      </c>
      <c r="F38" s="171">
        <f>SUMIF(修正!A57:A68,G2,修正!C57:C68)</f>
        <v>0.4</v>
      </c>
      <c r="G38" s="171">
        <f>ROUND(IF(E2="工业",C38*$M$42,C38*$M$41),0)</f>
        <v>3507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35"/>
      <c r="B39" s="2040" t="s">
        <v>3266</v>
      </c>
      <c r="C39" s="175">
        <f>ROUND(D5*C22*C23*C24*C28*F39,0)</f>
        <v>10520</v>
      </c>
      <c r="D39" s="2097"/>
      <c r="E39" s="171">
        <f t="shared" si="4"/>
        <v>0</v>
      </c>
      <c r="F39" s="171">
        <f>SUMIF(修正!A57:A68,G2,修正!D57:D68)</f>
        <v>0.3</v>
      </c>
      <c r="G39" s="171">
        <f>ROUND(IF(E2="工业",C39*$M$42,C39*$M$41),0)</f>
        <v>2630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10520</v>
      </c>
      <c r="D40" s="2097"/>
      <c r="E40" s="171">
        <f t="shared" si="4"/>
        <v>0</v>
      </c>
      <c r="F40" s="175">
        <f>SUMIF(修正!A57:A68,G2,修正!E57:E68)</f>
        <v>0.3</v>
      </c>
      <c r="G40" s="171">
        <f>ROUND(IF(E2="工业",C40*$M$42,C40*$M$41),0)</f>
        <v>2630</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1.0605</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3395</v>
      </c>
      <c r="D72" s="1065">
        <f t="shared" ref="D72:D80" si="17">SUMIF($J$71:$N$71,C72,J72:N72)</f>
        <v>7.9000000000000008E-3</v>
      </c>
      <c r="E72" s="744">
        <f>ROUND(SUM(D72:D80),4)</f>
        <v>6.0499999999999998E-2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3396</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3276</v>
      </c>
      <c r="B74" s="2133">
        <f>估价对象房地状况!C19</f>
        <v>0</v>
      </c>
      <c r="C74" s="2043" t="s">
        <v>3395</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3397</v>
      </c>
      <c r="D75" s="1065">
        <f t="shared" si="17"/>
        <v>0</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2043" t="s">
        <v>3396</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2043" t="s">
        <v>3396</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2043" t="s">
        <v>3395</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2043" t="s">
        <v>3396</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2043" t="s">
        <v>3396</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3277</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3280</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3276</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3281</v>
      </c>
      <c r="B96" s="3384" t="s">
        <v>3292</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3282</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3283</v>
      </c>
      <c r="B98" s="3385" t="s">
        <v>3293</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3284</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3285</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3286</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32" t="s">
        <v>3301</v>
      </c>
      <c r="B103" s="3732"/>
      <c r="C103" s="3732"/>
      <c r="D103" s="3732"/>
      <c r="E103" s="3732"/>
      <c r="F103" s="3732"/>
      <c r="G103" s="3732"/>
      <c r="H103" s="3732"/>
      <c r="I103" s="3732"/>
      <c r="J103" s="3732"/>
      <c r="K103" s="3389"/>
      <c r="L103" s="3389"/>
      <c r="M103" s="3389"/>
      <c r="N103" s="3389"/>
    </row>
    <row r="104" spans="1:14">
      <c r="A104" s="3733" t="s">
        <v>3302</v>
      </c>
      <c r="B104" s="3733" t="s">
        <v>3303</v>
      </c>
      <c r="C104" s="3390" t="s">
        <v>3304</v>
      </c>
      <c r="D104" s="3391"/>
      <c r="E104" s="3391"/>
      <c r="F104" s="3391"/>
      <c r="G104" s="3391"/>
      <c r="H104" s="3391"/>
      <c r="I104" s="3391"/>
      <c r="J104" s="3392"/>
      <c r="K104" s="3393"/>
      <c r="L104" s="3393"/>
      <c r="M104" s="3393"/>
      <c r="N104" s="3393"/>
    </row>
    <row r="105" spans="1:14">
      <c r="A105" s="3733"/>
      <c r="B105" s="3733"/>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19"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2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2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2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2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20"/>
      <c r="B111" s="3394" t="s">
        <v>3275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2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22" t="s">
        <v>3318</v>
      </c>
      <c r="B113" s="3722"/>
      <c r="C113" s="3722"/>
      <c r="D113" s="3722"/>
      <c r="E113" s="3722"/>
      <c r="F113" s="3722"/>
      <c r="G113" s="3722"/>
      <c r="H113" s="3722"/>
      <c r="I113" s="3722"/>
      <c r="J113" s="372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1</v>
      </c>
      <c r="C116" s="3399" t="s">
        <v>3320</v>
      </c>
      <c r="D116" s="3400">
        <f>SUMPRODUCT((A118:A122=F116)*(B117:M117=H116)*B118:M122)</f>
        <v>0.93330000000000002</v>
      </c>
      <c r="E116" s="1999" t="s">
        <v>3321</v>
      </c>
      <c r="F116" s="3401" t="str">
        <f>E2</f>
        <v>住宅</v>
      </c>
      <c r="G116" s="1999" t="s">
        <v>3322</v>
      </c>
      <c r="H116" s="3401" t="str">
        <f>G2</f>
        <v>二级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8" priority="6" stopIfTrue="1" operator="notEqual">
      <formula>"——"</formula>
    </cfRule>
  </conditionalFormatting>
  <conditionalFormatting sqref="F61">
    <cfRule type="cellIs" dxfId="137" priority="5" stopIfTrue="1" operator="notEqual">
      <formula>"——"</formula>
    </cfRule>
  </conditionalFormatting>
  <conditionalFormatting sqref="F72">
    <cfRule type="cellIs" dxfId="136" priority="4" stopIfTrue="1" operator="notEqual">
      <formula>"——"</formula>
    </cfRule>
  </conditionalFormatting>
  <conditionalFormatting sqref="F83">
    <cfRule type="cellIs" dxfId="135" priority="3" stopIfTrue="1" operator="notEqual">
      <formula>"——"</formula>
    </cfRule>
  </conditionalFormatting>
  <conditionalFormatting sqref="H50:H58 H61:H69 H72:H80 H83:H91">
    <cfRule type="cellIs" dxfId="134" priority="2" operator="notEqual">
      <formula>"——"</formula>
    </cfRule>
  </conditionalFormatting>
  <conditionalFormatting sqref="H93:H101">
    <cfRule type="cellIs" dxfId="13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49" t="s">
        <v>1771</v>
      </c>
      <c r="S4" s="3650"/>
      <c r="T4" s="3649" t="s">
        <v>1772</v>
      </c>
      <c r="U4" s="3650"/>
      <c r="V4" s="3674" t="s">
        <v>1773</v>
      </c>
      <c r="W4" s="3674"/>
      <c r="X4" s="1355"/>
      <c r="Y4" s="3649" t="s">
        <v>1775</v>
      </c>
      <c r="Z4" s="3650"/>
      <c r="AA4" s="3644" t="s">
        <v>1771</v>
      </c>
      <c r="AB4" s="3674" t="s">
        <v>1772</v>
      </c>
      <c r="AC4" s="3644" t="s">
        <v>1773</v>
      </c>
    </row>
    <row r="5" spans="1:29" ht="15">
      <c r="A5" s="358"/>
      <c r="B5" s="359"/>
      <c r="C5" s="3655" t="s">
        <v>1673</v>
      </c>
      <c r="D5" s="3656"/>
      <c r="E5" s="3653" t="s">
        <v>1674</v>
      </c>
      <c r="F5" s="3654"/>
      <c r="G5" s="3655" t="s">
        <v>1675</v>
      </c>
      <c r="H5" s="3656"/>
      <c r="I5" s="3655" t="s">
        <v>1676</v>
      </c>
      <c r="J5" s="3656"/>
      <c r="K5" s="559"/>
      <c r="L5" s="2714"/>
      <c r="M5" s="2715"/>
      <c r="N5" s="2715"/>
      <c r="O5" s="2715"/>
      <c r="P5" s="3668"/>
      <c r="Q5" s="3669"/>
      <c r="R5" s="3651"/>
      <c r="S5" s="3652"/>
      <c r="T5" s="3651"/>
      <c r="U5" s="3652"/>
      <c r="V5" s="3674"/>
      <c r="W5" s="3674"/>
      <c r="X5" s="1355"/>
      <c r="Y5" s="3651"/>
      <c r="Z5" s="3652"/>
      <c r="AA5" s="3645"/>
      <c r="AB5" s="3674"/>
      <c r="AC5" s="3645"/>
    </row>
    <row r="6" spans="1:29" ht="15.75" thickBot="1">
      <c r="A6" s="360"/>
      <c r="B6" s="361"/>
      <c r="C6" s="3657" t="s">
        <v>1677</v>
      </c>
      <c r="D6" s="3658"/>
      <c r="E6" s="3659" t="s">
        <v>1677</v>
      </c>
      <c r="F6" s="3660"/>
      <c r="G6" s="3657" t="s">
        <v>1677</v>
      </c>
      <c r="H6" s="3658"/>
      <c r="I6" s="3657" t="s">
        <v>1677</v>
      </c>
      <c r="J6" s="3658"/>
      <c r="K6" s="559" t="s">
        <v>1678</v>
      </c>
      <c r="L6" s="2714"/>
      <c r="M6" s="2715"/>
      <c r="N6" s="2715"/>
      <c r="O6" s="2715"/>
      <c r="P6" s="3670"/>
      <c r="Q6" s="3671"/>
      <c r="R6" s="3651"/>
      <c r="S6" s="3652"/>
      <c r="T6" s="3672"/>
      <c r="U6" s="3673"/>
      <c r="V6" s="3674"/>
      <c r="W6" s="3674"/>
      <c r="X6" s="1355"/>
      <c r="Y6" s="3672"/>
      <c r="Z6" s="3673"/>
      <c r="AA6" s="3646"/>
      <c r="AB6" s="3674"/>
      <c r="AC6" s="3646"/>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47" t="s">
        <v>1683</v>
      </c>
      <c r="Q8" s="3648"/>
      <c r="R8" s="701" t="s">
        <v>14</v>
      </c>
      <c r="S8" s="702">
        <f t="shared" si="0"/>
        <v>100</v>
      </c>
      <c r="T8" s="701" t="s">
        <v>14</v>
      </c>
      <c r="U8" s="702">
        <f t="shared" si="1"/>
        <v>100</v>
      </c>
      <c r="V8" s="701" t="s">
        <v>14</v>
      </c>
      <c r="W8" s="702">
        <f t="shared" si="2"/>
        <v>100</v>
      </c>
      <c r="X8" s="703"/>
      <c r="Y8" s="3647" t="s">
        <v>1683</v>
      </c>
      <c r="Z8" s="36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1"/>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689"/>
      <c r="Q22" s="1352"/>
      <c r="R22" s="705"/>
      <c r="S22" s="706"/>
      <c r="T22" s="705"/>
      <c r="U22" s="706"/>
      <c r="V22" s="705"/>
      <c r="W22" s="706"/>
      <c r="X22" s="1355"/>
      <c r="Y22" s="368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9" t="str">
        <f>A47</f>
        <v>成交单价（元/平方米）</v>
      </c>
      <c r="Q47" s="3679"/>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744" t="s">
        <v>1775</v>
      </c>
      <c r="Q4" s="3745"/>
      <c r="R4" s="3739" t="s">
        <v>1771</v>
      </c>
      <c r="S4" s="3740"/>
      <c r="T4" s="3739" t="s">
        <v>1772</v>
      </c>
      <c r="U4" s="3740"/>
      <c r="V4" s="3748" t="s">
        <v>1773</v>
      </c>
      <c r="W4" s="3748"/>
      <c r="X4" s="1957"/>
      <c r="Y4" s="3739" t="s">
        <v>1775</v>
      </c>
      <c r="Z4" s="3740"/>
      <c r="AA4" s="3738" t="s">
        <v>1771</v>
      </c>
      <c r="AB4" s="3738" t="s">
        <v>1772</v>
      </c>
      <c r="AC4" s="3741" t="s">
        <v>1773</v>
      </c>
    </row>
    <row r="5" spans="1:29" ht="15">
      <c r="A5" s="358"/>
      <c r="B5" s="359"/>
      <c r="C5" s="3655" t="s">
        <v>1673</v>
      </c>
      <c r="D5" s="3656"/>
      <c r="E5" s="3653" t="s">
        <v>1674</v>
      </c>
      <c r="F5" s="3654"/>
      <c r="G5" s="3655" t="s">
        <v>1675</v>
      </c>
      <c r="H5" s="3656"/>
      <c r="I5" s="3655" t="s">
        <v>1676</v>
      </c>
      <c r="J5" s="3656"/>
      <c r="K5" s="559"/>
      <c r="L5" s="2714"/>
      <c r="M5" s="2715"/>
      <c r="N5" s="2715"/>
      <c r="O5" s="2715"/>
      <c r="P5" s="3746"/>
      <c r="Q5" s="3669"/>
      <c r="R5" s="3651"/>
      <c r="S5" s="3652"/>
      <c r="T5" s="3651"/>
      <c r="U5" s="3652"/>
      <c r="V5" s="3674"/>
      <c r="W5" s="3674"/>
      <c r="X5" s="1355"/>
      <c r="Y5" s="3651"/>
      <c r="Z5" s="3652"/>
      <c r="AA5" s="3645"/>
      <c r="AB5" s="3645"/>
      <c r="AC5" s="3742"/>
    </row>
    <row r="6" spans="1:29" ht="15.75" thickBot="1">
      <c r="A6" s="360"/>
      <c r="B6" s="361"/>
      <c r="C6" s="3657" t="s">
        <v>1677</v>
      </c>
      <c r="D6" s="3658"/>
      <c r="E6" s="3659" t="s">
        <v>1677</v>
      </c>
      <c r="F6" s="3660"/>
      <c r="G6" s="3657" t="s">
        <v>1677</v>
      </c>
      <c r="H6" s="3658"/>
      <c r="I6" s="3657" t="s">
        <v>1677</v>
      </c>
      <c r="J6" s="3658"/>
      <c r="K6" s="559" t="s">
        <v>1678</v>
      </c>
      <c r="L6" s="2714"/>
      <c r="M6" s="2715"/>
      <c r="N6" s="2715"/>
      <c r="O6" s="2715"/>
      <c r="P6" s="3747"/>
      <c r="Q6" s="3671"/>
      <c r="R6" s="3651"/>
      <c r="S6" s="3652"/>
      <c r="T6" s="3672"/>
      <c r="U6" s="3673"/>
      <c r="V6" s="3674"/>
      <c r="W6" s="3674"/>
      <c r="X6" s="1355"/>
      <c r="Y6" s="3672"/>
      <c r="Z6" s="3673"/>
      <c r="AA6" s="3646"/>
      <c r="AB6" s="3646"/>
      <c r="AC6" s="3743"/>
    </row>
    <row r="7" spans="1:29" s="108" customFormat="1" ht="15.75" thickBot="1">
      <c r="A7" s="362" t="s">
        <v>1679</v>
      </c>
      <c r="B7" s="363"/>
      <c r="C7" s="364">
        <f>'数据-取费表'!B2</f>
        <v>44939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9"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9" t="s">
        <v>1683</v>
      </c>
      <c r="Q8" s="3648"/>
      <c r="R8" s="701" t="s">
        <v>14</v>
      </c>
      <c r="S8" s="702">
        <f t="shared" si="0"/>
        <v>100</v>
      </c>
      <c r="T8" s="701" t="s">
        <v>14</v>
      </c>
      <c r="U8" s="702">
        <f t="shared" si="1"/>
        <v>100</v>
      </c>
      <c r="V8" s="701" t="s">
        <v>14</v>
      </c>
      <c r="W8" s="702">
        <f t="shared" si="2"/>
        <v>100</v>
      </c>
      <c r="X8" s="703"/>
      <c r="Y8" s="3647" t="s">
        <v>1683</v>
      </c>
      <c r="Z8" s="364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1"/>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9"/>
      <c r="Q18" s="1352"/>
      <c r="R18" s="705"/>
      <c r="S18" s="706"/>
      <c r="T18" s="705"/>
      <c r="U18" s="706"/>
      <c r="V18" s="705"/>
      <c r="W18" s="706"/>
      <c r="X18" s="1355"/>
      <c r="Y18" s="3682"/>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9"/>
      <c r="Q20" s="1352"/>
      <c r="R20" s="705"/>
      <c r="S20" s="706"/>
      <c r="T20" s="705"/>
      <c r="U20" s="706"/>
      <c r="V20" s="705"/>
      <c r="W20" s="706"/>
      <c r="X20" s="1355"/>
      <c r="Y20" s="3682"/>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89"/>
      <c r="Q22" s="1352"/>
      <c r="R22" s="705"/>
      <c r="S22" s="706"/>
      <c r="T22" s="705"/>
      <c r="U22" s="706"/>
      <c r="V22" s="705"/>
      <c r="W22" s="706"/>
      <c r="X22" s="1355"/>
      <c r="Y22" s="3682"/>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9"/>
      <c r="Q24" s="1352"/>
      <c r="R24" s="705"/>
      <c r="S24" s="706"/>
      <c r="T24" s="705"/>
      <c r="U24" s="706"/>
      <c r="V24" s="705"/>
      <c r="W24" s="706"/>
      <c r="X24" s="1355"/>
      <c r="Y24" s="3682"/>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89"/>
      <c r="Q26" s="1352"/>
      <c r="R26" s="705"/>
      <c r="S26" s="706"/>
      <c r="T26" s="705"/>
      <c r="U26" s="706"/>
      <c r="V26" s="705"/>
      <c r="W26" s="706"/>
      <c r="X26" s="1355"/>
      <c r="Y26" s="3682"/>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61"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6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913"/>
      <c r="M5" s="914"/>
      <c r="N5" s="914"/>
      <c r="O5" s="914"/>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913"/>
      <c r="M6" s="914"/>
      <c r="N6" s="914"/>
      <c r="O6" s="914"/>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5"/>
      <c r="M7" s="916"/>
      <c r="N7" s="916"/>
      <c r="O7" s="916"/>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7" t="s">
        <v>1683</v>
      </c>
      <c r="Q8" s="3648"/>
      <c r="R8" s="701" t="s">
        <v>14</v>
      </c>
      <c r="S8" s="702">
        <f t="shared" si="0"/>
        <v>100</v>
      </c>
      <c r="T8" s="701" t="s">
        <v>14</v>
      </c>
      <c r="U8" s="702">
        <f t="shared" si="1"/>
        <v>100</v>
      </c>
      <c r="V8" s="701" t="s">
        <v>14</v>
      </c>
      <c r="W8" s="702">
        <f t="shared" si="2"/>
        <v>100</v>
      </c>
      <c r="X8" s="703"/>
      <c r="Y8" s="3647" t="s">
        <v>1683</v>
      </c>
      <c r="Z8" s="36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4"/>
      <c r="M5" s="2715"/>
      <c r="N5" s="2715"/>
      <c r="O5" s="2715"/>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4"/>
      <c r="M6" s="2715"/>
      <c r="N6" s="2715"/>
      <c r="O6" s="2715"/>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7" t="s">
        <v>1680</v>
      </c>
      <c r="Q7" s="3675"/>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7" t="s">
        <v>1683</v>
      </c>
      <c r="Q8" s="3648"/>
      <c r="R8" s="701" t="s">
        <v>14</v>
      </c>
      <c r="S8" s="702">
        <f t="shared" si="0"/>
        <v>100</v>
      </c>
      <c r="T8" s="701" t="s">
        <v>14</v>
      </c>
      <c r="U8" s="702">
        <f t="shared" si="1"/>
        <v>100</v>
      </c>
      <c r="V8" s="701" t="s">
        <v>14</v>
      </c>
      <c r="W8" s="702">
        <f t="shared" si="2"/>
        <v>100</v>
      </c>
      <c r="X8" s="703"/>
      <c r="Y8" s="3647" t="s">
        <v>1683</v>
      </c>
      <c r="Z8" s="36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9"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9"/>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2"/>
      <c r="Q15" s="1352"/>
      <c r="R15" s="705"/>
      <c r="S15" s="706"/>
      <c r="T15" s="705"/>
      <c r="U15" s="706"/>
      <c r="V15" s="705"/>
      <c r="W15" s="706"/>
      <c r="X15" s="1355"/>
      <c r="Y15" s="3682"/>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82"/>
      <c r="Q17" s="1352"/>
      <c r="R17" s="705"/>
      <c r="S17" s="706"/>
      <c r="T17" s="705"/>
      <c r="U17" s="706"/>
      <c r="V17" s="705"/>
      <c r="W17" s="706"/>
      <c r="X17" s="1355"/>
      <c r="Y17" s="3682"/>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82"/>
      <c r="Q19" s="1352"/>
      <c r="R19" s="705"/>
      <c r="S19" s="706"/>
      <c r="T19" s="705"/>
      <c r="U19" s="706"/>
      <c r="V19" s="705"/>
      <c r="W19" s="706"/>
      <c r="X19" s="1355"/>
      <c r="Y19" s="3682"/>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2" t="s">
        <v>3361</v>
      </c>
      <c r="C37" s="1154" t="s">
        <v>0</v>
      </c>
      <c r="D37" s="1155"/>
      <c r="E37" s="1156"/>
      <c r="F37" s="1157"/>
      <c r="G37" s="1158"/>
      <c r="H37" s="1159"/>
      <c r="I37" s="1156"/>
      <c r="J37" s="1159"/>
      <c r="K37" s="568"/>
      <c r="L37" s="2723"/>
      <c r="M37" s="2724"/>
      <c r="N37" s="2715"/>
      <c r="O37" s="2724"/>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6" t="str">
        <f>A39</f>
        <v>估价对象XX用房的比较价值（楼面单价，元/平方米）</v>
      </c>
      <c r="Q39" s="3677"/>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4"/>
      <c r="M5" s="2715"/>
      <c r="N5" s="2715"/>
      <c r="O5" s="2715"/>
      <c r="P5" s="3668"/>
      <c r="Q5" s="3669"/>
      <c r="R5" s="3651"/>
      <c r="S5" s="3652"/>
      <c r="T5" s="3651"/>
      <c r="U5" s="3652"/>
      <c r="V5" s="3674"/>
      <c r="W5" s="3674"/>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4"/>
      <c r="M6" s="2715"/>
      <c r="N6" s="2715"/>
      <c r="O6" s="2715"/>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47" t="s">
        <v>1680</v>
      </c>
      <c r="Q7" s="3675"/>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7" t="s">
        <v>1683</v>
      </c>
      <c r="Q8" s="3648"/>
      <c r="R8" s="701" t="s">
        <v>14</v>
      </c>
      <c r="S8" s="702">
        <f t="shared" si="0"/>
        <v>100</v>
      </c>
      <c r="T8" s="701" t="s">
        <v>14</v>
      </c>
      <c r="U8" s="702">
        <f t="shared" si="1"/>
        <v>100</v>
      </c>
      <c r="V8" s="701" t="s">
        <v>14</v>
      </c>
      <c r="W8" s="702">
        <f t="shared" si="2"/>
        <v>100</v>
      </c>
      <c r="X8" s="703"/>
      <c r="Y8" s="3647" t="s">
        <v>1683</v>
      </c>
      <c r="Z8" s="36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9"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9"/>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2"/>
      <c r="Q15" s="1352"/>
      <c r="R15" s="705"/>
      <c r="S15" s="706"/>
      <c r="T15" s="705"/>
      <c r="U15" s="706"/>
      <c r="V15" s="705"/>
      <c r="W15" s="706"/>
      <c r="X15" s="1355"/>
      <c r="Y15" s="3682"/>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82"/>
      <c r="Q17" s="1352"/>
      <c r="R17" s="705"/>
      <c r="S17" s="706"/>
      <c r="T17" s="705"/>
      <c r="U17" s="706"/>
      <c r="V17" s="705"/>
      <c r="W17" s="706"/>
      <c r="X17" s="1355"/>
      <c r="Y17" s="3682"/>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82"/>
      <c r="Q19" s="1352"/>
      <c r="R19" s="705"/>
      <c r="S19" s="706"/>
      <c r="T19" s="705"/>
      <c r="U19" s="706"/>
      <c r="V19" s="705"/>
      <c r="W19" s="706"/>
      <c r="X19" s="1355"/>
      <c r="Y19" s="3682"/>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6" t="str">
        <f>A37</f>
        <v>估价对象XX用房的比较价值（楼面单价，元/平方米）</v>
      </c>
      <c r="Q37" s="3677"/>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30" ht="15">
      <c r="A5" s="358"/>
      <c r="B5" s="359"/>
      <c r="C5" s="3655" t="s">
        <v>1673</v>
      </c>
      <c r="D5" s="3656"/>
      <c r="E5" s="3653" t="s">
        <v>1674</v>
      </c>
      <c r="F5" s="3654"/>
      <c r="G5" s="3655" t="s">
        <v>1675</v>
      </c>
      <c r="H5" s="3656"/>
      <c r="I5" s="3655" t="s">
        <v>1676</v>
      </c>
      <c r="J5" s="3656"/>
      <c r="K5" s="559"/>
      <c r="L5" s="2714"/>
      <c r="M5" s="2715"/>
      <c r="N5" s="2715"/>
      <c r="O5" s="2715"/>
      <c r="P5" s="3668"/>
      <c r="Q5" s="3669"/>
      <c r="R5" s="3651"/>
      <c r="S5" s="3652"/>
      <c r="T5" s="3651"/>
      <c r="U5" s="3652"/>
      <c r="V5" s="3674"/>
      <c r="W5" s="3674"/>
      <c r="X5" s="1355"/>
      <c r="Y5" s="3651"/>
      <c r="Z5" s="3652"/>
      <c r="AA5" s="3645"/>
      <c r="AB5" s="3645"/>
      <c r="AC5" s="3645"/>
    </row>
    <row r="6" spans="1:30" ht="15.75" thickBot="1">
      <c r="A6" s="360"/>
      <c r="B6" s="361"/>
      <c r="C6" s="3657" t="s">
        <v>1677</v>
      </c>
      <c r="D6" s="3658"/>
      <c r="E6" s="3659" t="s">
        <v>1677</v>
      </c>
      <c r="F6" s="3660"/>
      <c r="G6" s="3657" t="s">
        <v>1677</v>
      </c>
      <c r="H6" s="3658"/>
      <c r="I6" s="3657" t="s">
        <v>1677</v>
      </c>
      <c r="J6" s="3658"/>
      <c r="K6" s="559" t="s">
        <v>1678</v>
      </c>
      <c r="L6" s="2714"/>
      <c r="M6" s="2715"/>
      <c r="N6" s="2715"/>
      <c r="O6" s="2715"/>
      <c r="P6" s="3670"/>
      <c r="Q6" s="3671"/>
      <c r="R6" s="3651"/>
      <c r="S6" s="3652"/>
      <c r="T6" s="3672"/>
      <c r="U6" s="3673"/>
      <c r="V6" s="3674"/>
      <c r="W6" s="3674"/>
      <c r="X6" s="1355"/>
      <c r="Y6" s="3672"/>
      <c r="Z6" s="3673"/>
      <c r="AA6" s="3646"/>
      <c r="AB6" s="3646"/>
      <c r="AC6" s="3646"/>
    </row>
    <row r="7" spans="1:30" s="108" customFormat="1" ht="15.7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7" t="s">
        <v>1683</v>
      </c>
      <c r="Q8" s="3648"/>
      <c r="R8" s="701" t="s">
        <v>14</v>
      </c>
      <c r="S8" s="702">
        <f t="shared" si="0"/>
        <v>0</v>
      </c>
      <c r="T8" s="701" t="s">
        <v>14</v>
      </c>
      <c r="U8" s="702">
        <f t="shared" si="1"/>
        <v>0</v>
      </c>
      <c r="V8" s="701" t="s">
        <v>14</v>
      </c>
      <c r="W8" s="702">
        <f t="shared" si="2"/>
        <v>0</v>
      </c>
      <c r="X8" s="703"/>
      <c r="Y8" s="3647" t="s">
        <v>1683</v>
      </c>
      <c r="Z8" s="364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79"/>
      <c r="Q10" s="1343" t="str">
        <f t="shared" si="6"/>
        <v>土地使用年限（年）</v>
      </c>
      <c r="R10" s="701" t="s">
        <v>14</v>
      </c>
      <c r="S10" s="702">
        <f t="shared" si="0"/>
        <v>101</v>
      </c>
      <c r="T10" s="701" t="s">
        <v>14</v>
      </c>
      <c r="U10" s="702">
        <f t="shared" si="1"/>
        <v>101</v>
      </c>
      <c r="V10" s="701" t="s">
        <v>14</v>
      </c>
      <c r="W10" s="702">
        <f t="shared" si="2"/>
        <v>101</v>
      </c>
      <c r="X10" s="703"/>
      <c r="Y10" s="3620"/>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9"/>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82"/>
      <c r="Q20" s="1352"/>
      <c r="R20" s="705"/>
      <c r="S20" s="706"/>
      <c r="T20" s="705"/>
      <c r="U20" s="706"/>
      <c r="V20" s="705"/>
      <c r="W20" s="706"/>
      <c r="X20" s="1355"/>
      <c r="Y20" s="3682"/>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82"/>
      <c r="Q24" s="1352"/>
      <c r="R24" s="705"/>
      <c r="S24" s="706"/>
      <c r="T24" s="705"/>
      <c r="U24" s="706"/>
      <c r="V24" s="705"/>
      <c r="W24" s="706"/>
      <c r="X24" s="1355"/>
      <c r="Y24" s="3682"/>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3"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79" t="str">
        <f>A46</f>
        <v>成交单价</v>
      </c>
      <c r="Q46" s="3679"/>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9" t="str">
        <f>A47</f>
        <v>比较价值（元/平方米）</v>
      </c>
      <c r="Q47" s="3679"/>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6" t="str">
        <f>A48</f>
        <v>估价对象XX用房的比较价值（楼面单价，元/平方米）</v>
      </c>
      <c r="Q48" s="3677"/>
      <c r="R48" s="3756" t="e">
        <f>ROUND(IF(D47="简单平均",AVERAGE(R47:W47),R47*F47+T47*H47+V47*J47),0)</f>
        <v>#DIV/0!</v>
      </c>
      <c r="S48" s="3756"/>
      <c r="T48" s="3756"/>
      <c r="U48" s="3756"/>
      <c r="V48" s="3756"/>
      <c r="W48" s="375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2" t="s">
        <v>1887</v>
      </c>
      <c r="H55" s="375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61"/>
      <c r="H56" s="367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49" t="s">
        <v>1771</v>
      </c>
      <c r="S4" s="3650"/>
      <c r="T4" s="3649" t="s">
        <v>1772</v>
      </c>
      <c r="U4" s="3650"/>
      <c r="V4" s="3674" t="s">
        <v>1773</v>
      </c>
      <c r="W4" s="3674"/>
      <c r="X4" s="1355"/>
      <c r="Y4" s="3649" t="s">
        <v>1775</v>
      </c>
      <c r="Z4" s="3650"/>
      <c r="AA4" s="3644" t="s">
        <v>1771</v>
      </c>
      <c r="AB4" s="3645" t="s">
        <v>1772</v>
      </c>
      <c r="AC4" s="3644" t="s">
        <v>1773</v>
      </c>
    </row>
    <row r="5" spans="1:29" ht="15">
      <c r="A5" s="358"/>
      <c r="B5" s="359"/>
      <c r="C5" s="3655" t="s">
        <v>1673</v>
      </c>
      <c r="D5" s="3656"/>
      <c r="E5" s="3653" t="s">
        <v>1674</v>
      </c>
      <c r="F5" s="3654"/>
      <c r="G5" s="3655" t="s">
        <v>1675</v>
      </c>
      <c r="H5" s="3656"/>
      <c r="I5" s="3655" t="s">
        <v>1676</v>
      </c>
      <c r="J5" s="3656"/>
      <c r="K5" s="559"/>
      <c r="L5" s="2714"/>
      <c r="M5" s="2715"/>
      <c r="N5" s="2715"/>
      <c r="O5" s="2715"/>
      <c r="P5" s="3668"/>
      <c r="Q5" s="3669"/>
      <c r="R5" s="3651"/>
      <c r="S5" s="3652"/>
      <c r="T5" s="3651"/>
      <c r="U5" s="3652"/>
      <c r="V5" s="3674"/>
      <c r="W5" s="3674"/>
      <c r="X5" s="1355"/>
      <c r="Y5" s="3651"/>
      <c r="Z5" s="3652"/>
      <c r="AA5" s="3645"/>
      <c r="AB5" s="3645"/>
      <c r="AC5" s="3645"/>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670"/>
      <c r="Q6" s="3671"/>
      <c r="R6" s="3651"/>
      <c r="S6" s="3652"/>
      <c r="T6" s="3672"/>
      <c r="U6" s="3673"/>
      <c r="V6" s="3674"/>
      <c r="W6" s="3674"/>
      <c r="X6" s="1355"/>
      <c r="Y6" s="3672"/>
      <c r="Z6" s="3673"/>
      <c r="AA6" s="3646"/>
      <c r="AB6" s="3646"/>
      <c r="AC6" s="3646"/>
    </row>
    <row r="7" spans="1:29" s="108" customFormat="1" ht="15.7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47" t="s">
        <v>1680</v>
      </c>
      <c r="Q7" s="3675"/>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7" t="s">
        <v>1683</v>
      </c>
      <c r="Q8" s="3648"/>
      <c r="R8" s="701" t="s">
        <v>14</v>
      </c>
      <c r="S8" s="702">
        <f t="shared" si="0"/>
        <v>0</v>
      </c>
      <c r="T8" s="701" t="s">
        <v>14</v>
      </c>
      <c r="U8" s="702">
        <f t="shared" si="1"/>
        <v>0</v>
      </c>
      <c r="V8" s="701" t="s">
        <v>14</v>
      </c>
      <c r="W8" s="702">
        <f t="shared" si="2"/>
        <v>0</v>
      </c>
      <c r="X8" s="703"/>
      <c r="Y8" s="3647" t="s">
        <v>1683</v>
      </c>
      <c r="Z8" s="364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79"/>
      <c r="Q10" s="1343" t="str">
        <f t="shared" si="6"/>
        <v>土地使用年限（年）</v>
      </c>
      <c r="R10" s="701" t="s">
        <v>14</v>
      </c>
      <c r="S10" s="702">
        <f t="shared" si="0"/>
        <v>101</v>
      </c>
      <c r="T10" s="701" t="s">
        <v>14</v>
      </c>
      <c r="U10" s="702">
        <f t="shared" si="1"/>
        <v>101</v>
      </c>
      <c r="V10" s="701" t="s">
        <v>14</v>
      </c>
      <c r="W10" s="702">
        <f t="shared" si="2"/>
        <v>101</v>
      </c>
      <c r="X10" s="703"/>
      <c r="Y10" s="3620"/>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82"/>
      <c r="Q20" s="1352"/>
      <c r="R20" s="705"/>
      <c r="S20" s="706"/>
      <c r="T20" s="705"/>
      <c r="U20" s="706"/>
      <c r="V20" s="705"/>
      <c r="W20" s="706"/>
      <c r="X20" s="1355"/>
      <c r="Y20" s="3682"/>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3"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79" t="str">
        <f>A41</f>
        <v>成交单价</v>
      </c>
      <c r="Q41" s="3679"/>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9" t="str">
        <f>A42</f>
        <v>比较价值（元/平方米）</v>
      </c>
      <c r="Q42" s="3679"/>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6" t="str">
        <f>A43</f>
        <v>估价对象XX用房的比较价值（楼面单价，元/平方米）</v>
      </c>
      <c r="Q43" s="3677"/>
      <c r="R43" s="3756" t="e">
        <f>ROUND(IF(D42="简单平均",AVERAGE(R42:W42),R42*F42+T42*H42+V42*J42),0)</f>
        <v>#DIV/0!</v>
      </c>
      <c r="S43" s="3756"/>
      <c r="T43" s="3756"/>
      <c r="U43" s="3756"/>
      <c r="V43" s="3756"/>
      <c r="W43" s="375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2" t="s">
        <v>1887</v>
      </c>
      <c r="H50" s="3757"/>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61"/>
      <c r="H51" s="367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1774</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60710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1774</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5" t="s">
        <v>2610</v>
      </c>
      <c r="B20" s="3768" t="s">
        <v>2631</v>
      </c>
      <c r="C20" s="3102" t="s">
        <v>2442</v>
      </c>
      <c r="D20" s="3103"/>
      <c r="E20" s="3104">
        <v>1</v>
      </c>
      <c r="F20" s="3105" t="s">
        <v>2443</v>
      </c>
      <c r="G20" s="3105"/>
    </row>
    <row r="21" spans="1:13" ht="19.5" customHeight="1">
      <c r="A21" s="3776"/>
      <c r="B21" s="3769"/>
      <c r="C21" s="3106" t="s">
        <v>2444</v>
      </c>
      <c r="D21" s="3107"/>
      <c r="E21" s="3108">
        <v>1</v>
      </c>
      <c r="F21" s="3105" t="s">
        <v>2445</v>
      </c>
      <c r="G21" s="3105"/>
    </row>
    <row r="22" spans="1:13" ht="19.5" customHeight="1">
      <c r="A22" s="3776"/>
      <c r="B22" s="3769"/>
      <c r="C22" s="3106" t="s">
        <v>2446</v>
      </c>
      <c r="D22" s="3107"/>
      <c r="E22" s="3108">
        <v>0.9</v>
      </c>
      <c r="F22" s="3105" t="s">
        <v>2447</v>
      </c>
      <c r="G22" s="3105"/>
    </row>
    <row r="23" spans="1:13" ht="19.5" customHeight="1">
      <c r="A23" s="3776"/>
      <c r="B23" s="3769"/>
      <c r="C23" s="3106" t="s">
        <v>2448</v>
      </c>
      <c r="D23" s="3107"/>
      <c r="E23" s="3108">
        <v>0.9</v>
      </c>
      <c r="F23" s="3105" t="s">
        <v>2449</v>
      </c>
      <c r="G23" s="3105"/>
    </row>
    <row r="24" spans="1:13" ht="19.5" customHeight="1">
      <c r="A24" s="3776"/>
      <c r="B24" s="3769"/>
      <c r="C24" s="3106" t="s">
        <v>2450</v>
      </c>
      <c r="D24" s="3107"/>
      <c r="E24" s="3108">
        <v>0.8</v>
      </c>
      <c r="F24" s="3105" t="s">
        <v>2451</v>
      </c>
      <c r="G24" s="3105"/>
    </row>
    <row r="25" spans="1:13" ht="19.5" customHeight="1" thickBot="1">
      <c r="A25" s="3777"/>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8" t="s">
        <v>2615</v>
      </c>
      <c r="C27" s="3102" t="s">
        <v>2455</v>
      </c>
      <c r="D27" s="3103"/>
      <c r="E27" s="3104">
        <v>1</v>
      </c>
      <c r="F27" s="3105" t="s">
        <v>2456</v>
      </c>
      <c r="G27" s="3105"/>
    </row>
    <row r="28" spans="1:13" ht="19.5" customHeight="1">
      <c r="A28" s="3772"/>
      <c r="B28" s="3769"/>
      <c r="C28" s="3106" t="s">
        <v>2457</v>
      </c>
      <c r="D28" s="3107"/>
      <c r="E28" s="3108">
        <v>1</v>
      </c>
      <c r="F28" s="3105" t="s">
        <v>2458</v>
      </c>
      <c r="G28" s="3105"/>
    </row>
    <row r="29" spans="1:13" ht="19.5" customHeight="1">
      <c r="A29" s="3772"/>
      <c r="B29" s="3769"/>
      <c r="C29" s="3106" t="s">
        <v>2459</v>
      </c>
      <c r="D29" s="3107"/>
      <c r="E29" s="3108">
        <v>0.8</v>
      </c>
      <c r="F29" s="3105" t="s">
        <v>2460</v>
      </c>
      <c r="G29" s="3105"/>
    </row>
    <row r="30" spans="1:13" ht="19.5" customHeight="1">
      <c r="A30" s="3772"/>
      <c r="B30" s="3769"/>
      <c r="C30" s="3106" t="s">
        <v>2461</v>
      </c>
      <c r="D30" s="3107"/>
      <c r="E30" s="3108">
        <v>0.8</v>
      </c>
      <c r="F30" s="3105" t="s">
        <v>2462</v>
      </c>
      <c r="G30" s="3105"/>
    </row>
    <row r="31" spans="1:13" ht="19.5" customHeight="1">
      <c r="A31" s="3772"/>
      <c r="B31" s="3769"/>
      <c r="C31" s="3106" t="s">
        <v>2463</v>
      </c>
      <c r="D31" s="3107"/>
      <c r="E31" s="3108">
        <v>0.8</v>
      </c>
      <c r="F31" s="3105" t="s">
        <v>2464</v>
      </c>
      <c r="G31" s="3105"/>
    </row>
    <row r="32" spans="1:13" ht="19.5" customHeight="1">
      <c r="A32" s="3772"/>
      <c r="B32" s="3769"/>
      <c r="C32" s="3106" t="s">
        <v>2465</v>
      </c>
      <c r="D32" s="3107"/>
      <c r="E32" s="3108">
        <v>0.7</v>
      </c>
      <c r="F32" s="3105" t="s">
        <v>2466</v>
      </c>
      <c r="G32" s="3105"/>
    </row>
    <row r="33" spans="1:7" ht="19.5" customHeight="1">
      <c r="A33" s="3772"/>
      <c r="B33" s="3769"/>
      <c r="C33" s="3106" t="s">
        <v>2467</v>
      </c>
      <c r="D33" s="3107"/>
      <c r="E33" s="3108">
        <v>0.8</v>
      </c>
      <c r="F33" s="3105" t="s">
        <v>2468</v>
      </c>
      <c r="G33" s="3105"/>
    </row>
    <row r="34" spans="1:7" ht="19.5" customHeight="1">
      <c r="A34" s="3772"/>
      <c r="B34" s="3769"/>
      <c r="C34" s="3106" t="s">
        <v>2469</v>
      </c>
      <c r="D34" s="3107"/>
      <c r="E34" s="3108">
        <v>0.6</v>
      </c>
      <c r="F34" s="3105" t="s">
        <v>2470</v>
      </c>
      <c r="G34" s="3105"/>
    </row>
    <row r="35" spans="1:7" ht="19.5" customHeight="1">
      <c r="A35" s="3772"/>
      <c r="B35" s="3769"/>
      <c r="C35" s="3106" t="s">
        <v>2471</v>
      </c>
      <c r="D35" s="3107"/>
      <c r="E35" s="3108">
        <v>0.2</v>
      </c>
      <c r="F35" s="3105" t="s">
        <v>2472</v>
      </c>
      <c r="G35" s="3105"/>
    </row>
    <row r="36" spans="1:7" ht="19.5" customHeight="1">
      <c r="A36" s="3772"/>
      <c r="B36" s="3769"/>
      <c r="C36" s="3106" t="s">
        <v>2473</v>
      </c>
      <c r="D36" s="3107"/>
      <c r="E36" s="3108">
        <v>0.2</v>
      </c>
      <c r="F36" s="3105" t="s">
        <v>2474</v>
      </c>
      <c r="G36" s="3105"/>
    </row>
    <row r="37" spans="1:7" ht="19.5" customHeight="1">
      <c r="A37" s="3772"/>
      <c r="B37" s="3774" t="s">
        <v>2635</v>
      </c>
      <c r="C37" s="3106" t="s">
        <v>2475</v>
      </c>
      <c r="D37" s="3107"/>
      <c r="E37" s="3108">
        <v>0.6</v>
      </c>
      <c r="F37" s="3105" t="s">
        <v>2476</v>
      </c>
      <c r="G37" s="3105"/>
    </row>
    <row r="38" spans="1:7" ht="19.5" customHeight="1">
      <c r="A38" s="3772"/>
      <c r="B38" s="3769"/>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5" t="s">
        <v>2613</v>
      </c>
      <c r="B41" s="3768" t="s">
        <v>2637</v>
      </c>
      <c r="C41" s="3102" t="s">
        <v>2482</v>
      </c>
      <c r="D41" s="3103"/>
      <c r="E41" s="3104">
        <v>1</v>
      </c>
      <c r="F41" s="3105" t="s">
        <v>2483</v>
      </c>
      <c r="G41" s="3105"/>
    </row>
    <row r="42" spans="1:7" ht="19.5" customHeight="1">
      <c r="A42" s="3776"/>
      <c r="B42" s="3769"/>
      <c r="C42" s="3106" t="s">
        <v>2484</v>
      </c>
      <c r="D42" s="3107"/>
      <c r="E42" s="3108">
        <v>1</v>
      </c>
      <c r="F42" s="3105" t="s">
        <v>2485</v>
      </c>
      <c r="G42" s="3105"/>
    </row>
    <row r="43" spans="1:7" ht="19.5" customHeight="1">
      <c r="A43" s="3776"/>
      <c r="B43" s="3778"/>
      <c r="C43" s="3106" t="s">
        <v>2486</v>
      </c>
      <c r="D43" s="3107"/>
      <c r="E43" s="3108">
        <v>1.5</v>
      </c>
      <c r="F43" s="3105" t="s">
        <v>2487</v>
      </c>
      <c r="G43" s="3105"/>
    </row>
    <row r="44" spans="1:7" ht="19.5" customHeight="1">
      <c r="A44" s="3776"/>
      <c r="B44" s="3117" t="s">
        <v>2638</v>
      </c>
      <c r="C44" s="3106" t="s">
        <v>2639</v>
      </c>
      <c r="D44" s="3107"/>
      <c r="E44" s="3108">
        <v>2</v>
      </c>
      <c r="F44" s="3105" t="s">
        <v>2488</v>
      </c>
      <c r="G44" s="3105"/>
    </row>
    <row r="45" spans="1:7" ht="19.5" customHeight="1">
      <c r="A45" s="3776"/>
      <c r="B45" s="3774" t="s">
        <v>2640</v>
      </c>
      <c r="C45" s="3106" t="s">
        <v>2489</v>
      </c>
      <c r="D45" s="3107"/>
      <c r="E45" s="3108">
        <v>1</v>
      </c>
      <c r="F45" s="3105" t="s">
        <v>2490</v>
      </c>
      <c r="G45" s="3105"/>
    </row>
    <row r="46" spans="1:7" ht="19.5" customHeight="1">
      <c r="A46" s="3776"/>
      <c r="B46" s="3769"/>
      <c r="C46" s="3106" t="s">
        <v>2491</v>
      </c>
      <c r="D46" s="3107"/>
      <c r="E46" s="3108">
        <v>1</v>
      </c>
      <c r="F46" s="3105" t="s">
        <v>2492</v>
      </c>
      <c r="G46" s="3105"/>
    </row>
    <row r="47" spans="1:7" ht="19.5" customHeight="1">
      <c r="A47" s="3776"/>
      <c r="B47" s="3769"/>
      <c r="C47" s="3106" t="s">
        <v>2493</v>
      </c>
      <c r="D47" s="3107"/>
      <c r="E47" s="3108">
        <v>1</v>
      </c>
      <c r="F47" s="3105" t="s">
        <v>2494</v>
      </c>
      <c r="G47" s="3105"/>
    </row>
    <row r="48" spans="1:7" ht="19.5" customHeight="1">
      <c r="A48" s="3776"/>
      <c r="B48" s="3769"/>
      <c r="C48" s="3106" t="s">
        <v>2495</v>
      </c>
      <c r="D48" s="3107"/>
      <c r="E48" s="3108">
        <v>1</v>
      </c>
      <c r="F48" s="3105" t="s">
        <v>2496</v>
      </c>
      <c r="G48" s="3105"/>
    </row>
    <row r="49" spans="1:7" ht="19.5" customHeight="1">
      <c r="A49" s="3776"/>
      <c r="B49" s="3769"/>
      <c r="C49" s="3106" t="s">
        <v>2497</v>
      </c>
      <c r="D49" s="3107"/>
      <c r="E49" s="3108">
        <v>1</v>
      </c>
      <c r="F49" s="3105" t="s">
        <v>2498</v>
      </c>
      <c r="G49" s="3105"/>
    </row>
    <row r="50" spans="1:7" ht="19.5" customHeight="1">
      <c r="A50" s="3776"/>
      <c r="B50" s="3769"/>
      <c r="C50" s="3106" t="s">
        <v>2499</v>
      </c>
      <c r="D50" s="3107"/>
      <c r="E50" s="3108">
        <v>1</v>
      </c>
      <c r="F50" s="3105" t="s">
        <v>2500</v>
      </c>
      <c r="G50" s="3105"/>
    </row>
    <row r="51" spans="1:7" ht="19.5" customHeight="1" thickBot="1">
      <c r="A51" s="3777"/>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4" t="s">
        <v>2654</v>
      </c>
      <c r="C73" s="3091" t="s">
        <v>2655</v>
      </c>
      <c r="D73" s="3091" t="s">
        <v>2656</v>
      </c>
      <c r="E73" s="3117">
        <v>0.2</v>
      </c>
      <c r="F73" s="3117">
        <v>25</v>
      </c>
    </row>
    <row r="74" spans="1:7" ht="24">
      <c r="A74" s="3117">
        <v>2</v>
      </c>
      <c r="B74" s="3769"/>
      <c r="C74" s="3091" t="s">
        <v>2657</v>
      </c>
      <c r="D74" s="3091" t="s">
        <v>2658</v>
      </c>
      <c r="E74" s="3117">
        <v>0.2</v>
      </c>
      <c r="F74" s="3117">
        <v>25</v>
      </c>
    </row>
    <row r="75" spans="1:7" ht="24">
      <c r="A75" s="3117">
        <v>3</v>
      </c>
      <c r="B75" s="3769"/>
      <c r="C75" s="3091" t="s">
        <v>2659</v>
      </c>
      <c r="D75" s="3091" t="s">
        <v>2660</v>
      </c>
      <c r="E75" s="3117">
        <v>0.2</v>
      </c>
      <c r="F75" s="3117">
        <v>25</v>
      </c>
    </row>
    <row r="76" spans="1:7" ht="13.5">
      <c r="A76" s="3117">
        <v>4</v>
      </c>
      <c r="B76" s="3769"/>
      <c r="C76" s="3091" t="s">
        <v>2661</v>
      </c>
      <c r="D76" s="3091" t="s">
        <v>2662</v>
      </c>
      <c r="E76" s="3117">
        <v>0.15</v>
      </c>
      <c r="F76" s="3117">
        <v>20</v>
      </c>
    </row>
    <row r="77" spans="1:7" ht="24">
      <c r="A77" s="3117">
        <v>5</v>
      </c>
      <c r="B77" s="3769"/>
      <c r="C77" s="3091" t="s">
        <v>2663</v>
      </c>
      <c r="D77" s="3091" t="s">
        <v>2664</v>
      </c>
      <c r="E77" s="3117">
        <v>0.15</v>
      </c>
      <c r="F77" s="3117">
        <v>20</v>
      </c>
    </row>
    <row r="78" spans="1:7" ht="24">
      <c r="A78" s="3117">
        <v>6</v>
      </c>
      <c r="B78" s="3769"/>
      <c r="C78" s="3091" t="s">
        <v>2665</v>
      </c>
      <c r="D78" s="3091" t="s">
        <v>2666</v>
      </c>
      <c r="E78" s="3117">
        <v>0.15</v>
      </c>
      <c r="F78" s="3117">
        <v>20</v>
      </c>
    </row>
    <row r="79" spans="1:7" ht="24">
      <c r="A79" s="3117">
        <v>7</v>
      </c>
      <c r="B79" s="3769"/>
      <c r="C79" s="3091" t="s">
        <v>2667</v>
      </c>
      <c r="D79" s="3091" t="s">
        <v>2668</v>
      </c>
      <c r="E79" s="3117">
        <v>0.15</v>
      </c>
      <c r="F79" s="3117">
        <v>20</v>
      </c>
    </row>
    <row r="80" spans="1:7" ht="24">
      <c r="A80" s="3117">
        <v>8</v>
      </c>
      <c r="B80" s="3769"/>
      <c r="C80" s="3091" t="s">
        <v>2669</v>
      </c>
      <c r="D80" s="3091" t="s">
        <v>2670</v>
      </c>
      <c r="E80" s="3117">
        <v>0.1</v>
      </c>
      <c r="F80" s="3117">
        <v>15</v>
      </c>
    </row>
    <row r="81" spans="1:6" ht="24">
      <c r="A81" s="3117">
        <v>9</v>
      </c>
      <c r="B81" s="3769"/>
      <c r="C81" s="3091" t="s">
        <v>2671</v>
      </c>
      <c r="D81" s="3091" t="s">
        <v>2672</v>
      </c>
      <c r="E81" s="3117">
        <v>0.1</v>
      </c>
      <c r="F81" s="3117">
        <v>15</v>
      </c>
    </row>
    <row r="82" spans="1:6" ht="24">
      <c r="A82" s="3117">
        <v>10</v>
      </c>
      <c r="B82" s="3769"/>
      <c r="C82" s="3091" t="s">
        <v>2673</v>
      </c>
      <c r="D82" s="3091" t="s">
        <v>2674</v>
      </c>
      <c r="E82" s="3117">
        <v>0.1</v>
      </c>
      <c r="F82" s="3117">
        <v>15</v>
      </c>
    </row>
    <row r="83" spans="1:6" ht="24">
      <c r="A83" s="3117">
        <v>11</v>
      </c>
      <c r="B83" s="3769"/>
      <c r="C83" s="3091" t="s">
        <v>2675</v>
      </c>
      <c r="D83" s="3091" t="s">
        <v>2676</v>
      </c>
      <c r="E83" s="3117">
        <v>0.1</v>
      </c>
      <c r="F83" s="3117">
        <v>15</v>
      </c>
    </row>
    <row r="84" spans="1:6" ht="24">
      <c r="A84" s="3117">
        <v>12</v>
      </c>
      <c r="B84" s="3769"/>
      <c r="C84" s="3091" t="s">
        <v>2677</v>
      </c>
      <c r="D84" s="3091" t="s">
        <v>2678</v>
      </c>
      <c r="E84" s="3117">
        <v>0.1</v>
      </c>
      <c r="F84" s="3117">
        <v>15</v>
      </c>
    </row>
    <row r="85" spans="1:6" ht="13.5">
      <c r="A85" s="3117">
        <v>13</v>
      </c>
      <c r="B85" s="3769"/>
      <c r="C85" s="3091" t="s">
        <v>2679</v>
      </c>
      <c r="D85" s="3091" t="s">
        <v>2680</v>
      </c>
      <c r="E85" s="3117">
        <v>0.1</v>
      </c>
      <c r="F85" s="3117">
        <v>15</v>
      </c>
    </row>
    <row r="86" spans="1:6" ht="13.5">
      <c r="A86" s="3117">
        <v>14</v>
      </c>
      <c r="B86" s="3769"/>
      <c r="C86" s="3091" t="s">
        <v>2681</v>
      </c>
      <c r="D86" s="3091" t="s">
        <v>2682</v>
      </c>
      <c r="E86" s="3117">
        <v>0.1</v>
      </c>
      <c r="F86" s="3117">
        <v>15</v>
      </c>
    </row>
    <row r="87" spans="1:6" ht="13.5">
      <c r="A87" s="3117">
        <v>15</v>
      </c>
      <c r="B87" s="3769"/>
      <c r="C87" s="3091" t="s">
        <v>2683</v>
      </c>
      <c r="D87" s="3091" t="s">
        <v>2684</v>
      </c>
      <c r="E87" s="3117">
        <v>0.1</v>
      </c>
      <c r="F87" s="3117">
        <v>15</v>
      </c>
    </row>
    <row r="88" spans="1:6" ht="24">
      <c r="A88" s="3117">
        <v>16</v>
      </c>
      <c r="B88" s="3769"/>
      <c r="C88" s="3091" t="s">
        <v>2685</v>
      </c>
      <c r="D88" s="3091" t="s">
        <v>2686</v>
      </c>
      <c r="E88" s="3117">
        <v>0.1</v>
      </c>
      <c r="F88" s="3117">
        <v>15</v>
      </c>
    </row>
    <row r="89" spans="1:6" ht="24">
      <c r="A89" s="3117">
        <v>17</v>
      </c>
      <c r="B89" s="3778"/>
      <c r="C89" s="3091" t="s">
        <v>2687</v>
      </c>
      <c r="D89" s="3091" t="s">
        <v>2688</v>
      </c>
      <c r="E89" s="3117">
        <v>0.1</v>
      </c>
      <c r="F89" s="3117">
        <v>15</v>
      </c>
    </row>
    <row r="90" spans="1:6" ht="13.5">
      <c r="A90" s="3117">
        <v>18</v>
      </c>
      <c r="B90" s="3774" t="s">
        <v>2689</v>
      </c>
      <c r="C90" s="3091" t="s">
        <v>2690</v>
      </c>
      <c r="D90" s="3091" t="s">
        <v>2691</v>
      </c>
      <c r="E90" s="3117">
        <v>0.2</v>
      </c>
      <c r="F90" s="3117">
        <v>25</v>
      </c>
    </row>
    <row r="91" spans="1:6" ht="24">
      <c r="A91" s="3117">
        <v>19</v>
      </c>
      <c r="B91" s="3769"/>
      <c r="C91" s="3091" t="s">
        <v>2692</v>
      </c>
      <c r="D91" s="3091" t="s">
        <v>2693</v>
      </c>
      <c r="E91" s="3117">
        <v>0.2</v>
      </c>
      <c r="F91" s="3117">
        <v>25</v>
      </c>
    </row>
    <row r="92" spans="1:6" ht="13.5">
      <c r="A92" s="3117">
        <v>20</v>
      </c>
      <c r="B92" s="3769"/>
      <c r="C92" s="3091" t="s">
        <v>2694</v>
      </c>
      <c r="D92" s="3091" t="s">
        <v>2695</v>
      </c>
      <c r="E92" s="3117">
        <v>0.15</v>
      </c>
      <c r="F92" s="3117">
        <v>20</v>
      </c>
    </row>
    <row r="93" spans="1:6" ht="13.5">
      <c r="A93" s="3117">
        <v>21</v>
      </c>
      <c r="B93" s="3769"/>
      <c r="C93" s="3091" t="s">
        <v>2696</v>
      </c>
      <c r="D93" s="3091" t="s">
        <v>2697</v>
      </c>
      <c r="E93" s="3117">
        <v>0.15</v>
      </c>
      <c r="F93" s="3117">
        <v>20</v>
      </c>
    </row>
    <row r="94" spans="1:6" ht="13.5">
      <c r="A94" s="3117">
        <v>22</v>
      </c>
      <c r="B94" s="3769"/>
      <c r="C94" s="3091" t="s">
        <v>2698</v>
      </c>
      <c r="D94" s="3091" t="s">
        <v>2699</v>
      </c>
      <c r="E94" s="3117">
        <v>0.15</v>
      </c>
      <c r="F94" s="3117">
        <v>20</v>
      </c>
    </row>
    <row r="95" spans="1:6" ht="36">
      <c r="A95" s="3117">
        <v>23</v>
      </c>
      <c r="B95" s="3769"/>
      <c r="C95" s="3091" t="s">
        <v>2700</v>
      </c>
      <c r="D95" s="3091" t="s">
        <v>2701</v>
      </c>
      <c r="E95" s="3117">
        <v>0.15</v>
      </c>
      <c r="F95" s="3117">
        <v>20</v>
      </c>
    </row>
    <row r="96" spans="1:6" ht="13.5">
      <c r="A96" s="3117">
        <v>24</v>
      </c>
      <c r="B96" s="3769"/>
      <c r="C96" s="3091" t="s">
        <v>2702</v>
      </c>
      <c r="D96" s="3091" t="s">
        <v>2703</v>
      </c>
      <c r="E96" s="3117">
        <v>0.1</v>
      </c>
      <c r="F96" s="3117">
        <v>15</v>
      </c>
    </row>
    <row r="97" spans="1:6" ht="13.5">
      <c r="A97" s="3117">
        <v>25</v>
      </c>
      <c r="B97" s="3769"/>
      <c r="C97" s="3091" t="s">
        <v>2704</v>
      </c>
      <c r="D97" s="3091" t="s">
        <v>2705</v>
      </c>
      <c r="E97" s="3117">
        <v>0.1</v>
      </c>
      <c r="F97" s="3117">
        <v>15</v>
      </c>
    </row>
    <row r="98" spans="1:6" ht="24">
      <c r="A98" s="3117">
        <v>26</v>
      </c>
      <c r="B98" s="3769"/>
      <c r="C98" s="3091" t="s">
        <v>2706</v>
      </c>
      <c r="D98" s="3091" t="s">
        <v>2707</v>
      </c>
      <c r="E98" s="3117">
        <v>0.1</v>
      </c>
      <c r="F98" s="3117">
        <v>15</v>
      </c>
    </row>
    <row r="99" spans="1:6" ht="24">
      <c r="A99" s="3117">
        <v>27</v>
      </c>
      <c r="B99" s="3769"/>
      <c r="C99" s="3091" t="s">
        <v>2708</v>
      </c>
      <c r="D99" s="3091" t="s">
        <v>2709</v>
      </c>
      <c r="E99" s="3117">
        <v>0.1</v>
      </c>
      <c r="F99" s="3117">
        <v>15</v>
      </c>
    </row>
    <row r="100" spans="1:6" ht="13.5">
      <c r="A100" s="3117">
        <v>28</v>
      </c>
      <c r="B100" s="3769"/>
      <c r="C100" s="3091" t="s">
        <v>2710</v>
      </c>
      <c r="D100" s="3091" t="s">
        <v>2711</v>
      </c>
      <c r="E100" s="3117">
        <v>0.1</v>
      </c>
      <c r="F100" s="3117">
        <v>15</v>
      </c>
    </row>
    <row r="101" spans="1:6" ht="13.5">
      <c r="A101" s="3117">
        <v>29</v>
      </c>
      <c r="B101" s="3769"/>
      <c r="C101" s="3091" t="s">
        <v>2712</v>
      </c>
      <c r="D101" s="3091" t="s">
        <v>2713</v>
      </c>
      <c r="E101" s="3117">
        <v>0.1</v>
      </c>
      <c r="F101" s="3117">
        <v>15</v>
      </c>
    </row>
    <row r="102" spans="1:6" ht="13.5">
      <c r="A102" s="3117">
        <v>30</v>
      </c>
      <c r="B102" s="3769"/>
      <c r="C102" s="3091" t="s">
        <v>2714</v>
      </c>
      <c r="D102" s="3091" t="s">
        <v>2715</v>
      </c>
      <c r="E102" s="3117">
        <v>0.1</v>
      </c>
      <c r="F102" s="3117">
        <v>15</v>
      </c>
    </row>
    <row r="103" spans="1:6" ht="24">
      <c r="A103" s="3117">
        <v>31</v>
      </c>
      <c r="B103" s="3769"/>
      <c r="C103" s="3091" t="s">
        <v>2716</v>
      </c>
      <c r="D103" s="3091" t="s">
        <v>2717</v>
      </c>
      <c r="E103" s="3117">
        <v>0.1</v>
      </c>
      <c r="F103" s="3117">
        <v>15</v>
      </c>
    </row>
    <row r="104" spans="1:6" ht="24">
      <c r="A104" s="3117">
        <v>32</v>
      </c>
      <c r="B104" s="3769"/>
      <c r="C104" s="3091" t="s">
        <v>2718</v>
      </c>
      <c r="D104" s="3091" t="s">
        <v>2719</v>
      </c>
      <c r="E104" s="3117">
        <v>0.1</v>
      </c>
      <c r="F104" s="3117">
        <v>15</v>
      </c>
    </row>
    <row r="105" spans="1:6" ht="24">
      <c r="A105" s="3117">
        <v>33</v>
      </c>
      <c r="B105" s="3769"/>
      <c r="C105" s="3091" t="s">
        <v>2720</v>
      </c>
      <c r="D105" s="3091" t="s">
        <v>2721</v>
      </c>
      <c r="E105" s="3117">
        <v>0.1</v>
      </c>
      <c r="F105" s="3117">
        <v>15</v>
      </c>
    </row>
    <row r="106" spans="1:6" ht="24">
      <c r="A106" s="3117">
        <v>34</v>
      </c>
      <c r="B106" s="3778"/>
      <c r="C106" s="3091" t="s">
        <v>2722</v>
      </c>
      <c r="D106" s="3091" t="s">
        <v>2723</v>
      </c>
      <c r="E106" s="3117">
        <v>0.1</v>
      </c>
      <c r="F106" s="3117">
        <v>15</v>
      </c>
    </row>
    <row r="107" spans="1:6" ht="24">
      <c r="A107" s="3117">
        <v>35</v>
      </c>
      <c r="B107" s="3774" t="s">
        <v>2724</v>
      </c>
      <c r="C107" s="3117" t="s">
        <v>2725</v>
      </c>
      <c r="D107" s="3091" t="s">
        <v>2726</v>
      </c>
      <c r="E107" s="3117">
        <v>0.15</v>
      </c>
      <c r="F107" s="3117">
        <v>20</v>
      </c>
    </row>
    <row r="108" spans="1:6" ht="13.5">
      <c r="A108" s="3117">
        <v>36</v>
      </c>
      <c r="B108" s="3769"/>
      <c r="C108" s="3117" t="s">
        <v>2727</v>
      </c>
      <c r="D108" s="3091" t="s">
        <v>2728</v>
      </c>
      <c r="E108" s="3117">
        <v>0.15</v>
      </c>
      <c r="F108" s="3117">
        <v>20</v>
      </c>
    </row>
    <row r="109" spans="1:6" ht="13.5">
      <c r="A109" s="3117">
        <v>37</v>
      </c>
      <c r="B109" s="3769"/>
      <c r="C109" s="3117" t="s">
        <v>2729</v>
      </c>
      <c r="D109" s="3091" t="s">
        <v>2730</v>
      </c>
      <c r="E109" s="3117">
        <v>0.15</v>
      </c>
      <c r="F109" s="3117">
        <v>20</v>
      </c>
    </row>
    <row r="110" spans="1:6" ht="13.5">
      <c r="A110" s="3117">
        <v>38</v>
      </c>
      <c r="B110" s="3769"/>
      <c r="C110" s="3117" t="s">
        <v>2731</v>
      </c>
      <c r="D110" s="3091" t="s">
        <v>2732</v>
      </c>
      <c r="E110" s="3117">
        <v>0.1</v>
      </c>
      <c r="F110" s="3117">
        <v>15</v>
      </c>
    </row>
    <row r="111" spans="1:6" ht="24">
      <c r="A111" s="3117">
        <v>39</v>
      </c>
      <c r="B111" s="3769"/>
      <c r="C111" s="3117" t="s">
        <v>2733</v>
      </c>
      <c r="D111" s="3091" t="s">
        <v>2734</v>
      </c>
      <c r="E111" s="3117">
        <v>0.1</v>
      </c>
      <c r="F111" s="3117">
        <v>15</v>
      </c>
    </row>
    <row r="112" spans="1:6" ht="24">
      <c r="A112" s="3117">
        <v>40</v>
      </c>
      <c r="B112" s="3778"/>
      <c r="C112" s="3117" t="s">
        <v>2735</v>
      </c>
      <c r="D112" s="3091" t="s">
        <v>2736</v>
      </c>
      <c r="E112" s="3117">
        <v>0.1</v>
      </c>
      <c r="F112" s="3117">
        <v>15</v>
      </c>
    </row>
    <row r="113" spans="1:6" ht="13.5">
      <c r="A113" s="3117">
        <v>41</v>
      </c>
      <c r="B113" s="3779" t="s">
        <v>2737</v>
      </c>
      <c r="C113" s="3117" t="s">
        <v>2738</v>
      </c>
      <c r="D113" s="3091" t="s">
        <v>2739</v>
      </c>
      <c r="E113" s="3117">
        <v>0.1</v>
      </c>
      <c r="F113" s="3117">
        <v>15</v>
      </c>
    </row>
    <row r="114" spans="1:6" ht="13.5">
      <c r="A114" s="3117">
        <v>42</v>
      </c>
      <c r="B114" s="3779"/>
      <c r="C114" s="3117" t="s">
        <v>2740</v>
      </c>
      <c r="D114" s="3091" t="s">
        <v>2741</v>
      </c>
      <c r="E114" s="3117">
        <v>0.1</v>
      </c>
      <c r="F114" s="3117">
        <v>15</v>
      </c>
    </row>
    <row r="115" spans="1:6" ht="24">
      <c r="A115" s="3117">
        <v>43</v>
      </c>
      <c r="B115" s="3779"/>
      <c r="C115" s="3117" t="s">
        <v>2742</v>
      </c>
      <c r="D115" s="3091" t="s">
        <v>2743</v>
      </c>
      <c r="E115" s="3117">
        <v>0.1</v>
      </c>
      <c r="F115" s="3117">
        <v>15</v>
      </c>
    </row>
    <row r="116" spans="1:6" ht="13.5">
      <c r="A116" s="3117">
        <v>44</v>
      </c>
      <c r="B116" s="3774" t="s">
        <v>2744</v>
      </c>
      <c r="C116" s="3117" t="s">
        <v>2745</v>
      </c>
      <c r="D116" s="3091" t="s">
        <v>2746</v>
      </c>
      <c r="E116" s="3117">
        <v>0.1</v>
      </c>
      <c r="F116" s="3117">
        <v>15</v>
      </c>
    </row>
    <row r="117" spans="1:6" ht="24">
      <c r="A117" s="3117">
        <v>45</v>
      </c>
      <c r="B117" s="3778"/>
      <c r="C117" s="3091" t="s">
        <v>2747</v>
      </c>
      <c r="D117" s="3091" t="s">
        <v>2748</v>
      </c>
      <c r="E117" s="3117">
        <v>0.1</v>
      </c>
      <c r="F117" s="3117">
        <v>15</v>
      </c>
    </row>
    <row r="118" spans="1:6" ht="24">
      <c r="A118" s="3117">
        <v>46</v>
      </c>
      <c r="B118" s="3774" t="s">
        <v>2749</v>
      </c>
      <c r="C118" s="3117" t="s">
        <v>2750</v>
      </c>
      <c r="D118" s="3091" t="s">
        <v>2751</v>
      </c>
      <c r="E118" s="3117">
        <v>0.1</v>
      </c>
      <c r="F118" s="3117">
        <v>15</v>
      </c>
    </row>
    <row r="119" spans="1:6" ht="24">
      <c r="A119" s="3117">
        <v>47</v>
      </c>
      <c r="B119" s="3778"/>
      <c r="C119" s="3117" t="s">
        <v>2752</v>
      </c>
      <c r="D119" s="3091" t="s">
        <v>2753</v>
      </c>
      <c r="E119" s="3117">
        <v>0.1</v>
      </c>
      <c r="F119" s="3117">
        <v>15</v>
      </c>
    </row>
    <row r="120" spans="1:6" ht="13.5">
      <c r="A120" s="3117">
        <v>48</v>
      </c>
      <c r="B120" s="3774" t="s">
        <v>2754</v>
      </c>
      <c r="C120" s="3117" t="s">
        <v>2755</v>
      </c>
      <c r="D120" s="3091" t="s">
        <v>2756</v>
      </c>
      <c r="E120" s="3117">
        <v>0.1</v>
      </c>
      <c r="F120" s="3117">
        <v>15</v>
      </c>
    </row>
    <row r="121" spans="1:6" ht="13.5">
      <c r="A121" s="3117">
        <v>49</v>
      </c>
      <c r="B121" s="3778"/>
      <c r="C121" s="3117" t="s">
        <v>2757</v>
      </c>
      <c r="D121" s="3091" t="s">
        <v>2758</v>
      </c>
      <c r="E121" s="3117">
        <v>0.1</v>
      </c>
      <c r="F121" s="3117">
        <v>15</v>
      </c>
    </row>
    <row r="122" spans="1:6" ht="24">
      <c r="A122" s="3117">
        <v>50</v>
      </c>
      <c r="B122" s="3779" t="s">
        <v>2759</v>
      </c>
      <c r="C122" s="3117" t="s">
        <v>2760</v>
      </c>
      <c r="D122" s="3091" t="s">
        <v>2761</v>
      </c>
      <c r="E122" s="3117">
        <v>0.1</v>
      </c>
      <c r="F122" s="3117">
        <v>15</v>
      </c>
    </row>
    <row r="123" spans="1:6" ht="24">
      <c r="A123" s="3117">
        <v>51</v>
      </c>
      <c r="B123" s="3779"/>
      <c r="C123" s="3117" t="s">
        <v>2762</v>
      </c>
      <c r="D123" s="3091" t="s">
        <v>2763</v>
      </c>
      <c r="E123" s="3117">
        <v>0.1</v>
      </c>
      <c r="F123" s="3117">
        <v>15</v>
      </c>
    </row>
    <row r="124" spans="1:6" ht="24">
      <c r="A124" s="3117">
        <v>52</v>
      </c>
      <c r="B124" s="3779" t="s">
        <v>2764</v>
      </c>
      <c r="C124" s="3117" t="s">
        <v>2765</v>
      </c>
      <c r="D124" s="3091" t="s">
        <v>2766</v>
      </c>
      <c r="E124" s="3117">
        <v>0.1</v>
      </c>
      <c r="F124" s="3117">
        <v>15</v>
      </c>
    </row>
    <row r="125" spans="1:6" ht="24">
      <c r="A125" s="3117">
        <v>53</v>
      </c>
      <c r="B125" s="377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9" t="s">
        <v>2772</v>
      </c>
      <c r="C127" s="3117" t="s">
        <v>2773</v>
      </c>
      <c r="D127" s="3091" t="s">
        <v>2774</v>
      </c>
      <c r="E127" s="3117">
        <v>0.1</v>
      </c>
      <c r="F127" s="3117">
        <v>15</v>
      </c>
    </row>
    <row r="128" spans="1:6" ht="13.5">
      <c r="A128" s="3117">
        <v>56</v>
      </c>
      <c r="B128" s="3779"/>
      <c r="C128" s="3117" t="s">
        <v>2775</v>
      </c>
      <c r="D128" s="3091" t="s">
        <v>2776</v>
      </c>
      <c r="E128" s="3117">
        <v>0.1</v>
      </c>
      <c r="F128" s="3117">
        <v>15</v>
      </c>
    </row>
    <row r="129" spans="1:6" ht="24">
      <c r="A129" s="3117">
        <v>57</v>
      </c>
      <c r="B129" s="3779"/>
      <c r="C129" s="3117" t="s">
        <v>2777</v>
      </c>
      <c r="D129" s="3091" t="s">
        <v>2778</v>
      </c>
      <c r="E129" s="3117">
        <v>0.1</v>
      </c>
      <c r="F129" s="3117">
        <v>15</v>
      </c>
    </row>
    <row r="130" spans="1:6" ht="24">
      <c r="A130" s="3117">
        <v>58</v>
      </c>
      <c r="B130" s="3779" t="s">
        <v>2779</v>
      </c>
      <c r="C130" s="3117" t="s">
        <v>2780</v>
      </c>
      <c r="D130" s="3091" t="s">
        <v>2781</v>
      </c>
      <c r="E130" s="3117">
        <v>0.1</v>
      </c>
      <c r="F130" s="3117">
        <v>15</v>
      </c>
    </row>
    <row r="131" spans="1:6" ht="13.5">
      <c r="A131" s="3117">
        <v>59</v>
      </c>
      <c r="B131" s="3779"/>
      <c r="C131" s="3117" t="s">
        <v>2782</v>
      </c>
      <c r="D131" s="3091" t="s">
        <v>2783</v>
      </c>
      <c r="E131" s="3117">
        <v>0.1</v>
      </c>
      <c r="F131" s="3117">
        <v>15</v>
      </c>
    </row>
    <row r="132" spans="1:6" ht="13.5">
      <c r="A132" s="3117">
        <v>60</v>
      </c>
      <c r="B132" s="3774" t="s">
        <v>2784</v>
      </c>
      <c r="C132" s="3117" t="s">
        <v>2785</v>
      </c>
      <c r="D132" s="3091" t="s">
        <v>2786</v>
      </c>
      <c r="E132" s="3117">
        <v>0.1</v>
      </c>
      <c r="F132" s="3117">
        <v>15</v>
      </c>
    </row>
    <row r="133" spans="1:6" ht="13.5">
      <c r="A133" s="3117">
        <v>61</v>
      </c>
      <c r="B133" s="377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9" t="s">
        <v>2792</v>
      </c>
      <c r="C135" s="3117" t="s">
        <v>2793</v>
      </c>
      <c r="D135" s="3091" t="s">
        <v>2794</v>
      </c>
      <c r="E135" s="3117">
        <v>0.1</v>
      </c>
      <c r="F135" s="3117">
        <v>15</v>
      </c>
    </row>
    <row r="136" spans="1:6" ht="13.5">
      <c r="A136" s="3117">
        <v>64</v>
      </c>
      <c r="B136" s="377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1.2501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1.1839999999999999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29046</v>
      </c>
      <c r="C2" s="2" t="s">
        <v>106</v>
      </c>
      <c r="D2" s="199"/>
      <c r="E2" s="199"/>
      <c r="F2" s="199"/>
      <c r="G2" s="199"/>
    </row>
    <row r="3" spans="1:7" s="200" customFormat="1" ht="18" customHeight="1" thickBot="1">
      <c r="A3" s="203" t="s">
        <v>58</v>
      </c>
      <c r="B3" s="204">
        <f ca="1">ROUND(B2*10000/'数据-汇总表'!E3,0)</f>
        <v>1813109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868</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5.9999999999999995E-4</v>
      </c>
      <c r="D44" s="238"/>
      <c r="E44" s="238"/>
      <c r="F44" s="239"/>
      <c r="G44" s="3692"/>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29046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5982</v>
      </c>
      <c r="E5" s="1491"/>
    </row>
    <row r="6" spans="1:5" ht="15.75">
      <c r="A6" s="1491"/>
      <c r="B6" s="3463"/>
      <c r="C6" s="1494" t="s">
        <v>911</v>
      </c>
      <c r="D6" s="850" t="str">
        <f ca="1">NUMBERSTRING(INT(D5*10000),2)&amp;"元整"</f>
        <v>伍仟玖佰捌拾贰万元整</v>
      </c>
      <c r="E6" s="1491"/>
    </row>
    <row r="7" spans="1:5" ht="15.75">
      <c r="A7" s="1491"/>
      <c r="B7" s="3468"/>
      <c r="C7" s="1495" t="s">
        <v>912</v>
      </c>
      <c r="D7" s="851">
        <f ca="1">结果表!H102</f>
        <v>373408</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5982</v>
      </c>
      <c r="E13" s="1491"/>
    </row>
    <row r="14" spans="1:5" ht="15.75">
      <c r="A14" s="1491"/>
      <c r="B14" s="3463"/>
      <c r="C14" s="1494" t="s">
        <v>911</v>
      </c>
      <c r="D14" s="850" t="str">
        <f ca="1">NUMBERSTRING(INT(D13*10000),2)&amp;"元整"</f>
        <v>伍仟玖佰捌拾贰万元整</v>
      </c>
      <c r="E14" s="1491"/>
    </row>
    <row r="15" spans="1:5" ht="15">
      <c r="A15" s="1491"/>
      <c r="B15" s="3468"/>
      <c r="C15" s="1495" t="s">
        <v>921</v>
      </c>
      <c r="D15" s="859">
        <f ca="1">结果表!H108</f>
        <v>373408</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2846</v>
      </c>
      <c r="B1" s="3782"/>
      <c r="C1" s="3782"/>
      <c r="D1" s="3782"/>
      <c r="E1" s="3782"/>
      <c r="F1" s="3782"/>
      <c r="G1" s="3783"/>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0"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81"/>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3188</v>
      </c>
      <c r="B1" s="3784"/>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3239</v>
      </c>
      <c r="B1" s="3785"/>
      <c r="C1" s="3785"/>
      <c r="D1" s="3785"/>
      <c r="E1" s="3785"/>
      <c r="F1" s="3786"/>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44939</v>
      </c>
      <c r="B1" s="3209" t="s">
        <v>2845</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87" t="s">
        <v>2833</v>
      </c>
      <c r="S21" s="3788"/>
      <c r="T21" s="3788"/>
      <c r="U21" s="3788"/>
      <c r="V21" s="3788"/>
      <c r="W21" s="3788"/>
      <c r="X21" s="3164"/>
      <c r="Y21" s="3787" t="s">
        <v>2834</v>
      </c>
      <c r="Z21" s="3788"/>
      <c r="AA21" s="3788"/>
      <c r="AB21" s="3788"/>
      <c r="AC21" s="3788"/>
      <c r="AD21" s="3788"/>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topLeftCell="A13" workbookViewId="0">
      <selection activeCell="I24" sqref="I24"/>
    </sheetView>
  </sheetViews>
  <sheetFormatPr defaultRowHeight="13.5"/>
  <cols>
    <col min="2" max="2" width="10.75" customWidth="1"/>
  </cols>
  <sheetData>
    <row r="2" spans="1:8">
      <c r="A2" s="3449" t="s">
        <v>3400</v>
      </c>
    </row>
    <row r="3" spans="1:8">
      <c r="A3" s="3449" t="s">
        <v>3401</v>
      </c>
      <c r="C3" s="3449" t="s">
        <v>3402</v>
      </c>
      <c r="D3" s="3449" t="s">
        <v>3403</v>
      </c>
      <c r="E3" s="3449" t="s">
        <v>3404</v>
      </c>
    </row>
    <row r="4" spans="1:8" s="3451" customFormat="1">
      <c r="A4" s="3450" t="s">
        <v>3405</v>
      </c>
      <c r="B4" s="3450" t="s">
        <v>3406</v>
      </c>
      <c r="C4" s="3451">
        <v>213.5</v>
      </c>
      <c r="D4" s="3451">
        <v>5500</v>
      </c>
      <c r="E4" s="3451">
        <f>ROUND(D4/C4*10000,0)</f>
        <v>257611</v>
      </c>
      <c r="F4" s="3450" t="s">
        <v>3407</v>
      </c>
      <c r="G4" s="3450" t="s">
        <v>3408</v>
      </c>
    </row>
    <row r="5" spans="1:8">
      <c r="A5" s="3449"/>
      <c r="B5" s="3449" t="s">
        <v>3409</v>
      </c>
      <c r="C5">
        <v>292</v>
      </c>
      <c r="D5">
        <v>6000</v>
      </c>
      <c r="E5">
        <f>ROUND(D5/C5*10000,0)</f>
        <v>205479</v>
      </c>
      <c r="F5" s="3449" t="s">
        <v>3407</v>
      </c>
      <c r="H5">
        <v>2021</v>
      </c>
    </row>
    <row r="7" spans="1:8">
      <c r="A7" s="3449" t="s">
        <v>3410</v>
      </c>
    </row>
    <row r="8" spans="1:8">
      <c r="A8" s="3449" t="s">
        <v>3411</v>
      </c>
      <c r="B8" s="3449" t="s">
        <v>3412</v>
      </c>
      <c r="C8">
        <v>325.19</v>
      </c>
      <c r="D8">
        <v>6500</v>
      </c>
      <c r="E8">
        <f>ROUND(D8/C8*10000,0)</f>
        <v>199883</v>
      </c>
      <c r="F8" s="3449" t="s">
        <v>3407</v>
      </c>
    </row>
    <row r="9" spans="1:8">
      <c r="A9" s="3449" t="s">
        <v>3413</v>
      </c>
      <c r="B9" s="3449" t="s">
        <v>3414</v>
      </c>
      <c r="C9">
        <v>429.74</v>
      </c>
      <c r="D9">
        <v>7500</v>
      </c>
      <c r="E9">
        <f>ROUND(D9/C9*10000,0)</f>
        <v>174524</v>
      </c>
      <c r="F9" s="3449" t="s">
        <v>3407</v>
      </c>
    </row>
    <row r="12" spans="1:8">
      <c r="A12" s="3449" t="s">
        <v>3415</v>
      </c>
    </row>
    <row r="13" spans="1:8" s="3453" customFormat="1">
      <c r="A13" s="3452" t="s">
        <v>3416</v>
      </c>
      <c r="C13" s="3453">
        <v>570</v>
      </c>
      <c r="D13" s="3453">
        <v>11000</v>
      </c>
      <c r="E13" s="3453">
        <f>ROUND(D13/C13*10000,0)</f>
        <v>192982</v>
      </c>
      <c r="F13" s="3452" t="s">
        <v>3407</v>
      </c>
    </row>
    <row r="14" spans="1:8" s="3451" customFormat="1">
      <c r="A14" s="3450" t="s">
        <v>3417</v>
      </c>
      <c r="C14" s="3451">
        <v>406.26</v>
      </c>
      <c r="D14" s="3451">
        <v>8000</v>
      </c>
      <c r="E14" s="3451">
        <f>ROUND(D14/C14*10000,0)</f>
        <v>196918</v>
      </c>
      <c r="F14" s="3450" t="s">
        <v>3418</v>
      </c>
      <c r="G14" s="3450" t="s">
        <v>3419</v>
      </c>
      <c r="H14" s="3451">
        <v>2011</v>
      </c>
    </row>
    <row r="15" spans="1:8" s="3451" customFormat="1">
      <c r="A15" s="3450" t="s">
        <v>3416</v>
      </c>
      <c r="C15" s="3451">
        <v>310</v>
      </c>
      <c r="D15" s="3451">
        <v>6500</v>
      </c>
      <c r="E15" s="3451">
        <f>ROUND(D15/C15*10000,0)</f>
        <v>209677</v>
      </c>
      <c r="F15" s="3450" t="s">
        <v>3407</v>
      </c>
      <c r="G15" s="3450" t="s">
        <v>3420</v>
      </c>
    </row>
    <row r="16" spans="1:8">
      <c r="A16" s="3449" t="s">
        <v>3421</v>
      </c>
      <c r="C16">
        <v>242</v>
      </c>
      <c r="D16">
        <v>4200</v>
      </c>
      <c r="E16">
        <f>ROUND(D16/C16*10000,0)</f>
        <v>173554</v>
      </c>
      <c r="F16" s="3449" t="s">
        <v>3407</v>
      </c>
    </row>
    <row r="22" spans="1:7">
      <c r="A22" s="3449" t="s">
        <v>3422</v>
      </c>
      <c r="C22" s="3449" t="s">
        <v>3434</v>
      </c>
      <c r="D22" s="3449" t="s">
        <v>3436</v>
      </c>
      <c r="E22" s="3449" t="s">
        <v>3437</v>
      </c>
      <c r="F22" s="3449" t="s">
        <v>3438</v>
      </c>
    </row>
    <row r="23" spans="1:7">
      <c r="A23" s="3449" t="s">
        <v>3427</v>
      </c>
      <c r="B23" s="3449" t="s">
        <v>3424</v>
      </c>
      <c r="C23">
        <v>1498.19</v>
      </c>
      <c r="D23">
        <v>36000</v>
      </c>
      <c r="E23">
        <f>ROUND(D23/C23*10000,0)</f>
        <v>240290</v>
      </c>
      <c r="F23">
        <v>1785.52</v>
      </c>
      <c r="G23" s="3449" t="s">
        <v>3428</v>
      </c>
    </row>
    <row r="24" spans="1:7">
      <c r="A24" s="3449" t="s">
        <v>3425</v>
      </c>
      <c r="B24" s="3449" t="s">
        <v>3424</v>
      </c>
      <c r="C24">
        <v>332.22</v>
      </c>
      <c r="D24">
        <v>6650</v>
      </c>
      <c r="E24">
        <f>ROUND(D24/C24*10000,0)</f>
        <v>200169</v>
      </c>
      <c r="F24">
        <v>218</v>
      </c>
      <c r="G24" s="3449" t="s">
        <v>3428</v>
      </c>
    </row>
    <row r="25" spans="1:7">
      <c r="A25" s="3449" t="s">
        <v>3423</v>
      </c>
      <c r="B25" s="3449" t="s">
        <v>3426</v>
      </c>
      <c r="C25">
        <v>325.19</v>
      </c>
      <c r="D25">
        <v>6500</v>
      </c>
      <c r="E25">
        <f>ROUND(D25/C25*10000,0)</f>
        <v>199883</v>
      </c>
      <c r="F25">
        <v>228</v>
      </c>
      <c r="G25" s="3449" t="s">
        <v>3428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f ca="1">结果表!D118</f>
        <v>5761</v>
      </c>
      <c r="E4" s="854">
        <f ca="1">结果表!E118</f>
        <v>359613</v>
      </c>
      <c r="F4" s="854">
        <f ca="1">结果表!F118</f>
        <v>221</v>
      </c>
      <c r="G4" s="854">
        <f ca="1">结果表!G118</f>
        <v>13795</v>
      </c>
      <c r="H4" s="854">
        <f ca="1">结果表!H118</f>
        <v>5982</v>
      </c>
      <c r="I4" s="854">
        <f ca="1">结果表!I118</f>
        <v>373408</v>
      </c>
    </row>
    <row r="5" spans="1:9" ht="30" customHeight="1">
      <c r="A5" s="3474" t="s">
        <v>927</v>
      </c>
      <c r="B5" s="3474"/>
      <c r="C5" s="3474"/>
      <c r="D5" s="3474" t="str">
        <f ca="1">结果表!D119</f>
        <v>伍仟柒佰陆拾壹万元整</v>
      </c>
      <c r="E5" s="3474"/>
      <c r="F5" s="3474" t="str">
        <f ca="1">结果表!F119</f>
        <v>贰佰贰拾壹万元整</v>
      </c>
      <c r="G5" s="3474"/>
      <c r="H5" s="3474" t="str">
        <f ca="1">结果表!H119</f>
        <v>伍仟玖佰捌拾贰万元整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5982</v>
      </c>
      <c r="E8" s="3475"/>
      <c r="F8" s="3475"/>
      <c r="G8" s="3475"/>
      <c r="H8" s="3475"/>
      <c r="I8" s="3475"/>
    </row>
    <row r="9" spans="1:9" ht="15">
      <c r="A9" s="3474" t="s">
        <v>927</v>
      </c>
      <c r="B9" s="3474"/>
      <c r="C9" s="3474"/>
      <c r="D9" s="3474" t="str">
        <f ca="1">结果表!D123</f>
        <v>伍仟玖佰捌拾贰万元整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44941</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 (元)</vt:lpstr>
      <vt:lpstr>假设开发法</vt:lpstr>
      <vt:lpstr>收益法</vt:lpstr>
      <vt:lpstr>收益法 (元)</vt:lpstr>
      <vt:lpstr>收益法-酒店模型</vt:lpstr>
      <vt:lpstr>收益法（汇总）</vt:lpstr>
      <vt:lpstr>成本法</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2023-01-15T10:34:39Z</dcterms:modified>
</cp:coreProperties>
</file>