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D:\工作\北京市北京经济技术开发区路东区E7M1地块华卓精科二期在建工程\"/>
    </mc:Choice>
  </mc:AlternateContent>
  <xr:revisionPtr revIDLastSave="0" documentId="13_ncr:1_{35F7919D-860F-4266-BC3D-7F2D88EBC56C}" xr6:coauthVersionLast="47" xr6:coauthVersionMax="47" xr10:uidLastSave="{00000000-0000-0000-0000-000000000000}"/>
  <bookViews>
    <workbookView xWindow="-120" yWindow="-120" windowWidth="19440" windowHeight="15000" tabRatio="899" firstSheet="13"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面积" sheetId="80"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土地比较法-工业" sheetId="40" r:id="rId22"/>
    <sheet name="土地案例" sheetId="81" r:id="rId23"/>
    <sheet name="基准地价修正" sheetId="43" r:id="rId24"/>
    <sheet name="假设开发法" sheetId="12" r:id="rId25"/>
    <sheet name="收益法" sheetId="15" r:id="rId26"/>
    <sheet name="收益法 (元)" sheetId="67" state="hidden" r:id="rId27"/>
    <sheet name="收益法-酒店模型" sheetId="77" state="hidden" r:id="rId28"/>
    <sheet name="收益法（汇总）" sheetId="70"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典型户型修正" sheetId="31" state="hidden" r:id="rId37"/>
    <sheet name="基准地价（汇总）" sheetId="76"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租金" sheetId="82" r:id="rId45"/>
    <sheet name="地价-分区" sheetId="79" state="hidden" r:id="rId46"/>
    <sheet name="地价" sheetId="71" state="hidden" r:id="rId47"/>
    <sheet name="存贷款利率" sheetId="73" state="hidden" r:id="rId48"/>
  </sheets>
  <externalReferences>
    <externalReference r:id="rId49"/>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21"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23">基准地价修正!$A$1:$J$44,基准地价修正!$A$47:$H$101,基准地价修正!$R$1:$V$16</definedName>
    <definedName name="_xlnm.Print_Area" localSheetId="24">假设开发法!$A$1:$K$32</definedName>
    <definedName name="_xlnm.Print_Area" localSheetId="18">结果表!$A$1:$I$127</definedName>
    <definedName name="_xlnm.Print_Area" localSheetId="25">收益法!$A$1:$F$43,收益法!$H$3:$M$29,收益法!$A$46:$F$71,收益法!$I$46:$N$65</definedName>
    <definedName name="_xlnm.Print_Area" localSheetId="26">'收益法 (元)'!$A$1:$F$43,'收益法 (元)'!$H$3:$M$29,'收益法 (元)'!$A$45:$F$71,'收益法 (元)'!$I$46:$N$65</definedName>
    <definedName name="_xlnm.Print_Area" localSheetId="28">'收益法（汇总）'!$A$1:$F$13</definedName>
    <definedName name="_xlnm.Print_Area" localSheetId="14">'数据-汇总表'!$A$1:$P$32</definedName>
    <definedName name="_xlnm.Print_Area" localSheetId="21">'土地比较法-工业'!$A$1:$K$61,'土地比较法-工业'!$A$64:$M$121</definedName>
    <definedName name="_xlnm.Print_Area" localSheetId="35">'土地比较法-住宅、综合'!$A$1:$K$65,'土地比较法-住宅、综合'!$A$68:$M$131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Q24" i="1" l="1"/>
  <c r="D42" i="43"/>
  <c r="G44" i="43"/>
  <c r="D33" i="43"/>
  <c r="E20" i="80"/>
  <c r="F20" i="80"/>
  <c r="D20" i="80"/>
  <c r="D16" i="80"/>
  <c r="D17" i="80"/>
  <c r="D18" i="80"/>
  <c r="D19" i="80"/>
  <c r="D15" i="80"/>
  <c r="F18" i="80"/>
  <c r="F16" i="80"/>
  <c r="F17" i="80"/>
  <c r="F19" i="80"/>
  <c r="F15" i="80"/>
  <c r="E16" i="80"/>
  <c r="E17" i="80"/>
  <c r="E18" i="80"/>
  <c r="E19" i="80"/>
  <c r="E15" i="80"/>
  <c r="C14" i="74" l="1"/>
  <c r="B14" i="74"/>
  <c r="R25" i="1"/>
  <c r="I41" i="40"/>
  <c r="G41" i="40"/>
  <c r="E41" i="40"/>
  <c r="I34" i="40"/>
  <c r="G34" i="40"/>
  <c r="E34" i="40"/>
  <c r="I7" i="40"/>
  <c r="G7" i="40"/>
  <c r="E7" i="40"/>
  <c r="I5" i="40"/>
  <c r="G5" i="40"/>
  <c r="E5" i="40"/>
  <c r="R24" i="1"/>
  <c r="R22" i="1"/>
  <c r="R23" i="1"/>
  <c r="R21" i="1"/>
  <c r="C34" i="40"/>
  <c r="C11" i="40"/>
  <c r="C10" i="40"/>
  <c r="E66" i="40"/>
  <c r="F66" i="40" s="1"/>
  <c r="G66" i="40" s="1"/>
  <c r="H66" i="40" s="1"/>
  <c r="I66" i="40" s="1"/>
  <c r="J66" i="40" s="1"/>
  <c r="K66" i="40" s="1"/>
  <c r="L66" i="40" s="1"/>
  <c r="M66" i="40" s="1"/>
  <c r="D66" i="40"/>
  <c r="B21" i="1"/>
  <c r="P22" i="1"/>
  <c r="P23" i="1"/>
  <c r="P24" i="1"/>
  <c r="P25" i="1"/>
  <c r="P21" i="1"/>
  <c r="R26" i="1" l="1"/>
  <c r="Q26" i="1" s="1"/>
  <c r="P26" i="1"/>
  <c r="O26" i="1" s="1"/>
  <c r="M26" i="1" l="1"/>
  <c r="G19" i="6"/>
  <c r="F19" i="6"/>
  <c r="C19" i="6"/>
  <c r="H5" i="80"/>
  <c r="H7" i="80" s="1"/>
  <c r="K13" i="3" s="1"/>
  <c r="AT13" i="3"/>
  <c r="I7" i="80"/>
  <c r="G5" i="80"/>
  <c r="G7" i="80" s="1"/>
  <c r="E7" i="80"/>
  <c r="I13" i="3" s="1"/>
  <c r="E2" i="80"/>
  <c r="D2" i="80" s="1"/>
  <c r="E3" i="80"/>
  <c r="D3" i="80" s="1"/>
  <c r="F7" i="80"/>
  <c r="C7" i="80"/>
  <c r="G14" i="73"/>
  <c r="F14" i="73"/>
  <c r="E14" i="73"/>
  <c r="D7" i="80" l="1"/>
  <c r="AB30" i="79"/>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D45" i="79" s="1"/>
  <c r="AB44" i="79"/>
  <c r="AA44" i="79"/>
  <c r="Z44" i="79"/>
  <c r="N44" i="79"/>
  <c r="U44" i="79" s="1"/>
  <c r="M44" i="79"/>
  <c r="L44" i="79"/>
  <c r="I44" i="79"/>
  <c r="AB43" i="79"/>
  <c r="AA43" i="79"/>
  <c r="Z43" i="79"/>
  <c r="N43" i="79"/>
  <c r="M43" i="79"/>
  <c r="L43" i="79"/>
  <c r="I43" i="79"/>
  <c r="AB42" i="79"/>
  <c r="AA42" i="79"/>
  <c r="Z42" i="79"/>
  <c r="N42" i="79"/>
  <c r="M42" i="79"/>
  <c r="L42" i="79"/>
  <c r="S42" i="79" s="1"/>
  <c r="I42" i="79"/>
  <c r="AB41" i="79"/>
  <c r="AA41" i="79"/>
  <c r="Z41" i="79"/>
  <c r="N41" i="79"/>
  <c r="M41" i="79"/>
  <c r="L41" i="79"/>
  <c r="I41" i="79"/>
  <c r="AD41" i="79" s="1"/>
  <c r="AB40" i="79"/>
  <c r="AA40" i="79"/>
  <c r="Z40" i="79"/>
  <c r="N40" i="79"/>
  <c r="U40" i="79" s="1"/>
  <c r="M40" i="79"/>
  <c r="L40" i="79"/>
  <c r="I40" i="79"/>
  <c r="AB39" i="79"/>
  <c r="AA39" i="79"/>
  <c r="Z39" i="79"/>
  <c r="N39" i="79"/>
  <c r="M39" i="79"/>
  <c r="T34" i="79" s="1"/>
  <c r="W34" i="79" s="1"/>
  <c r="L39" i="79"/>
  <c r="I39" i="79"/>
  <c r="AB33" i="79"/>
  <c r="AA33" i="79"/>
  <c r="AA28" i="79" s="1"/>
  <c r="AD28" i="79" s="1"/>
  <c r="Z33" i="79"/>
  <c r="N33" i="79"/>
  <c r="M33" i="79"/>
  <c r="L33" i="79"/>
  <c r="I33" i="79"/>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D17" i="79"/>
  <c r="AC17" i="79"/>
  <c r="AB17" i="79"/>
  <c r="AA17" i="79"/>
  <c r="Z17" i="79"/>
  <c r="Y17" i="79"/>
  <c r="O17" i="79"/>
  <c r="N17" i="79"/>
  <c r="M17" i="79"/>
  <c r="L17" i="79"/>
  <c r="S17" i="79" s="1"/>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Z3" i="79" s="1"/>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AD32" i="79" l="1"/>
  <c r="N28"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W40" i="79" s="1"/>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W36" i="79" s="1"/>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8" i="79"/>
  <c r="W37"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AA3" i="71" s="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E24" i="71" s="1"/>
  <c r="O24" i="71"/>
  <c r="C24" i="71"/>
  <c r="C23" i="71" s="1"/>
  <c r="Q25" i="71"/>
  <c r="F24" i="71"/>
  <c r="F23" i="71"/>
  <c r="F22" i="71" s="1"/>
  <c r="P25" i="71"/>
  <c r="O25" i="71"/>
  <c r="N25" i="71"/>
  <c r="X25"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Y26" i="71" s="1"/>
  <c r="Z26" i="71" s="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Y27" i="71" s="1"/>
  <c r="Z27" i="71" s="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s="1"/>
  <c r="B84" i="71"/>
  <c r="B83" i="71" s="1"/>
  <c r="B82" i="71" s="1"/>
  <c r="D81" i="71"/>
  <c r="Q80" i="71"/>
  <c r="P80" i="71"/>
  <c r="O80" i="71"/>
  <c r="N80" i="71"/>
  <c r="F80" i="71"/>
  <c r="V80" i="71"/>
  <c r="E80" i="71"/>
  <c r="U80" i="71" s="1"/>
  <c r="C80" i="71"/>
  <c r="T80" i="71" s="1"/>
  <c r="B80" i="71"/>
  <c r="S80" i="71" s="1"/>
  <c r="Q79" i="71"/>
  <c r="P79" i="71"/>
  <c r="O79" i="71"/>
  <c r="N79" i="71"/>
  <c r="F79" i="71"/>
  <c r="F78" i="71"/>
  <c r="Q78" i="71"/>
  <c r="P78" i="71"/>
  <c r="O78" i="71"/>
  <c r="N78" i="71"/>
  <c r="Q77" i="71"/>
  <c r="P77" i="71"/>
  <c r="O77" i="71"/>
  <c r="N77" i="71"/>
  <c r="D77" i="71"/>
  <c r="Q76" i="71"/>
  <c r="P76" i="71"/>
  <c r="O76" i="71"/>
  <c r="N76" i="71"/>
  <c r="F76" i="71"/>
  <c r="V76" i="71" s="1"/>
  <c r="E76" i="71"/>
  <c r="U76" i="71" s="1"/>
  <c r="C76" i="71"/>
  <c r="T76" i="71" s="1"/>
  <c r="B76" i="71"/>
  <c r="S76" i="71"/>
  <c r="Q75" i="71"/>
  <c r="P75" i="71"/>
  <c r="O75" i="71"/>
  <c r="N75" i="71"/>
  <c r="B75" i="71"/>
  <c r="B74" i="71" s="1"/>
  <c r="Q74" i="71"/>
  <c r="P74" i="71"/>
  <c r="O74" i="71"/>
  <c r="N74" i="71"/>
  <c r="Q73" i="71"/>
  <c r="P73" i="71"/>
  <c r="O73" i="71"/>
  <c r="N73" i="71"/>
  <c r="D73" i="71"/>
  <c r="Q72" i="71"/>
  <c r="P72" i="71"/>
  <c r="O72" i="71"/>
  <c r="N72" i="71"/>
  <c r="F72" i="71"/>
  <c r="V72" i="71" s="1"/>
  <c r="E72" i="71"/>
  <c r="U72" i="71" s="1"/>
  <c r="C72" i="71"/>
  <c r="T72" i="71" s="1"/>
  <c r="B72" i="71"/>
  <c r="S72" i="71"/>
  <c r="Q71" i="71"/>
  <c r="P71" i="71"/>
  <c r="O71" i="71"/>
  <c r="N71" i="71"/>
  <c r="F71" i="71"/>
  <c r="F70" i="71" s="1"/>
  <c r="B71" i="71"/>
  <c r="B70" i="71" s="1"/>
  <c r="Q70" i="71"/>
  <c r="P70" i="71"/>
  <c r="O70" i="71"/>
  <c r="N70" i="71"/>
  <c r="Q69" i="71"/>
  <c r="P69" i="71"/>
  <c r="O69" i="71"/>
  <c r="N69" i="71"/>
  <c r="D69" i="71"/>
  <c r="F68" i="71"/>
  <c r="F67" i="71" s="1"/>
  <c r="V68" i="71"/>
  <c r="E68" i="71"/>
  <c r="P68" i="71" s="1"/>
  <c r="C68" i="71"/>
  <c r="C67" i="71" s="1"/>
  <c r="B68" i="71"/>
  <c r="S68" i="71"/>
  <c r="B67" i="71"/>
  <c r="N67" i="71" s="1"/>
  <c r="D65" i="71"/>
  <c r="Q64" i="71"/>
  <c r="P64" i="71"/>
  <c r="O64" i="71"/>
  <c r="N64" i="71"/>
  <c r="Q63" i="71"/>
  <c r="P63" i="71"/>
  <c r="O63" i="71"/>
  <c r="N63" i="71"/>
  <c r="Q62" i="71"/>
  <c r="P62" i="71"/>
  <c r="O62" i="71"/>
  <c r="C63" i="71" s="1"/>
  <c r="N62" i="71"/>
  <c r="Q61" i="71"/>
  <c r="F62" i="71" s="1"/>
  <c r="F63" i="71" s="1"/>
  <c r="F64" i="71" s="1"/>
  <c r="V64" i="71" s="1"/>
  <c r="P61" i="71"/>
  <c r="E62" i="71"/>
  <c r="E63" i="71" s="1"/>
  <c r="O61" i="71"/>
  <c r="C62" i="71" s="1"/>
  <c r="N61" i="71"/>
  <c r="B62" i="71" s="1"/>
  <c r="B63" i="71" s="1"/>
  <c r="B64" i="71" s="1"/>
  <c r="S64" i="71" s="1"/>
  <c r="D61" i="71"/>
  <c r="Q60" i="71"/>
  <c r="P60" i="71"/>
  <c r="O60" i="71"/>
  <c r="N60" i="71"/>
  <c r="Q59" i="71"/>
  <c r="P59" i="71"/>
  <c r="O59" i="71"/>
  <c r="N59" i="71"/>
  <c r="Q58" i="71"/>
  <c r="P58" i="71"/>
  <c r="O58" i="71"/>
  <c r="C59" i="71" s="1"/>
  <c r="C60" i="71" s="1"/>
  <c r="D60" i="71" s="1"/>
  <c r="N58" i="71"/>
  <c r="Q57" i="71"/>
  <c r="F58" i="71" s="1"/>
  <c r="F59" i="71" s="1"/>
  <c r="F60" i="71"/>
  <c r="V60" i="71" s="1"/>
  <c r="P57" i="71"/>
  <c r="E58" i="7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s="1"/>
  <c r="E55" i="71" s="1"/>
  <c r="E56" i="71" s="1"/>
  <c r="O53" i="71"/>
  <c r="C54" i="71" s="1"/>
  <c r="N53" i="71"/>
  <c r="B54" i="71" s="1"/>
  <c r="B55" i="71" s="1"/>
  <c r="B56" i="7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D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c r="C47" i="71" s="1"/>
  <c r="D47"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9" i="71" s="1"/>
  <c r="O39" i="71"/>
  <c r="N39" i="71"/>
  <c r="X39" i="71"/>
  <c r="Q38" i="71"/>
  <c r="P38" i="71"/>
  <c r="AA38" i="71" s="1"/>
  <c r="O38" i="71"/>
  <c r="N38" i="71"/>
  <c r="Q37" i="71"/>
  <c r="AB37" i="71" s="1"/>
  <c r="P37" i="71"/>
  <c r="AA37" i="71" s="1"/>
  <c r="O37" i="71"/>
  <c r="Y37" i="71" s="1"/>
  <c r="Z37" i="71" s="1"/>
  <c r="N37" i="71"/>
  <c r="B38" i="71" s="1"/>
  <c r="D37" i="71"/>
  <c r="Q36" i="71"/>
  <c r="P36" i="71"/>
  <c r="O36" i="71"/>
  <c r="N36" i="71"/>
  <c r="X36" i="71" s="1"/>
  <c r="Q35" i="71"/>
  <c r="P35" i="71"/>
  <c r="O35" i="71"/>
  <c r="Y35" i="71" s="1"/>
  <c r="Z35" i="71" s="1"/>
  <c r="N35" i="71"/>
  <c r="Q34" i="71"/>
  <c r="AB34" i="71" s="1"/>
  <c r="P34" i="71"/>
  <c r="O34" i="71"/>
  <c r="N34" i="71"/>
  <c r="X33" i="71" s="1"/>
  <c r="Q33" i="71"/>
  <c r="F34" i="71" s="1"/>
  <c r="P33" i="71"/>
  <c r="O33" i="71"/>
  <c r="C34" i="71" s="1"/>
  <c r="D34" i="71" s="1"/>
  <c r="N33" i="71"/>
  <c r="D33" i="71"/>
  <c r="Q32" i="71"/>
  <c r="AB32" i="71"/>
  <c r="P32" i="71"/>
  <c r="O32" i="71"/>
  <c r="N32" i="71"/>
  <c r="Q31" i="71"/>
  <c r="P31" i="71"/>
  <c r="O31" i="71"/>
  <c r="N31" i="71"/>
  <c r="Q30" i="71"/>
  <c r="P30" i="71"/>
  <c r="O30" i="71"/>
  <c r="C31" i="71" s="1"/>
  <c r="D31" i="71" s="1"/>
  <c r="N30" i="71"/>
  <c r="Q29" i="71"/>
  <c r="F30" i="71" s="1"/>
  <c r="P29" i="71"/>
  <c r="O29" i="71"/>
  <c r="N29" i="71"/>
  <c r="D29" i="71"/>
  <c r="O28" i="71"/>
  <c r="C28" i="71" s="1"/>
  <c r="N28" i="71"/>
  <c r="B30" i="71"/>
  <c r="B31" i="71" s="1"/>
  <c r="B32" i="71" s="1"/>
  <c r="S32" i="71" s="1"/>
  <c r="E30" i="71"/>
  <c r="E31" i="71" s="1"/>
  <c r="E32" i="71" s="1"/>
  <c r="U32" i="71" s="1"/>
  <c r="B34" i="71"/>
  <c r="B35" i="71" s="1"/>
  <c r="B36" i="71" s="1"/>
  <c r="S36" i="71" s="1"/>
  <c r="B39" i="71"/>
  <c r="B40" i="71" s="1"/>
  <c r="S40" i="71" s="1"/>
  <c r="E38" i="71"/>
  <c r="E39" i="71" s="1"/>
  <c r="E40" i="71" s="1"/>
  <c r="U40" i="71" s="1"/>
  <c r="N68" i="71"/>
  <c r="E34" i="71"/>
  <c r="C30" i="71"/>
  <c r="Y29" i="71"/>
  <c r="Z29" i="71" s="1"/>
  <c r="C35" i="71"/>
  <c r="AA35" i="71"/>
  <c r="C38" i="71"/>
  <c r="D38" i="71" s="1"/>
  <c r="X38" i="71"/>
  <c r="Y25" i="71"/>
  <c r="Z25" i="71" s="1"/>
  <c r="B28" i="71"/>
  <c r="B27" i="71" s="1"/>
  <c r="B26" i="71"/>
  <c r="X26" i="71"/>
  <c r="D30" i="71"/>
  <c r="C43" i="71"/>
  <c r="C44" i="71" s="1"/>
  <c r="D44" i="71" s="1"/>
  <c r="C51" i="71"/>
  <c r="P28" i="71"/>
  <c r="E28" i="71" s="1"/>
  <c r="U56" i="71"/>
  <c r="E64" i="71"/>
  <c r="U64" i="71" s="1"/>
  <c r="U68" i="71"/>
  <c r="E67" i="71"/>
  <c r="Q28" i="71"/>
  <c r="AB27" i="71" s="1"/>
  <c r="D58" i="71"/>
  <c r="D62" i="71"/>
  <c r="B66" i="71"/>
  <c r="N65" i="71" s="1"/>
  <c r="D68" i="71"/>
  <c r="Q68" i="71"/>
  <c r="E71" i="71"/>
  <c r="E70" i="71" s="1"/>
  <c r="D72" i="71"/>
  <c r="E75" i="71"/>
  <c r="E74" i="71" s="1"/>
  <c r="E79" i="71"/>
  <c r="E78" i="71" s="1"/>
  <c r="D80" i="71"/>
  <c r="C87" i="71"/>
  <c r="F28" i="71"/>
  <c r="F27" i="71" s="1"/>
  <c r="F26" i="71" s="1"/>
  <c r="AA28" i="71"/>
  <c r="O67" i="71"/>
  <c r="D59" i="71"/>
  <c r="P67" i="71"/>
  <c r="E66" i="71"/>
  <c r="D43" i="71"/>
  <c r="C32" i="71"/>
  <c r="T44" i="71"/>
  <c r="T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84" i="34" s="1"/>
  <c r="F21" i="34"/>
  <c r="AA21" i="34"/>
  <c r="C21" i="34"/>
  <c r="Q21" i="33"/>
  <c r="Z21" i="33" s="1"/>
  <c r="D83" i="33"/>
  <c r="E83" i="33" s="1"/>
  <c r="F83" i="33" s="1"/>
  <c r="G83" i="33" s="1"/>
  <c r="C21" i="33"/>
  <c r="C21" i="21"/>
  <c r="Q21" i="21"/>
  <c r="Z21" i="21" s="1"/>
  <c r="H19" i="21"/>
  <c r="D83" i="21"/>
  <c r="F21" i="21"/>
  <c r="AA21" i="21" s="1"/>
  <c r="D81" i="21"/>
  <c r="G20" i="20"/>
  <c r="C25" i="40" s="1"/>
  <c r="C22" i="20"/>
  <c r="B100" i="43" s="1"/>
  <c r="C29" i="39"/>
  <c r="S21" i="34"/>
  <c r="H25" i="40"/>
  <c r="AB25" i="40" s="1"/>
  <c r="J25" i="40"/>
  <c r="W25" i="40" s="1"/>
  <c r="H29" i="39"/>
  <c r="AB29" i="39" s="1"/>
  <c r="J29" i="39"/>
  <c r="AC29" i="39" s="1"/>
  <c r="J18" i="36"/>
  <c r="AC18" i="36" s="1"/>
  <c r="F68" i="35"/>
  <c r="G68" i="35" s="1"/>
  <c r="H18" i="35"/>
  <c r="AB18" i="35" s="1"/>
  <c r="J18" i="35"/>
  <c r="H21" i="37"/>
  <c r="F21" i="37"/>
  <c r="AA21" i="37" s="1"/>
  <c r="H21" i="34"/>
  <c r="AB21" i="34" s="1"/>
  <c r="H21" i="33"/>
  <c r="F21" i="33"/>
  <c r="AA21" i="33" s="1"/>
  <c r="E83" i="21"/>
  <c r="F83" i="21" s="1"/>
  <c r="H1" i="69"/>
  <c r="U29" i="39"/>
  <c r="W29" i="39"/>
  <c r="W18" i="36"/>
  <c r="S21" i="37"/>
  <c r="U21" i="34"/>
  <c r="S21" i="33"/>
  <c r="AC18" i="35"/>
  <c r="W18" i="35"/>
  <c r="J21" i="37"/>
  <c r="W21" i="37" s="1"/>
  <c r="G84" i="34"/>
  <c r="J21" i="34"/>
  <c r="W21" i="34" s="1"/>
  <c r="J21" i="33"/>
  <c r="W21" i="33" s="1"/>
  <c r="H21" i="21"/>
  <c r="U21" i="21" s="1"/>
  <c r="F38" i="69"/>
  <c r="E37" i="69"/>
  <c r="F36" i="69"/>
  <c r="F35" i="69"/>
  <c r="F21" i="69"/>
  <c r="F20" i="69"/>
  <c r="F39" i="69" s="1"/>
  <c r="E10" i="69"/>
  <c r="E9" i="69"/>
  <c r="C7" i="69"/>
  <c r="AC21" i="37"/>
  <c r="AC21" i="33"/>
  <c r="G83" i="21"/>
  <c r="J21" i="21"/>
  <c r="AC21" i="21" s="1"/>
  <c r="F38" i="68"/>
  <c r="E37" i="68"/>
  <c r="F36" i="68"/>
  <c r="F35" i="68"/>
  <c r="F21" i="68"/>
  <c r="F40" i="68" s="1"/>
  <c r="F20" i="68"/>
  <c r="F39" i="68" s="1"/>
  <c r="E10" i="68"/>
  <c r="E9" i="68"/>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G8" i="1" s="1"/>
  <c r="A7" i="1"/>
  <c r="B7" i="1" s="1"/>
  <c r="E7" i="1" s="1"/>
  <c r="A8" i="1"/>
  <c r="B8" i="1" s="1"/>
  <c r="E8" i="1" s="1"/>
  <c r="A9" i="1"/>
  <c r="A10" i="1"/>
  <c r="A11" i="1"/>
  <c r="B11" i="1" s="1"/>
  <c r="E11" i="1" s="1"/>
  <c r="A12" i="1"/>
  <c r="A13" i="1"/>
  <c r="B13" i="1" s="1"/>
  <c r="E13" i="1" s="1"/>
  <c r="A6" i="1"/>
  <c r="F3" i="35"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A109" i="3" s="1"/>
  <c r="BB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A98" i="3" s="1"/>
  <c r="BB98" i="3"/>
  <c r="AX98" i="3"/>
  <c r="AW98" i="3"/>
  <c r="AV98" i="3"/>
  <c r="AC98" i="3"/>
  <c r="H98" i="3"/>
  <c r="G98" i="3"/>
  <c r="BT97" i="3"/>
  <c r="BS97" i="3"/>
  <c r="BR97" i="3"/>
  <c r="BQ97" i="3"/>
  <c r="BP97" i="3"/>
  <c r="BO97" i="3"/>
  <c r="BN97" i="3"/>
  <c r="BM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A94" i="3" s="1"/>
  <c r="BB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G89" i="3" s="1"/>
  <c r="H89" i="3"/>
  <c r="BT88" i="3"/>
  <c r="BS88" i="3"/>
  <c r="BR88" i="3"/>
  <c r="BQ88" i="3"/>
  <c r="BP88" i="3"/>
  <c r="BO88" i="3"/>
  <c r="BN88" i="3"/>
  <c r="BM88" i="3"/>
  <c r="BK88" i="3"/>
  <c r="BJ88" i="3"/>
  <c r="BI88" i="3"/>
  <c r="BH88" i="3"/>
  <c r="BG88" i="3"/>
  <c r="BF88" i="3"/>
  <c r="BE88" i="3"/>
  <c r="BD88" i="3"/>
  <c r="BC88" i="3"/>
  <c r="BB88" i="3"/>
  <c r="BA88" i="3" s="1"/>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L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c r="BT77" i="3"/>
  <c r="BS77" i="3"/>
  <c r="BR77" i="3"/>
  <c r="BQ77" i="3"/>
  <c r="BP77" i="3"/>
  <c r="BO77" i="3"/>
  <c r="BN77" i="3"/>
  <c r="BM77" i="3"/>
  <c r="BL77" i="3" s="1"/>
  <c r="BK77" i="3"/>
  <c r="BJ77" i="3"/>
  <c r="BI77" i="3"/>
  <c r="BH77" i="3"/>
  <c r="BG77" i="3"/>
  <c r="BF77" i="3"/>
  <c r="BE77" i="3"/>
  <c r="BD77" i="3"/>
  <c r="BA77" i="3" s="1"/>
  <c r="BC77" i="3"/>
  <c r="BB77" i="3"/>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K67" i="3"/>
  <c r="BJ67" i="3"/>
  <c r="BI67" i="3"/>
  <c r="BH67" i="3"/>
  <c r="BG67" i="3"/>
  <c r="BF67" i="3"/>
  <c r="BE67" i="3"/>
  <c r="BD67" i="3"/>
  <c r="BC67" i="3"/>
  <c r="BB67" i="3"/>
  <c r="BA67" i="3" s="1"/>
  <c r="AX67" i="3"/>
  <c r="AW67" i="3"/>
  <c r="AV67" i="3"/>
  <c r="AC67" i="3"/>
  <c r="H67" i="3"/>
  <c r="BT66" i="3"/>
  <c r="BS66" i="3"/>
  <c r="BR66" i="3"/>
  <c r="BQ66" i="3"/>
  <c r="BP66" i="3"/>
  <c r="BO66" i="3"/>
  <c r="BN66" i="3"/>
  <c r="BM66" i="3"/>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K65" i="3"/>
  <c r="BJ65" i="3"/>
  <c r="BI65" i="3"/>
  <c r="BH65" i="3"/>
  <c r="BG65" i="3"/>
  <c r="BF65" i="3"/>
  <c r="BE65" i="3"/>
  <c r="BD65" i="3"/>
  <c r="BC65" i="3"/>
  <c r="BA65" i="3" s="1"/>
  <c r="BB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K62" i="3"/>
  <c r="BJ62" i="3"/>
  <c r="BI62" i="3"/>
  <c r="BH62" i="3"/>
  <c r="BG62" i="3"/>
  <c r="BF62" i="3"/>
  <c r="BE62" i="3"/>
  <c r="BD62" i="3"/>
  <c r="BC62" i="3"/>
  <c r="BA62" i="3" s="1"/>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L58" i="3" s="1"/>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A57" i="3" s="1"/>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G56" i="3" s="1"/>
  <c r="H56" i="3"/>
  <c r="BT55" i="3"/>
  <c r="BS55" i="3"/>
  <c r="BR55" i="3"/>
  <c r="BQ55" i="3"/>
  <c r="BP55" i="3"/>
  <c r="BO55" i="3"/>
  <c r="BN55" i="3"/>
  <c r="BM55" i="3"/>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L53" i="3" s="1"/>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L51" i="3" s="1"/>
  <c r="BK51" i="3"/>
  <c r="BJ51" i="3"/>
  <c r="BI51" i="3"/>
  <c r="BH51" i="3"/>
  <c r="BG51" i="3"/>
  <c r="BF51" i="3"/>
  <c r="BE51" i="3"/>
  <c r="BD51" i="3"/>
  <c r="BC51" i="3"/>
  <c r="BB51" i="3"/>
  <c r="AX51" i="3"/>
  <c r="AW51" i="3"/>
  <c r="AV51" i="3"/>
  <c r="AC51" i="3"/>
  <c r="H51" i="3"/>
  <c r="G51" i="3"/>
  <c r="BT50" i="3"/>
  <c r="BS50" i="3"/>
  <c r="BR50" i="3"/>
  <c r="BQ50" i="3"/>
  <c r="BP50" i="3"/>
  <c r="BO50" i="3"/>
  <c r="BN50" i="3"/>
  <c r="BM50" i="3"/>
  <c r="BL50" i="3" s="1"/>
  <c r="BK50" i="3"/>
  <c r="BJ50" i="3"/>
  <c r="BI50" i="3"/>
  <c r="BH50" i="3"/>
  <c r="BG50" i="3"/>
  <c r="BF50" i="3"/>
  <c r="BE50" i="3"/>
  <c r="BD50" i="3"/>
  <c r="BA50" i="3" s="1"/>
  <c r="BC50" i="3"/>
  <c r="BB50" i="3"/>
  <c r="AX50" i="3"/>
  <c r="AW50" i="3"/>
  <c r="AV50" i="3"/>
  <c r="AC50" i="3"/>
  <c r="H50" i="3"/>
  <c r="BT49" i="3"/>
  <c r="BS49" i="3"/>
  <c r="BR49" i="3"/>
  <c r="BQ49" i="3"/>
  <c r="BP49" i="3"/>
  <c r="BO49" i="3"/>
  <c r="BN49" i="3"/>
  <c r="BM49" i="3"/>
  <c r="BL49" i="3" s="1"/>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A47" i="3" s="1"/>
  <c r="BB47" i="3"/>
  <c r="AX47" i="3"/>
  <c r="AW47" i="3"/>
  <c r="AV47" i="3"/>
  <c r="AC47" i="3"/>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s="1"/>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L39" i="3" s="1"/>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s="1"/>
  <c r="BK35" i="3"/>
  <c r="BJ35" i="3"/>
  <c r="BI35" i="3"/>
  <c r="BH35" i="3"/>
  <c r="BG35" i="3"/>
  <c r="BF35" i="3"/>
  <c r="BE35" i="3"/>
  <c r="BD35" i="3"/>
  <c r="BC35" i="3"/>
  <c r="BB35" i="3"/>
  <c r="AX35" i="3"/>
  <c r="AW35" i="3"/>
  <c r="AV35" i="3"/>
  <c r="AC35" i="3"/>
  <c r="H35" i="3"/>
  <c r="BT34" i="3"/>
  <c r="BS34" i="3"/>
  <c r="BR34" i="3"/>
  <c r="BQ34" i="3"/>
  <c r="BP34" i="3"/>
  <c r="BO34" i="3"/>
  <c r="BN34" i="3"/>
  <c r="BM34" i="3"/>
  <c r="BL34" i="3" s="1"/>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G27" i="3" s="1"/>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L24" i="3" s="1"/>
  <c r="BK24" i="3"/>
  <c r="BJ24" i="3"/>
  <c r="BI24" i="3"/>
  <c r="BH24" i="3"/>
  <c r="BG24" i="3"/>
  <c r="BF24" i="3"/>
  <c r="BE24" i="3"/>
  <c r="BD24" i="3"/>
  <c r="BC24" i="3"/>
  <c r="BB24" i="3"/>
  <c r="AX24" i="3"/>
  <c r="AW24" i="3"/>
  <c r="AV24" i="3"/>
  <c r="AC24" i="3"/>
  <c r="H24" i="3"/>
  <c r="BT23" i="3"/>
  <c r="BS23" i="3"/>
  <c r="BR23" i="3"/>
  <c r="BQ23" i="3"/>
  <c r="BP23" i="3"/>
  <c r="BO23" i="3"/>
  <c r="BN23" i="3"/>
  <c r="BM23" i="3"/>
  <c r="BL23" i="3" s="1"/>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L205" i="3" s="1"/>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A201" i="3" s="1"/>
  <c r="AZ201" i="3" s="1"/>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L198" i="3" s="1"/>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L181" i="3" s="1"/>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A177" i="3" s="1"/>
  <c r="AZ177" i="3" s="1"/>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L173" i="3" s="1"/>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G138" i="3" s="1"/>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A133" i="3" s="1"/>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L298" i="3" s="1"/>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G295" i="3" s="1"/>
  <c r="H295" i="3"/>
  <c r="BT294" i="3"/>
  <c r="BS294" i="3"/>
  <c r="BR294" i="3"/>
  <c r="BQ294" i="3"/>
  <c r="BP294" i="3"/>
  <c r="BO294" i="3"/>
  <c r="BN294" i="3"/>
  <c r="BM294" i="3"/>
  <c r="BK294" i="3"/>
  <c r="BJ294" i="3"/>
  <c r="BI294" i="3"/>
  <c r="BH294" i="3"/>
  <c r="BG294" i="3"/>
  <c r="BF294" i="3"/>
  <c r="BE294" i="3"/>
  <c r="BD294" i="3"/>
  <c r="BC294" i="3"/>
  <c r="BB294" i="3"/>
  <c r="BA294" i="3" s="1"/>
  <c r="AX294" i="3"/>
  <c r="AW294" i="3"/>
  <c r="AV294" i="3"/>
  <c r="AC294" i="3"/>
  <c r="G294" i="3" s="1"/>
  <c r="H294" i="3"/>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G292" i="3" s="1"/>
  <c r="H292" i="3"/>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A245" i="3" s="1"/>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G243" i="3" s="1"/>
  <c r="H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A240" i="3" s="1"/>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A233" i="3" s="1"/>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L230" i="3" s="1"/>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G229" i="3" s="1"/>
  <c r="H229" i="3"/>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L219" i="3" s="1"/>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A214" i="3" s="1"/>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A212" i="3" s="1"/>
  <c r="BC212" i="3"/>
  <c r="BB212" i="3"/>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A392" i="3" s="1"/>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A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A319" i="3" s="1"/>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A487" i="3" s="1"/>
  <c r="AZ487" i="3" s="1"/>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A485" i="3" s="1"/>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G478" i="3" s="1"/>
  <c r="H478" i="3"/>
  <c r="BT477" i="3"/>
  <c r="BS477" i="3"/>
  <c r="BR477" i="3"/>
  <c r="BQ477" i="3"/>
  <c r="BP477" i="3"/>
  <c r="BO477" i="3"/>
  <c r="BN477" i="3"/>
  <c r="BM477" i="3"/>
  <c r="BK477" i="3"/>
  <c r="BJ477" i="3"/>
  <c r="BI477" i="3"/>
  <c r="BH477" i="3"/>
  <c r="BG477" i="3"/>
  <c r="BF477" i="3"/>
  <c r="BE477" i="3"/>
  <c r="BD477" i="3"/>
  <c r="BC477" i="3"/>
  <c r="BB477" i="3"/>
  <c r="AX477" i="3"/>
  <c r="AW477" i="3"/>
  <c r="AV477" i="3"/>
  <c r="AC477" i="3"/>
  <c r="G477" i="3" s="1"/>
  <c r="H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L469" i="3" s="1"/>
  <c r="BN469" i="3"/>
  <c r="BM469" i="3"/>
  <c r="BK469" i="3"/>
  <c r="BJ469" i="3"/>
  <c r="BI469" i="3"/>
  <c r="BH469" i="3"/>
  <c r="BG469" i="3"/>
  <c r="BF469" i="3"/>
  <c r="BE469" i="3"/>
  <c r="BD469" i="3"/>
  <c r="BC469" i="3"/>
  <c r="BB469" i="3"/>
  <c r="BA469" i="3" s="1"/>
  <c r="AZ469" i="3" s="1"/>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L455" i="3" s="1"/>
  <c r="BN455" i="3"/>
  <c r="BM455" i="3"/>
  <c r="BK455" i="3"/>
  <c r="BJ455" i="3"/>
  <c r="BI455" i="3"/>
  <c r="BH455" i="3"/>
  <c r="BG455" i="3"/>
  <c r="BF455" i="3"/>
  <c r="BE455" i="3"/>
  <c r="BD455" i="3"/>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L451" i="3" s="1"/>
  <c r="BN451" i="3"/>
  <c r="BM451" i="3"/>
  <c r="BK451" i="3"/>
  <c r="BJ451" i="3"/>
  <c r="BI451" i="3"/>
  <c r="BH451" i="3"/>
  <c r="BG451" i="3"/>
  <c r="BF451" i="3"/>
  <c r="BE451" i="3"/>
  <c r="BD451" i="3"/>
  <c r="BC451" i="3"/>
  <c r="BB451" i="3"/>
  <c r="BA451" i="3" s="1"/>
  <c r="AZ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A443" i="3" s="1"/>
  <c r="AZ443" i="3" s="1"/>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A439" i="3" s="1"/>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L435" i="3" s="1"/>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L432" i="3" s="1"/>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L430" i="3" s="1"/>
  <c r="BN430" i="3"/>
  <c r="BM430" i="3"/>
  <c r="BK430" i="3"/>
  <c r="BJ430" i="3"/>
  <c r="BI430" i="3"/>
  <c r="BH430" i="3"/>
  <c r="BG430" i="3"/>
  <c r="BF430" i="3"/>
  <c r="BE430" i="3"/>
  <c r="BD430" i="3"/>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A424" i="3" s="1"/>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A420" i="3" s="1"/>
  <c r="BC420" i="3"/>
  <c r="BB420" i="3"/>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L417" i="3" s="1"/>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A413" i="3" s="1"/>
  <c r="AZ413" i="3" s="1"/>
  <c r="BC413" i="3"/>
  <c r="BB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L409" i="3" s="1"/>
  <c r="BN409" i="3"/>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A406" i="3" s="1"/>
  <c r="AZ406" i="3" s="1"/>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A402" i="3" s="1"/>
  <c r="AZ402" i="3" s="1"/>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A400" i="3" s="1"/>
  <c r="AZ400" i="3" s="1"/>
  <c r="BC400" i="3"/>
  <c r="BB400" i="3"/>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s="1"/>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A13" i="3" s="1"/>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H5" i="3" s="1"/>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6" i="39" s="1"/>
  <c r="AC36" i="39" s="1"/>
  <c r="J30" i="36"/>
  <c r="H30" i="36"/>
  <c r="F30" i="36"/>
  <c r="AA30" i="36" s="1"/>
  <c r="C26" i="35"/>
  <c r="C79" i="35" s="1"/>
  <c r="J31" i="35"/>
  <c r="W31" i="35" s="1"/>
  <c r="H31" i="35"/>
  <c r="AB31" i="35" s="1"/>
  <c r="F31" i="35"/>
  <c r="AA31" i="35" s="1"/>
  <c r="D87" i="35"/>
  <c r="E87" i="35" s="1"/>
  <c r="F87" i="35" s="1"/>
  <c r="G87" i="35" s="1"/>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s="1"/>
  <c r="D114" i="34"/>
  <c r="F38" i="34"/>
  <c r="S38" i="34"/>
  <c r="D112" i="34"/>
  <c r="E112" i="34" s="1"/>
  <c r="F112" i="34" s="1"/>
  <c r="G112" i="34" s="1"/>
  <c r="H112" i="34" s="1"/>
  <c r="I112" i="34" s="1"/>
  <c r="J112" i="34" s="1"/>
  <c r="K112" i="34" s="1"/>
  <c r="L112" i="34" s="1"/>
  <c r="M112" i="34" s="1"/>
  <c r="F40" i="33"/>
  <c r="S40" i="33" s="1"/>
  <c r="J41" i="33"/>
  <c r="D113" i="33"/>
  <c r="F37" i="33"/>
  <c r="D111" i="33"/>
  <c r="E111" i="33" s="1"/>
  <c r="F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AC39" i="40" s="1"/>
  <c r="B116" i="40"/>
  <c r="F38" i="40" s="1"/>
  <c r="AA38" i="40" s="1"/>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D90" i="40"/>
  <c r="E90" i="40" s="1"/>
  <c r="D88" i="40"/>
  <c r="E88" i="40" s="1"/>
  <c r="D86" i="40"/>
  <c r="E86" i="40" s="1"/>
  <c r="F86" i="40" s="1"/>
  <c r="G86" i="40" s="1"/>
  <c r="D84" i="40"/>
  <c r="E84" i="40" s="1"/>
  <c r="F84" i="40" s="1"/>
  <c r="G84" i="40" s="1"/>
  <c r="B81" i="40"/>
  <c r="B79" i="40"/>
  <c r="F13" i="40" s="1"/>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c r="Q34" i="40"/>
  <c r="Z34" i="40" s="1"/>
  <c r="J34" i="40"/>
  <c r="AC34" i="40" s="1"/>
  <c r="H34" i="40"/>
  <c r="AB34" i="40" s="1"/>
  <c r="F34" i="40"/>
  <c r="S34" i="40" s="1"/>
  <c r="Q33" i="40"/>
  <c r="Z33" i="40" s="1"/>
  <c r="Q32" i="40"/>
  <c r="Z32" i="40" s="1"/>
  <c r="Q31" i="40"/>
  <c r="Z31" i="40" s="1"/>
  <c r="Q30" i="40"/>
  <c r="Z30" i="40" s="1"/>
  <c r="Q28" i="40"/>
  <c r="Z28" i="40" s="1"/>
  <c r="Q27" i="40"/>
  <c r="Z27" i="40"/>
  <c r="Q23" i="40"/>
  <c r="Z23" i="40" s="1"/>
  <c r="Q21" i="40"/>
  <c r="Z21" i="40" s="1"/>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D106" i="39"/>
  <c r="E106" i="39" s="1"/>
  <c r="D104" i="39"/>
  <c r="E104" i="39" s="1"/>
  <c r="F104" i="39" s="1"/>
  <c r="G104" i="39" s="1"/>
  <c r="H104" i="39" s="1"/>
  <c r="I104" i="39" s="1"/>
  <c r="J104" i="39" s="1"/>
  <c r="K104" i="39" s="1"/>
  <c r="L104" i="39" s="1"/>
  <c r="M104" i="39" s="1"/>
  <c r="D100" i="39"/>
  <c r="E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J39" i="37" s="1"/>
  <c r="AC39" i="37" s="1"/>
  <c r="B108" i="37"/>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s="1"/>
  <c r="Q34" i="37"/>
  <c r="Z34" i="37" s="1"/>
  <c r="Q33" i="37"/>
  <c r="Z33" i="37"/>
  <c r="Q32" i="37"/>
  <c r="Z32" i="37" s="1"/>
  <c r="Q31" i="37"/>
  <c r="Z31" i="37" s="1"/>
  <c r="J31" i="37"/>
  <c r="AC31" i="37" s="1"/>
  <c r="Q30" i="37"/>
  <c r="Z30" i="37"/>
  <c r="J30" i="37"/>
  <c r="AC30" i="37" s="1"/>
  <c r="H30" i="37"/>
  <c r="F30" i="37"/>
  <c r="AA30" i="37" s="1"/>
  <c r="Q29" i="37"/>
  <c r="Z29" i="37" s="1"/>
  <c r="H29" i="37"/>
  <c r="AB29" i="37" s="1"/>
  <c r="Q28" i="37"/>
  <c r="Z28" i="37"/>
  <c r="Q27" i="37"/>
  <c r="Z27" i="37" s="1"/>
  <c r="Q26" i="37"/>
  <c r="Z26" i="37" s="1"/>
  <c r="H26" i="37"/>
  <c r="AB26" i="37" s="1"/>
  <c r="Q25" i="37"/>
  <c r="Z25" i="37" s="1"/>
  <c r="Q23" i="37"/>
  <c r="Z23" i="37" s="1"/>
  <c r="Q19" i="37"/>
  <c r="Z19" i="37"/>
  <c r="Q17" i="37"/>
  <c r="Z17" i="37" s="1"/>
  <c r="Q15" i="37"/>
  <c r="Z15" i="37" s="1"/>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c r="D83" i="36"/>
  <c r="E83" i="36" s="1"/>
  <c r="F83" i="36"/>
  <c r="G83" i="36" s="1"/>
  <c r="H83" i="36" s="1"/>
  <c r="I83" i="36" s="1"/>
  <c r="J83" i="36" s="1"/>
  <c r="K83" i="36" s="1"/>
  <c r="L83" i="36" s="1"/>
  <c r="M83" i="36" s="1"/>
  <c r="D78" i="36"/>
  <c r="E78" i="36"/>
  <c r="F78" i="36" s="1"/>
  <c r="G78" i="36" s="1"/>
  <c r="H78" i="36" s="1"/>
  <c r="I78" i="36" s="1"/>
  <c r="J78" i="36" s="1"/>
  <c r="K78" i="36" s="1"/>
  <c r="L78" i="36" s="1"/>
  <c r="M78" i="36" s="1"/>
  <c r="B75" i="36"/>
  <c r="B73" i="36"/>
  <c r="J24" i="36"/>
  <c r="AC24" i="36" s="1"/>
  <c r="B71" i="36"/>
  <c r="H23" i="36" s="1"/>
  <c r="D70" i="36"/>
  <c r="H22" i="36"/>
  <c r="AB22" i="36" s="1"/>
  <c r="D68" i="36"/>
  <c r="E68" i="36" s="1"/>
  <c r="F68" i="36" s="1"/>
  <c r="G68" i="36"/>
  <c r="D64" i="36"/>
  <c r="E64" i="36" s="1"/>
  <c r="F64" i="36"/>
  <c r="G64" i="36" s="1"/>
  <c r="J16" i="36"/>
  <c r="W16" i="36" s="1"/>
  <c r="D62" i="36"/>
  <c r="E62" i="36"/>
  <c r="F62" i="36" s="1"/>
  <c r="G62" i="36" s="1"/>
  <c r="B59" i="36"/>
  <c r="B57" i="36"/>
  <c r="H12" i="36" s="1"/>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s="1"/>
  <c r="Q26" i="36"/>
  <c r="Z26" i="36" s="1"/>
  <c r="H26" i="36"/>
  <c r="AB26" i="36"/>
  <c r="Q25" i="36"/>
  <c r="Z25" i="36" s="1"/>
  <c r="Q24" i="36"/>
  <c r="Z24" i="36" s="1"/>
  <c r="H24" i="36"/>
  <c r="AB24" i="36" s="1"/>
  <c r="Q23" i="36"/>
  <c r="Z23" i="36"/>
  <c r="J23" i="36"/>
  <c r="AC23" i="36" s="1"/>
  <c r="AB23" i="36"/>
  <c r="F23" i="36"/>
  <c r="AA23" i="36"/>
  <c r="Q22" i="36"/>
  <c r="Z22" i="36"/>
  <c r="J22" i="36"/>
  <c r="AC22" i="36"/>
  <c r="Q20" i="36"/>
  <c r="Z20" i="36"/>
  <c r="Q16" i="36"/>
  <c r="Z16" i="36"/>
  <c r="Q14" i="36"/>
  <c r="Z14" i="36"/>
  <c r="Q13" i="36"/>
  <c r="Z13" i="36"/>
  <c r="Q12" i="36"/>
  <c r="Z12" i="36"/>
  <c r="U12" i="36"/>
  <c r="Q11" i="36"/>
  <c r="Z11" i="36"/>
  <c r="Q10" i="36"/>
  <c r="Z10" i="36"/>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H27" i="35"/>
  <c r="U27" i="35" s="1"/>
  <c r="F27" i="35"/>
  <c r="AA27" i="35" s="1"/>
  <c r="J22" i="35"/>
  <c r="AC22" i="35" s="1"/>
  <c r="B101" i="35"/>
  <c r="H36" i="35"/>
  <c r="AB36" i="35" s="1"/>
  <c r="B99" i="35"/>
  <c r="B97" i="35"/>
  <c r="B77" i="35"/>
  <c r="B75" i="35"/>
  <c r="J24" i="35" s="1"/>
  <c r="AC24" i="35" s="1"/>
  <c r="B7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D64" i="35"/>
  <c r="E64" i="35" s="1"/>
  <c r="F64" i="35" s="1"/>
  <c r="G64" i="35"/>
  <c r="J14" i="35"/>
  <c r="W14" i="35" s="1"/>
  <c r="C53" i="35"/>
  <c r="J9" i="35" s="1"/>
  <c r="P39" i="35"/>
  <c r="P38" i="35"/>
  <c r="V37" i="35"/>
  <c r="T37" i="35"/>
  <c r="R37" i="35"/>
  <c r="P37" i="35"/>
  <c r="Q36" i="35"/>
  <c r="Z36" i="35" s="1"/>
  <c r="J36" i="35"/>
  <c r="AC36" i="35" s="1"/>
  <c r="Q35" i="35"/>
  <c r="Z35" i="35"/>
  <c r="Q34" i="35"/>
  <c r="Z34" i="35" s="1"/>
  <c r="H34" i="35"/>
  <c r="AB34" i="35" s="1"/>
  <c r="Q33" i="35"/>
  <c r="Z33" i="35" s="1"/>
  <c r="Q32" i="35"/>
  <c r="Z32" i="35" s="1"/>
  <c r="H32" i="35"/>
  <c r="AB32" i="35" s="1"/>
  <c r="F32" i="35"/>
  <c r="AA32" i="35" s="1"/>
  <c r="Q31" i="35"/>
  <c r="Z31" i="35" s="1"/>
  <c r="AC31" i="35"/>
  <c r="Q30" i="35"/>
  <c r="Z30" i="35" s="1"/>
  <c r="Q29" i="35"/>
  <c r="Z29" i="35" s="1"/>
  <c r="Q28" i="35"/>
  <c r="Z28" i="35" s="1"/>
  <c r="J28" i="35"/>
  <c r="AC28" i="35" s="1"/>
  <c r="H28" i="35"/>
  <c r="AB28" i="35"/>
  <c r="F28" i="35"/>
  <c r="AA28" i="35" s="1"/>
  <c r="Q27" i="35"/>
  <c r="Z27" i="35" s="1"/>
  <c r="Q26" i="35"/>
  <c r="Z26" i="35" s="1"/>
  <c r="Q25" i="35"/>
  <c r="Z25" i="35" s="1"/>
  <c r="Q24" i="35"/>
  <c r="Z24" i="35" s="1"/>
  <c r="Q23" i="35"/>
  <c r="Z23" i="35"/>
  <c r="Q22" i="35"/>
  <c r="Z22" i="35"/>
  <c r="Q20" i="35"/>
  <c r="Z20" i="35" s="1"/>
  <c r="Q16" i="35"/>
  <c r="Z16" i="35" s="1"/>
  <c r="Q14" i="35"/>
  <c r="Z14" i="35" s="1"/>
  <c r="Q13" i="35"/>
  <c r="Z13" i="35" s="1"/>
  <c r="Q12" i="35"/>
  <c r="Z12" i="35" s="1"/>
  <c r="Q11" i="35"/>
  <c r="Z11" i="35"/>
  <c r="Q10" i="35"/>
  <c r="Z10" i="35" s="1"/>
  <c r="Q9" i="35"/>
  <c r="Z9" i="35" s="1"/>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s="1"/>
  <c r="F126" i="34" s="1"/>
  <c r="G126" i="34" s="1"/>
  <c r="D124" i="34"/>
  <c r="E124" i="34" s="1"/>
  <c r="F124" i="34" s="1"/>
  <c r="G124" i="34"/>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s="1"/>
  <c r="F86" i="34" s="1"/>
  <c r="G86" i="34"/>
  <c r="D82" i="34"/>
  <c r="E82" i="34"/>
  <c r="F82" i="34" s="1"/>
  <c r="G82" i="34" s="1"/>
  <c r="D80" i="34"/>
  <c r="E80" i="34" s="1"/>
  <c r="F80" i="34" s="1"/>
  <c r="G80" i="34" s="1"/>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s="1"/>
  <c r="C17" i="34"/>
  <c r="Q15" i="34"/>
  <c r="Z15" i="34" s="1"/>
  <c r="Q14" i="34"/>
  <c r="Z14" i="34" s="1"/>
  <c r="Q13" i="34"/>
  <c r="Z13" i="34" s="1"/>
  <c r="Q12" i="34"/>
  <c r="Z12" i="34" s="1"/>
  <c r="H12" i="34"/>
  <c r="Q11" i="34"/>
  <c r="Z11" i="34" s="1"/>
  <c r="Q10" i="34"/>
  <c r="Z10" i="34"/>
  <c r="F10" i="34"/>
  <c r="AA10" i="34" s="1"/>
  <c r="Q9" i="34"/>
  <c r="Z9" i="34" s="1"/>
  <c r="J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c r="G117" i="33" s="1"/>
  <c r="D115" i="33"/>
  <c r="E115" i="33"/>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F54" i="33"/>
  <c r="P49" i="33"/>
  <c r="P48" i="33"/>
  <c r="V47" i="33"/>
  <c r="T47" i="33"/>
  <c r="R47" i="33"/>
  <c r="P47" i="33"/>
  <c r="Q46" i="33"/>
  <c r="Z46" i="33"/>
  <c r="Q45" i="33"/>
  <c r="Z45" i="33" s="1"/>
  <c r="Q44" i="33"/>
  <c r="Z44" i="33" s="1"/>
  <c r="Q43" i="33"/>
  <c r="Z43" i="33" s="1"/>
  <c r="Q42" i="33"/>
  <c r="Z42" i="33"/>
  <c r="J42" i="33"/>
  <c r="AC42" i="33" s="1"/>
  <c r="AC41" i="33"/>
  <c r="W41" i="33"/>
  <c r="Q41" i="33"/>
  <c r="Z41" i="33" s="1"/>
  <c r="Q40" i="33"/>
  <c r="Z40" i="33"/>
  <c r="J40" i="33"/>
  <c r="AC40" i="33" s="1"/>
  <c r="H40" i="33"/>
  <c r="AB40" i="33" s="1"/>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s="1"/>
  <c r="Q28" i="33"/>
  <c r="Z28" i="33" s="1"/>
  <c r="Q27" i="33"/>
  <c r="Z27" i="33"/>
  <c r="Q26" i="33"/>
  <c r="Z26" i="33" s="1"/>
  <c r="Q25" i="33"/>
  <c r="Z25" i="33" s="1"/>
  <c r="Q23" i="33"/>
  <c r="Z23" i="33" s="1"/>
  <c r="Q19" i="33"/>
  <c r="Z19" i="33"/>
  <c r="Q17" i="33"/>
  <c r="Z17" i="33" s="1"/>
  <c r="Q15" i="33"/>
  <c r="Z15" i="33" s="1"/>
  <c r="F15" i="33"/>
  <c r="AA15" i="33" s="1"/>
  <c r="Q14" i="33"/>
  <c r="Z14" i="33"/>
  <c r="Q13" i="33"/>
  <c r="Z13" i="33" s="1"/>
  <c r="Q12" i="33"/>
  <c r="Z12" i="33" s="1"/>
  <c r="H12" i="33"/>
  <c r="U12" i="33" s="1"/>
  <c r="Q11" i="33"/>
  <c r="Z11" i="33"/>
  <c r="Q10" i="33"/>
  <c r="Z10" i="33"/>
  <c r="Q9" i="33"/>
  <c r="Z9" i="33"/>
  <c r="H9" i="33"/>
  <c r="AB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B75" i="43"/>
  <c r="C21" i="20"/>
  <c r="B99" i="43" s="1"/>
  <c r="C20" i="20"/>
  <c r="C18" i="20"/>
  <c r="B94" i="43" s="1"/>
  <c r="C17" i="20"/>
  <c r="B61" i="43"/>
  <c r="C16" i="20"/>
  <c r="C17" i="39" s="1"/>
  <c r="C15" i="20"/>
  <c r="B72" i="43" s="1"/>
  <c r="E54" i="21"/>
  <c r="F54" i="21" s="1"/>
  <c r="I54" i="21"/>
  <c r="J54" i="21" s="1"/>
  <c r="G54" i="21"/>
  <c r="H54" i="21" s="1"/>
  <c r="D125" i="21"/>
  <c r="E125" i="21"/>
  <c r="F125" i="21" s="1"/>
  <c r="G125" i="21" s="1"/>
  <c r="D123" i="21"/>
  <c r="E123" i="21"/>
  <c r="F123" i="21" s="1"/>
  <c r="G123" i="21" s="1"/>
  <c r="H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c r="G113" i="21" s="1"/>
  <c r="H113" i="21" s="1"/>
  <c r="D110" i="21"/>
  <c r="E110" i="21" s="1"/>
  <c r="F110" i="2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c r="E81" i="21"/>
  <c r="F81" i="21"/>
  <c r="G81" i="21" s="1"/>
  <c r="D77" i="21"/>
  <c r="E77" i="21" s="1"/>
  <c r="B130" i="21"/>
  <c r="B128" i="21"/>
  <c r="J45" i="21" s="1"/>
  <c r="W45" i="21" s="1"/>
  <c r="B126" i="21"/>
  <c r="B98" i="21"/>
  <c r="H31" i="21"/>
  <c r="B96" i="21"/>
  <c r="B94" i="21"/>
  <c r="J29" i="21" s="1"/>
  <c r="AC29" i="2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F5" i="3"/>
  <c r="G27" i="6"/>
  <c r="F34" i="21"/>
  <c r="AA34" i="21" s="1"/>
  <c r="H34" i="21"/>
  <c r="AB34" i="21"/>
  <c r="F43" i="21"/>
  <c r="S43" i="21" s="1"/>
  <c r="H38" i="21"/>
  <c r="H43" i="21"/>
  <c r="AB43" i="21" s="1"/>
  <c r="F38" i="21"/>
  <c r="S38" i="21"/>
  <c r="F36" i="21"/>
  <c r="S36" i="21" s="1"/>
  <c r="F39" i="21"/>
  <c r="AA39" i="21" s="1"/>
  <c r="J40" i="21"/>
  <c r="W40" i="21" s="1"/>
  <c r="H35" i="21"/>
  <c r="AB35" i="21"/>
  <c r="J8" i="21"/>
  <c r="AC8" i="21" s="1"/>
  <c r="H8" i="21"/>
  <c r="U8" i="21" s="1"/>
  <c r="H10" i="21"/>
  <c r="AB10" i="21" s="1"/>
  <c r="H39" i="21"/>
  <c r="U39" i="21" s="1"/>
  <c r="J34" i="21"/>
  <c r="W34" i="21" s="1"/>
  <c r="H36" i="21"/>
  <c r="F35" i="21"/>
  <c r="AA35" i="21" s="1"/>
  <c r="J10" i="21"/>
  <c r="AC10" i="21" s="1"/>
  <c r="H26" i="21"/>
  <c r="AB26" i="21" s="1"/>
  <c r="AB19" i="21"/>
  <c r="J19" i="21"/>
  <c r="W19" i="21"/>
  <c r="J26" i="21"/>
  <c r="F26" i="21"/>
  <c r="S26" i="21"/>
  <c r="AB41" i="21"/>
  <c r="S41" i="21"/>
  <c r="AA41" i="21"/>
  <c r="F45" i="39"/>
  <c r="S45" i="39"/>
  <c r="J45" i="39"/>
  <c r="W45" i="39" s="1"/>
  <c r="J44" i="39"/>
  <c r="AC44" i="39"/>
  <c r="F36" i="39"/>
  <c r="H36" i="39"/>
  <c r="AB36" i="39" s="1"/>
  <c r="J35" i="39"/>
  <c r="AC35" i="39" s="1"/>
  <c r="F35" i="39"/>
  <c r="AA35" i="39"/>
  <c r="U9" i="39"/>
  <c r="W40" i="39"/>
  <c r="W31" i="37"/>
  <c r="E103" i="37"/>
  <c r="F103" i="37" s="1"/>
  <c r="G103" i="37" s="1"/>
  <c r="H103" i="37" s="1"/>
  <c r="I103" i="37" s="1"/>
  <c r="J103" i="37" s="1"/>
  <c r="K103" i="37" s="1"/>
  <c r="L103" i="37" s="1"/>
  <c r="M103" i="37" s="1"/>
  <c r="F39" i="37"/>
  <c r="S39" i="37" s="1"/>
  <c r="F29" i="36"/>
  <c r="AA29" i="36" s="1"/>
  <c r="F16" i="36"/>
  <c r="AA16" i="36" s="1"/>
  <c r="W28" i="36"/>
  <c r="J33" i="36"/>
  <c r="AC33" i="36" s="1"/>
  <c r="H22" i="35"/>
  <c r="AB22" i="35" s="1"/>
  <c r="U31" i="35"/>
  <c r="W22" i="35"/>
  <c r="S31" i="35"/>
  <c r="F36" i="34"/>
  <c r="J35" i="34"/>
  <c r="W35" i="34" s="1"/>
  <c r="U34" i="34"/>
  <c r="H39" i="33"/>
  <c r="AB39" i="33"/>
  <c r="F26" i="33"/>
  <c r="AA26" i="33"/>
  <c r="U33" i="33"/>
  <c r="U35" i="33"/>
  <c r="W33" i="33"/>
  <c r="W39" i="33"/>
  <c r="H39" i="37"/>
  <c r="AB39" i="37" s="1"/>
  <c r="S27" i="35"/>
  <c r="F11" i="40"/>
  <c r="H11" i="40"/>
  <c r="AB11" i="40" s="1"/>
  <c r="W8" i="40"/>
  <c r="U9" i="40"/>
  <c r="U34" i="40"/>
  <c r="S38" i="40"/>
  <c r="F42" i="39"/>
  <c r="AA42" i="39" s="1"/>
  <c r="F41" i="39"/>
  <c r="S41" i="39" s="1"/>
  <c r="H40" i="39"/>
  <c r="AB40" i="39" s="1"/>
  <c r="H39" i="39"/>
  <c r="U39" i="39" s="1"/>
  <c r="S38" i="39"/>
  <c r="H34" i="39"/>
  <c r="E108" i="39"/>
  <c r="F108" i="39" s="1"/>
  <c r="G108" i="39" s="1"/>
  <c r="H108" i="39" s="1"/>
  <c r="I108" i="39" s="1"/>
  <c r="J108" i="39" s="1"/>
  <c r="K108" i="39" s="1"/>
  <c r="L108" i="39" s="1"/>
  <c r="M108" i="39" s="1"/>
  <c r="F31" i="39"/>
  <c r="AA31" i="39" s="1"/>
  <c r="H19" i="39"/>
  <c r="AB19" i="39" s="1"/>
  <c r="F19" i="39"/>
  <c r="H17" i="39"/>
  <c r="AB17" i="39" s="1"/>
  <c r="F17" i="39"/>
  <c r="AA17" i="39" s="1"/>
  <c r="H42" i="39"/>
  <c r="AB42" i="39" s="1"/>
  <c r="J34" i="39"/>
  <c r="AC34" i="39" s="1"/>
  <c r="J31" i="39"/>
  <c r="F100" i="39"/>
  <c r="G100" i="39" s="1"/>
  <c r="H27" i="39"/>
  <c r="U27" i="39" s="1"/>
  <c r="J19" i="39"/>
  <c r="AC19" i="39" s="1"/>
  <c r="J17" i="39"/>
  <c r="J27" i="39"/>
  <c r="AC27" i="39" s="1"/>
  <c r="F27" i="39"/>
  <c r="F11" i="21"/>
  <c r="S11" i="21" s="1"/>
  <c r="S40" i="21"/>
  <c r="U34" i="21"/>
  <c r="H11" i="39"/>
  <c r="S40" i="39"/>
  <c r="C15" i="39"/>
  <c r="H32" i="33"/>
  <c r="AB32" i="33"/>
  <c r="H11" i="21"/>
  <c r="U11" i="21" s="1"/>
  <c r="J11" i="21"/>
  <c r="W11" i="21" s="1"/>
  <c r="H37" i="40"/>
  <c r="U37" i="40" s="1"/>
  <c r="H36" i="40"/>
  <c r="F35" i="40"/>
  <c r="AA35" i="40" s="1"/>
  <c r="H17" i="40"/>
  <c r="U17" i="40" s="1"/>
  <c r="J15" i="40"/>
  <c r="W15" i="40" s="1"/>
  <c r="J11" i="40"/>
  <c r="AC11" i="40" s="1"/>
  <c r="AB8" i="39"/>
  <c r="AB12" i="36"/>
  <c r="W32" i="40"/>
  <c r="S44" i="39"/>
  <c r="F37" i="39"/>
  <c r="AA37" i="39" s="1"/>
  <c r="J34" i="36"/>
  <c r="W34" i="36" s="1"/>
  <c r="U30" i="36"/>
  <c r="J30" i="35"/>
  <c r="W30" i="35" s="1"/>
  <c r="H30" i="35"/>
  <c r="AB30" i="35" s="1"/>
  <c r="F22" i="35"/>
  <c r="AA22" i="35" s="1"/>
  <c r="H10" i="35"/>
  <c r="U10" i="35" s="1"/>
  <c r="F33" i="36"/>
  <c r="AA33" i="36"/>
  <c r="W30" i="36"/>
  <c r="H16" i="36"/>
  <c r="AB16" i="36"/>
  <c r="E85" i="36"/>
  <c r="F85" i="36" s="1"/>
  <c r="G85" i="36" s="1"/>
  <c r="H85" i="36" s="1"/>
  <c r="I85" i="36" s="1"/>
  <c r="J85" i="36" s="1"/>
  <c r="K85" i="36" s="1"/>
  <c r="L85" i="36" s="1"/>
  <c r="M85" i="36" s="1"/>
  <c r="J29" i="36"/>
  <c r="AC29" i="36" s="1"/>
  <c r="F12" i="36"/>
  <c r="S12" i="36" s="1"/>
  <c r="F24" i="36"/>
  <c r="AA24" i="36" s="1"/>
  <c r="F34" i="36"/>
  <c r="S34" i="36" s="1"/>
  <c r="F14" i="35"/>
  <c r="F23" i="35"/>
  <c r="AA23" i="35" s="1"/>
  <c r="J32" i="35"/>
  <c r="AC32" i="35" s="1"/>
  <c r="J16" i="35"/>
  <c r="H16" i="35"/>
  <c r="U16" i="35"/>
  <c r="F16" i="35"/>
  <c r="S16" i="35" s="1"/>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c r="E114" i="34"/>
  <c r="F114" i="34" s="1"/>
  <c r="G114" i="34" s="1"/>
  <c r="H114" i="34" s="1"/>
  <c r="I114" i="34" s="1"/>
  <c r="J114" i="34" s="1"/>
  <c r="K114" i="34" s="1"/>
  <c r="L114" i="34" s="1"/>
  <c r="M114" i="34" s="1"/>
  <c r="H36" i="34"/>
  <c r="U36" i="34" s="1"/>
  <c r="F37" i="34"/>
  <c r="AA37" i="34" s="1"/>
  <c r="S35" i="34"/>
  <c r="F28" i="34"/>
  <c r="F25" i="34"/>
  <c r="S25" i="34" s="1"/>
  <c r="H23" i="34"/>
  <c r="U23" i="34"/>
  <c r="J23" i="34"/>
  <c r="F19" i="34"/>
  <c r="H17" i="34"/>
  <c r="U17" i="34"/>
  <c r="F15" i="34"/>
  <c r="AA15" i="34" s="1"/>
  <c r="J15" i="34"/>
  <c r="H15" i="34"/>
  <c r="AB15" i="34" s="1"/>
  <c r="W8" i="34"/>
  <c r="J28" i="34"/>
  <c r="F41" i="33"/>
  <c r="AA41" i="33"/>
  <c r="S38" i="33"/>
  <c r="E113" i="33"/>
  <c r="F32" i="33"/>
  <c r="AA32" i="33"/>
  <c r="J19" i="33"/>
  <c r="AC19" i="33" s="1"/>
  <c r="J15" i="33"/>
  <c r="AC15" i="33"/>
  <c r="F11" i="33"/>
  <c r="AA11" i="33" s="1"/>
  <c r="S26" i="33"/>
  <c r="U40" i="33"/>
  <c r="W40" i="33"/>
  <c r="F37" i="40"/>
  <c r="AA37" i="40" s="1"/>
  <c r="F36" i="40"/>
  <c r="AA36" i="40" s="1"/>
  <c r="H28" i="40"/>
  <c r="U28" i="40" s="1"/>
  <c r="F17" i="40"/>
  <c r="J17" i="40"/>
  <c r="W17" i="40" s="1"/>
  <c r="F15" i="40"/>
  <c r="S15" i="40" s="1"/>
  <c r="H15" i="40"/>
  <c r="AA12" i="36"/>
  <c r="AB30" i="36"/>
  <c r="F29" i="35"/>
  <c r="S29" i="35" s="1"/>
  <c r="H29" i="35"/>
  <c r="AB29" i="35" s="1"/>
  <c r="H33" i="37"/>
  <c r="F33" i="37"/>
  <c r="AA33" i="37" s="1"/>
  <c r="U34" i="37"/>
  <c r="S34" i="37"/>
  <c r="AA34" i="37"/>
  <c r="J43" i="34"/>
  <c r="AB42" i="34"/>
  <c r="J40" i="34"/>
  <c r="H38" i="34"/>
  <c r="AB38" i="34" s="1"/>
  <c r="J36" i="34"/>
  <c r="W36" i="34"/>
  <c r="H37" i="34"/>
  <c r="U37" i="34" s="1"/>
  <c r="H25" i="34"/>
  <c r="AB25" i="34" s="1"/>
  <c r="J25" i="34"/>
  <c r="AC25" i="34"/>
  <c r="AB23" i="34"/>
  <c r="F23" i="34"/>
  <c r="AA23" i="34"/>
  <c r="J19" i="34"/>
  <c r="AC19" i="34" s="1"/>
  <c r="F17" i="34"/>
  <c r="AA17" i="34" s="1"/>
  <c r="J17" i="34"/>
  <c r="W17" i="34" s="1"/>
  <c r="AB17" i="34"/>
  <c r="S41" i="33"/>
  <c r="F113" i="33"/>
  <c r="G113" i="33"/>
  <c r="H113" i="33"/>
  <c r="I113" i="33" s="1"/>
  <c r="J113" i="33" s="1"/>
  <c r="K113" i="33" s="1"/>
  <c r="L113" i="33"/>
  <c r="M113" i="33" s="1"/>
  <c r="H37" i="33"/>
  <c r="AB37" i="33"/>
  <c r="H15" i="33"/>
  <c r="AB15" i="33" s="1"/>
  <c r="H11" i="33"/>
  <c r="F28" i="40"/>
  <c r="AA28" i="40" s="1"/>
  <c r="AA29" i="35"/>
  <c r="AA42" i="34"/>
  <c r="S42" i="34"/>
  <c r="AC38" i="34"/>
  <c r="AA38" i="34"/>
  <c r="J37" i="34"/>
  <c r="AC37" i="34" s="1"/>
  <c r="J11" i="33"/>
  <c r="W11" i="33" s="1"/>
  <c r="I123" i="21"/>
  <c r="J123" i="21" s="1"/>
  <c r="K123" i="21" s="1"/>
  <c r="L123" i="21" s="1"/>
  <c r="M123" i="21"/>
  <c r="J42" i="21"/>
  <c r="AC42" i="21"/>
  <c r="H42" i="21"/>
  <c r="U42" i="21"/>
  <c r="J44" i="34"/>
  <c r="F44" i="34"/>
  <c r="S44" i="34" s="1"/>
  <c r="AA44" i="34"/>
  <c r="J10" i="35"/>
  <c r="AC10" i="35" s="1"/>
  <c r="J14" i="21"/>
  <c r="W14" i="21"/>
  <c r="F14" i="21"/>
  <c r="S14" i="21" s="1"/>
  <c r="H14" i="21"/>
  <c r="U14" i="21" s="1"/>
  <c r="H28" i="21"/>
  <c r="AB28" i="21" s="1"/>
  <c r="F28" i="21"/>
  <c r="AA28" i="21"/>
  <c r="J28" i="21"/>
  <c r="W28" i="21" s="1"/>
  <c r="H30" i="21"/>
  <c r="U30" i="21"/>
  <c r="F30" i="21"/>
  <c r="S30" i="21" s="1"/>
  <c r="J30" i="21"/>
  <c r="AC30" i="21"/>
  <c r="J44" i="21"/>
  <c r="AC44" i="21" s="1"/>
  <c r="H44" i="21"/>
  <c r="U44" i="21" s="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s="1"/>
  <c r="J13" i="33"/>
  <c r="H13" i="33"/>
  <c r="U13" i="33" s="1"/>
  <c r="F13" i="33"/>
  <c r="J29" i="33"/>
  <c r="H29" i="33"/>
  <c r="U29" i="33"/>
  <c r="F29" i="33"/>
  <c r="S29" i="33" s="1"/>
  <c r="J31" i="33"/>
  <c r="W31" i="33"/>
  <c r="H31" i="33"/>
  <c r="F31" i="33"/>
  <c r="H45" i="33"/>
  <c r="U45" i="33"/>
  <c r="J45" i="33"/>
  <c r="W45" i="33" s="1"/>
  <c r="F45" i="33"/>
  <c r="AA45" i="33"/>
  <c r="J14" i="34"/>
  <c r="W14" i="34" s="1"/>
  <c r="F14" i="34"/>
  <c r="H14" i="34"/>
  <c r="H30" i="34"/>
  <c r="F30" i="34"/>
  <c r="S30" i="34" s="1"/>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s="1"/>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S30" i="33" s="1"/>
  <c r="J30" i="33"/>
  <c r="H44" i="33"/>
  <c r="J44" i="33"/>
  <c r="W44" i="33" s="1"/>
  <c r="AC44" i="33"/>
  <c r="F44" i="33"/>
  <c r="S44" i="33" s="1"/>
  <c r="J46" i="33"/>
  <c r="AC46" i="33"/>
  <c r="F46" i="33"/>
  <c r="H46" i="33"/>
  <c r="AB46" i="33"/>
  <c r="H13" i="34"/>
  <c r="U13" i="34" s="1"/>
  <c r="J13" i="34"/>
  <c r="W13" i="34" s="1"/>
  <c r="F13" i="34"/>
  <c r="AA13" i="34" s="1"/>
  <c r="J29" i="34"/>
  <c r="F29" i="34"/>
  <c r="S29" i="34" s="1"/>
  <c r="H29" i="34"/>
  <c r="AB29" i="34" s="1"/>
  <c r="J31" i="34"/>
  <c r="W31" i="34" s="1"/>
  <c r="AC31" i="34"/>
  <c r="H31" i="34"/>
  <c r="F31" i="34"/>
  <c r="S31" i="34"/>
  <c r="H45" i="34"/>
  <c r="U45" i="34" s="1"/>
  <c r="J45" i="34"/>
  <c r="W45" i="34"/>
  <c r="F45" i="34"/>
  <c r="S45" i="34" s="1"/>
  <c r="H47" i="34"/>
  <c r="U47" i="34" s="1"/>
  <c r="F47" i="34"/>
  <c r="S47" i="34" s="1"/>
  <c r="J47" i="34"/>
  <c r="AC47" i="34"/>
  <c r="F13" i="35"/>
  <c r="J13" i="35"/>
  <c r="AC13" i="35"/>
  <c r="H13" i="35"/>
  <c r="U13" i="35" s="1"/>
  <c r="J25" i="35"/>
  <c r="W25" i="35"/>
  <c r="F25" i="35"/>
  <c r="S25" i="35" s="1"/>
  <c r="H25" i="35"/>
  <c r="AB25" i="35" s="1"/>
  <c r="J35" i="35"/>
  <c r="AC35" i="35" s="1"/>
  <c r="F35" i="35"/>
  <c r="AA35" i="35"/>
  <c r="H35" i="35"/>
  <c r="J25" i="36"/>
  <c r="W25" i="36"/>
  <c r="F25" i="36"/>
  <c r="S25" i="36" s="1"/>
  <c r="H25" i="36"/>
  <c r="AB25" i="36"/>
  <c r="H13" i="37"/>
  <c r="AB13" i="37" s="1"/>
  <c r="F13" i="37"/>
  <c r="J13" i="37"/>
  <c r="W13" i="37" s="1"/>
  <c r="F28" i="37"/>
  <c r="AA28" i="37" s="1"/>
  <c r="J28" i="37"/>
  <c r="AC28" i="37" s="1"/>
  <c r="H28" i="37"/>
  <c r="H38" i="37"/>
  <c r="AB38" i="37"/>
  <c r="J38" i="37"/>
  <c r="AC38" i="37" s="1"/>
  <c r="F38" i="37"/>
  <c r="S38" i="37"/>
  <c r="F43" i="39"/>
  <c r="H43" i="39"/>
  <c r="J14" i="39"/>
  <c r="AC14" i="39" s="1"/>
  <c r="F14" i="39"/>
  <c r="H14" i="39"/>
  <c r="AB14" i="39" s="1"/>
  <c r="F12" i="40"/>
  <c r="S12" i="40"/>
  <c r="H12" i="40"/>
  <c r="AB12" i="40" s="1"/>
  <c r="H30" i="40"/>
  <c r="AB30" i="40" s="1"/>
  <c r="F33" i="40"/>
  <c r="AA33" i="40" s="1"/>
  <c r="H33" i="40"/>
  <c r="U33" i="40"/>
  <c r="J35" i="40"/>
  <c r="J37" i="40"/>
  <c r="AC37" i="40" s="1"/>
  <c r="F14" i="37"/>
  <c r="AA14" i="37" s="1"/>
  <c r="S14" i="37"/>
  <c r="F27" i="37"/>
  <c r="AA27" i="37" s="1"/>
  <c r="F13" i="39"/>
  <c r="J13" i="39"/>
  <c r="W13" i="39" s="1"/>
  <c r="H13" i="39"/>
  <c r="H14" i="40"/>
  <c r="AB14" i="40" s="1"/>
  <c r="J14" i="40"/>
  <c r="W14" i="40" s="1"/>
  <c r="F14" i="40"/>
  <c r="J14" i="37"/>
  <c r="J27" i="37"/>
  <c r="AC27" i="37"/>
  <c r="AA44" i="33"/>
  <c r="U46" i="33"/>
  <c r="AA14" i="33"/>
  <c r="J36" i="37"/>
  <c r="J10" i="36"/>
  <c r="AC10" i="36" s="1"/>
  <c r="AB26" i="33"/>
  <c r="AB30" i="21"/>
  <c r="S11" i="36"/>
  <c r="AB46" i="34"/>
  <c r="S45" i="33"/>
  <c r="AB45" i="33"/>
  <c r="AC28" i="21"/>
  <c r="BA586" i="3"/>
  <c r="BA585" i="3"/>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AZ512" i="3" s="1"/>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BA576" i="3"/>
  <c r="BA574" i="3"/>
  <c r="BA572" i="3"/>
  <c r="AZ572" i="3" s="1"/>
  <c r="BA570" i="3"/>
  <c r="AZ570" i="3" s="1"/>
  <c r="BA568" i="3"/>
  <c r="BA566" i="3"/>
  <c r="AZ566" i="3" s="1"/>
  <c r="BA564" i="3"/>
  <c r="AZ564" i="3" s="1"/>
  <c r="BA562" i="3"/>
  <c r="BA560" i="3"/>
  <c r="BA558" i="3"/>
  <c r="AZ558" i="3"/>
  <c r="BA556" i="3"/>
  <c r="AZ556" i="3" s="1"/>
  <c r="BA554" i="3"/>
  <c r="AZ554" i="3"/>
  <c r="BA552" i="3"/>
  <c r="AZ552" i="3" s="1"/>
  <c r="BA548" i="3"/>
  <c r="BA546" i="3"/>
  <c r="BA544" i="3"/>
  <c r="AZ544" i="3" s="1"/>
  <c r="BA542" i="3"/>
  <c r="AZ542" i="3"/>
  <c r="BA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BA510" i="3"/>
  <c r="AZ510" i="3" s="1"/>
  <c r="BA508" i="3"/>
  <c r="BA506" i="3"/>
  <c r="BA504" i="3"/>
  <c r="AZ504" i="3" s="1"/>
  <c r="BA502" i="3"/>
  <c r="BA500" i="3"/>
  <c r="AZ500" i="3" s="1"/>
  <c r="BA498" i="3"/>
  <c r="AZ498" i="3" s="1"/>
  <c r="BA496" i="3"/>
  <c r="BA494" i="3"/>
  <c r="AZ494" i="3" s="1"/>
  <c r="BA587" i="3"/>
  <c r="BA583" i="3"/>
  <c r="BA581" i="3"/>
  <c r="BA579" i="3"/>
  <c r="BA577" i="3"/>
  <c r="BA575" i="3"/>
  <c r="BA573" i="3"/>
  <c r="BA571" i="3"/>
  <c r="AZ571" i="3" s="1"/>
  <c r="BA569" i="3"/>
  <c r="BA567" i="3"/>
  <c r="BA565" i="3"/>
  <c r="BA563" i="3"/>
  <c r="AZ563" i="3" s="1"/>
  <c r="BA561" i="3"/>
  <c r="BA559" i="3"/>
  <c r="BA555" i="3"/>
  <c r="BA553" i="3"/>
  <c r="BA549" i="3"/>
  <c r="BA547" i="3"/>
  <c r="BA545" i="3"/>
  <c r="BA543" i="3"/>
  <c r="BA541" i="3"/>
  <c r="BA539" i="3"/>
  <c r="BA537" i="3"/>
  <c r="BA535" i="3"/>
  <c r="BA533" i="3"/>
  <c r="BA531" i="3"/>
  <c r="BA529" i="3"/>
  <c r="BA527" i="3"/>
  <c r="AZ527" i="3" s="1"/>
  <c r="BA525" i="3"/>
  <c r="BA523" i="3"/>
  <c r="BA519" i="3"/>
  <c r="BA517" i="3"/>
  <c r="BA515" i="3"/>
  <c r="BA513" i="3"/>
  <c r="BA511" i="3"/>
  <c r="BA507" i="3"/>
  <c r="BA505" i="3"/>
  <c r="BA503" i="3"/>
  <c r="BA501" i="3"/>
  <c r="BA499" i="3"/>
  <c r="AZ499" i="3" s="1"/>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s="1"/>
  <c r="BQ581" i="3"/>
  <c r="BL581" i="3"/>
  <c r="BQ579" i="3"/>
  <c r="BL579" i="3" s="1"/>
  <c r="BQ577" i="3"/>
  <c r="BL577" i="3" s="1"/>
  <c r="AZ577" i="3" s="1"/>
  <c r="BQ575" i="3"/>
  <c r="BL575" i="3"/>
  <c r="BQ573" i="3"/>
  <c r="BL573" i="3" s="1"/>
  <c r="BQ571" i="3"/>
  <c r="BL571" i="3"/>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AZ539" i="3" s="1"/>
  <c r="BQ537" i="3"/>
  <c r="BL537" i="3" s="1"/>
  <c r="BQ535" i="3"/>
  <c r="BL535" i="3" s="1"/>
  <c r="BQ533" i="3"/>
  <c r="BL533" i="3"/>
  <c r="AZ533" i="3" s="1"/>
  <c r="BQ531" i="3"/>
  <c r="BL531" i="3" s="1"/>
  <c r="BQ529" i="3"/>
  <c r="BL529" i="3"/>
  <c r="BQ527" i="3"/>
  <c r="BL527" i="3" s="1"/>
  <c r="BQ525" i="3"/>
  <c r="BL525" i="3"/>
  <c r="AZ525" i="3" s="1"/>
  <c r="BQ523" i="3"/>
  <c r="BL523" i="3" s="1"/>
  <c r="AZ523" i="3" s="1"/>
  <c r="BA521" i="3"/>
  <c r="AC521" i="3"/>
  <c r="G521" i="3"/>
  <c r="BQ521" i="3"/>
  <c r="BL521" i="3" s="1"/>
  <c r="AZ521" i="3" s="1"/>
  <c r="BL520" i="3"/>
  <c r="AZ520" i="3"/>
  <c r="G519" i="3"/>
  <c r="G517" i="3"/>
  <c r="G515" i="3"/>
  <c r="G513" i="3"/>
  <c r="G511" i="3"/>
  <c r="BQ519" i="3"/>
  <c r="BL519" i="3" s="1"/>
  <c r="BQ517" i="3"/>
  <c r="BL517" i="3"/>
  <c r="BQ515" i="3"/>
  <c r="BL515" i="3" s="1"/>
  <c r="AZ515" i="3" s="1"/>
  <c r="BQ513" i="3"/>
  <c r="BL513" i="3"/>
  <c r="BQ511" i="3"/>
  <c r="BL511" i="3" s="1"/>
  <c r="AZ511" i="3" s="1"/>
  <c r="BA509" i="3"/>
  <c r="AC509" i="3"/>
  <c r="BQ509" i="3"/>
  <c r="BL509" i="3"/>
  <c r="BL508" i="3"/>
  <c r="G507" i="3"/>
  <c r="G505" i="3"/>
  <c r="G503" i="3"/>
  <c r="G501" i="3"/>
  <c r="G499" i="3"/>
  <c r="G497" i="3"/>
  <c r="G495" i="3"/>
  <c r="BQ507" i="3"/>
  <c r="BQ505" i="3"/>
  <c r="BL505" i="3"/>
  <c r="AZ505" i="3" s="1"/>
  <c r="BQ503" i="3"/>
  <c r="BL503" i="3" s="1"/>
  <c r="BQ501" i="3"/>
  <c r="BL501" i="3"/>
  <c r="BQ499" i="3"/>
  <c r="BL499" i="3" s="1"/>
  <c r="BQ497" i="3"/>
  <c r="BL497" i="3"/>
  <c r="BQ495" i="3"/>
  <c r="BL495" i="3" s="1"/>
  <c r="BQ493" i="3"/>
  <c r="S505" i="31"/>
  <c r="S503" i="31"/>
  <c r="S501" i="31"/>
  <c r="S499" i="31"/>
  <c r="O27" i="31"/>
  <c r="O28" i="31"/>
  <c r="O26" i="31"/>
  <c r="M27" i="31"/>
  <c r="M28" i="31"/>
  <c r="M26" i="31"/>
  <c r="I26" i="31"/>
  <c r="I25" i="31"/>
  <c r="S25" i="31"/>
  <c r="Q26" i="31"/>
  <c r="K26" i="31"/>
  <c r="I27" i="31"/>
  <c r="Q27" i="31"/>
  <c r="K27" i="31"/>
  <c r="I28" i="31"/>
  <c r="Q28" i="31"/>
  <c r="K28" i="31"/>
  <c r="H25" i="21"/>
  <c r="U25" i="21" s="1"/>
  <c r="F25" i="21"/>
  <c r="J25" i="21"/>
  <c r="AC25" i="21" s="1"/>
  <c r="E125" i="33"/>
  <c r="F125" i="33" s="1"/>
  <c r="G125" i="33" s="1"/>
  <c r="H43" i="33"/>
  <c r="H17" i="37"/>
  <c r="AB27" i="37"/>
  <c r="U32" i="33"/>
  <c r="F39" i="33"/>
  <c r="E123" i="33"/>
  <c r="F123" i="33" s="1"/>
  <c r="G123" i="33" s="1"/>
  <c r="H123" i="33" s="1"/>
  <c r="I123" i="33" s="1"/>
  <c r="J123" i="33" s="1"/>
  <c r="K123" i="33" s="1"/>
  <c r="L123" i="33" s="1"/>
  <c r="M123" i="33" s="1"/>
  <c r="F42" i="33"/>
  <c r="AA42" i="33" s="1"/>
  <c r="H28" i="34"/>
  <c r="AB28" i="34" s="1"/>
  <c r="F14" i="36"/>
  <c r="AA14" i="36" s="1"/>
  <c r="F22" i="36"/>
  <c r="S22" i="36" s="1"/>
  <c r="F26" i="36"/>
  <c r="S26" i="36" s="1"/>
  <c r="H27" i="34"/>
  <c r="H35" i="34"/>
  <c r="U35" i="34" s="1"/>
  <c r="F41" i="34"/>
  <c r="H41" i="34"/>
  <c r="U41" i="34" s="1"/>
  <c r="J41" i="34"/>
  <c r="AC41" i="34" s="1"/>
  <c r="F10" i="35"/>
  <c r="S10" i="35" s="1"/>
  <c r="F24" i="35"/>
  <c r="AA24" i="35"/>
  <c r="H24" i="35"/>
  <c r="AB24" i="35" s="1"/>
  <c r="H23" i="37"/>
  <c r="AB23" i="37"/>
  <c r="J32" i="37"/>
  <c r="AC32" i="37" s="1"/>
  <c r="F36" i="37"/>
  <c r="AA36" i="37"/>
  <c r="F37" i="37"/>
  <c r="AA37" i="37" s="1"/>
  <c r="F31" i="40"/>
  <c r="AA31" i="40"/>
  <c r="H31" i="40"/>
  <c r="F32" i="40"/>
  <c r="S32" i="40" s="1"/>
  <c r="H32" i="40"/>
  <c r="AB32" i="40" s="1"/>
  <c r="J36" i="40"/>
  <c r="W36" i="40" s="1"/>
  <c r="H19" i="37"/>
  <c r="AB19" i="37" s="1"/>
  <c r="H42" i="33"/>
  <c r="AB42" i="33" s="1"/>
  <c r="J43" i="33"/>
  <c r="AC43" i="33"/>
  <c r="S28" i="31"/>
  <c r="S27" i="31"/>
  <c r="S26" i="31"/>
  <c r="U39" i="37"/>
  <c r="U26" i="37"/>
  <c r="W47" i="34"/>
  <c r="AC36" i="34"/>
  <c r="AC31" i="33"/>
  <c r="AC45" i="33"/>
  <c r="U19" i="21"/>
  <c r="W44" i="21"/>
  <c r="F43" i="33"/>
  <c r="AA43" i="33"/>
  <c r="W15" i="34"/>
  <c r="AC15" i="34"/>
  <c r="W40" i="37"/>
  <c r="G107" i="37"/>
  <c r="H107" i="37" s="1"/>
  <c r="I107" i="37" s="1"/>
  <c r="J107" i="37" s="1"/>
  <c r="K107" i="37" s="1"/>
  <c r="L107" i="37" s="1"/>
  <c r="M107" i="37" s="1"/>
  <c r="H37" i="21"/>
  <c r="U37" i="21" s="1"/>
  <c r="S42" i="21"/>
  <c r="H19" i="34"/>
  <c r="F36" i="35"/>
  <c r="S36" i="35" s="1"/>
  <c r="J9" i="37"/>
  <c r="W9" i="37" s="1"/>
  <c r="H9" i="37"/>
  <c r="U9" i="37" s="1"/>
  <c r="F9" i="37"/>
  <c r="S9" i="37" s="1"/>
  <c r="J12" i="37"/>
  <c r="W12" i="37" s="1"/>
  <c r="H12" i="37"/>
  <c r="AB12" i="37" s="1"/>
  <c r="F12" i="37"/>
  <c r="S12" i="37" s="1"/>
  <c r="E71" i="37"/>
  <c r="F71" i="37" s="1"/>
  <c r="G71" i="37" s="1"/>
  <c r="F15" i="37"/>
  <c r="AA15" i="37"/>
  <c r="E94" i="37"/>
  <c r="F94" i="37" s="1"/>
  <c r="G94" i="37" s="1"/>
  <c r="H94" i="37" s="1"/>
  <c r="I94" i="37" s="1"/>
  <c r="J94" i="37" s="1"/>
  <c r="K94" i="37" s="1"/>
  <c r="L94" i="37" s="1"/>
  <c r="M94" i="37" s="1"/>
  <c r="F31" i="37"/>
  <c r="S31" i="37" s="1"/>
  <c r="F12" i="39"/>
  <c r="S12" i="39" s="1"/>
  <c r="J42" i="39"/>
  <c r="AC42" i="39" s="1"/>
  <c r="AC12" i="37"/>
  <c r="H31" i="37"/>
  <c r="U31" i="37"/>
  <c r="J15" i="37"/>
  <c r="W15" i="37"/>
  <c r="H19" i="40"/>
  <c r="U19" i="40" s="1"/>
  <c r="F88" i="40"/>
  <c r="G88" i="40" s="1"/>
  <c r="F19" i="40"/>
  <c r="S19" i="40" s="1"/>
  <c r="AB33" i="40"/>
  <c r="W23" i="39"/>
  <c r="AC43" i="39"/>
  <c r="W43" i="39"/>
  <c r="U45" i="39"/>
  <c r="AB45" i="39"/>
  <c r="AB44" i="39"/>
  <c r="U44" i="39"/>
  <c r="H37" i="39"/>
  <c r="AB37" i="39" s="1"/>
  <c r="AC37" i="39"/>
  <c r="W37" i="39"/>
  <c r="H25" i="39"/>
  <c r="AB25" i="39" s="1"/>
  <c r="J25" i="39"/>
  <c r="F25" i="39"/>
  <c r="AA25" i="39" s="1"/>
  <c r="F15" i="39"/>
  <c r="AA15" i="39" s="1"/>
  <c r="H15" i="39"/>
  <c r="U15" i="39" s="1"/>
  <c r="J15" i="39"/>
  <c r="W15" i="39" s="1"/>
  <c r="H41" i="39"/>
  <c r="AB41" i="39" s="1"/>
  <c r="W27" i="39"/>
  <c r="U40" i="39"/>
  <c r="S42" i="39"/>
  <c r="AA41" i="39"/>
  <c r="W9" i="39"/>
  <c r="W8" i="39"/>
  <c r="J19" i="40"/>
  <c r="AC19" i="40" s="1"/>
  <c r="J50" i="40"/>
  <c r="H103" i="9"/>
  <c r="D8" i="53" s="1"/>
  <c r="B16" i="53"/>
  <c r="B33" i="72" s="1"/>
  <c r="C7" i="37"/>
  <c r="C7" i="34"/>
  <c r="C7" i="36"/>
  <c r="C46" i="36" s="1"/>
  <c r="D46" i="36" s="1"/>
  <c r="E46" i="36" s="1"/>
  <c r="F46" i="36" s="1"/>
  <c r="G46" i="36" s="1"/>
  <c r="H46" i="36" s="1"/>
  <c r="I46" i="36" s="1"/>
  <c r="A118" i="9"/>
  <c r="A4" i="52"/>
  <c r="B41" i="72" s="1"/>
  <c r="J11" i="39"/>
  <c r="W11" i="39"/>
  <c r="F11" i="39"/>
  <c r="S11" i="39" s="1"/>
  <c r="AA11" i="39"/>
  <c r="G4" i="4"/>
  <c r="I4" i="4"/>
  <c r="A2" i="9"/>
  <c r="F61" i="43"/>
  <c r="H64" i="43" s="1"/>
  <c r="AZ497" i="3"/>
  <c r="BL549" i="3"/>
  <c r="AZ549" i="3" s="1"/>
  <c r="AZ514" i="3"/>
  <c r="AZ522" i="3"/>
  <c r="AZ530"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AZ327" i="3" s="1"/>
  <c r="G335" i="3"/>
  <c r="BL336" i="3"/>
  <c r="G337" i="3"/>
  <c r="BL338" i="3"/>
  <c r="BA340" i="3"/>
  <c r="AZ340" i="3" s="1"/>
  <c r="BA341" i="3"/>
  <c r="BL341" i="3"/>
  <c r="BA343" i="3"/>
  <c r="BA345" i="3"/>
  <c r="BL355" i="3"/>
  <c r="G356" i="3"/>
  <c r="BL357" i="3"/>
  <c r="BA359" i="3"/>
  <c r="BA360" i="3"/>
  <c r="BL360" i="3"/>
  <c r="G361" i="3"/>
  <c r="BA362" i="3"/>
  <c r="G370" i="3"/>
  <c r="BL371" i="3"/>
  <c r="G372" i="3"/>
  <c r="BL373" i="3"/>
  <c r="BA375" i="3"/>
  <c r="AZ375" i="3" s="1"/>
  <c r="BA376" i="3"/>
  <c r="AZ376" i="3" s="1"/>
  <c r="BL376" i="3"/>
  <c r="G377" i="3"/>
  <c r="BA378" i="3"/>
  <c r="AZ378" i="3"/>
  <c r="BL378" i="3"/>
  <c r="G379" i="3"/>
  <c r="BA380" i="3"/>
  <c r="AZ380" i="3" s="1"/>
  <c r="G388" i="3"/>
  <c r="BL389" i="3"/>
  <c r="G390" i="3"/>
  <c r="BL391" i="3"/>
  <c r="BA393" i="3"/>
  <c r="BA394" i="3"/>
  <c r="BL394" i="3"/>
  <c r="G113" i="3"/>
  <c r="BA115" i="3"/>
  <c r="BL116" i="3"/>
  <c r="AZ116" i="3" s="1"/>
  <c r="G117" i="3"/>
  <c r="BA119" i="3"/>
  <c r="BL120" i="3"/>
  <c r="G121" i="3"/>
  <c r="BA123" i="3"/>
  <c r="BL124" i="3"/>
  <c r="AZ124" i="3" s="1"/>
  <c r="G125" i="3"/>
  <c r="BA127" i="3"/>
  <c r="BL128" i="3"/>
  <c r="G129" i="3"/>
  <c r="BA131" i="3"/>
  <c r="BL132" i="3"/>
  <c r="G133" i="3"/>
  <c r="BA135" i="3"/>
  <c r="BL136" i="3"/>
  <c r="G137" i="3"/>
  <c r="BA139" i="3"/>
  <c r="AZ139" i="3" s="1"/>
  <c r="BL140" i="3"/>
  <c r="G141" i="3"/>
  <c r="BA143" i="3"/>
  <c r="AZ143" i="3" s="1"/>
  <c r="BL144" i="3"/>
  <c r="G145" i="3"/>
  <c r="BA147" i="3"/>
  <c r="BL148" i="3"/>
  <c r="AZ148" i="3"/>
  <c r="G149" i="3"/>
  <c r="BA151" i="3"/>
  <c r="BL152" i="3"/>
  <c r="G153" i="3"/>
  <c r="BA155" i="3"/>
  <c r="BL156" i="3"/>
  <c r="AZ156" i="3" s="1"/>
  <c r="G157" i="3"/>
  <c r="BA159" i="3"/>
  <c r="AZ159" i="3"/>
  <c r="BL160" i="3"/>
  <c r="G161" i="3"/>
  <c r="BA163" i="3"/>
  <c r="AZ163" i="3"/>
  <c r="BL164" i="3"/>
  <c r="G165" i="3"/>
  <c r="BA167" i="3"/>
  <c r="BL168" i="3"/>
  <c r="G169" i="3"/>
  <c r="BA171" i="3"/>
  <c r="BL172" i="3"/>
  <c r="G173" i="3"/>
  <c r="BA175" i="3"/>
  <c r="AZ175" i="3"/>
  <c r="BL176" i="3"/>
  <c r="G177" i="3"/>
  <c r="BA179" i="3"/>
  <c r="BL180" i="3"/>
  <c r="G181" i="3"/>
  <c r="BA183" i="3"/>
  <c r="AZ183" i="3" s="1"/>
  <c r="BL184" i="3"/>
  <c r="G185" i="3"/>
  <c r="BA187" i="3"/>
  <c r="BL188" i="3"/>
  <c r="AZ188" i="3" s="1"/>
  <c r="G189" i="3"/>
  <c r="BA191" i="3"/>
  <c r="BL192" i="3"/>
  <c r="G193" i="3"/>
  <c r="BA195" i="3"/>
  <c r="AZ195" i="3" s="1"/>
  <c r="BL196" i="3"/>
  <c r="G197" i="3"/>
  <c r="BA199" i="3"/>
  <c r="BL200" i="3"/>
  <c r="G201" i="3"/>
  <c r="BA203" i="3"/>
  <c r="AZ203" i="3" s="1"/>
  <c r="BL204" i="3"/>
  <c r="AZ204" i="3" s="1"/>
  <c r="AZ79" i="3"/>
  <c r="AZ168" i="3"/>
  <c r="AZ120" i="3"/>
  <c r="G534" i="3"/>
  <c r="G530" i="3"/>
  <c r="G522" i="3"/>
  <c r="G516" i="3"/>
  <c r="G512" i="3"/>
  <c r="G506" i="3"/>
  <c r="G498" i="3"/>
  <c r="G494" i="3"/>
  <c r="G16" i="3"/>
  <c r="G15" i="3"/>
  <c r="BA304" i="3"/>
  <c r="BA305" i="3"/>
  <c r="BL305" i="3"/>
  <c r="G306" i="3"/>
  <c r="G309" i="3"/>
  <c r="BL310" i="3"/>
  <c r="BA312" i="3"/>
  <c r="BA313" i="3"/>
  <c r="BL313" i="3"/>
  <c r="G314" i="3"/>
  <c r="G317" i="3"/>
  <c r="BL318" i="3"/>
  <c r="BA320" i="3"/>
  <c r="AZ320" i="3" s="1"/>
  <c r="BA321" i="3"/>
  <c r="BL321" i="3"/>
  <c r="G322" i="3"/>
  <c r="G325" i="3"/>
  <c r="BL326" i="3"/>
  <c r="BA328" i="3"/>
  <c r="AZ328" i="3" s="1"/>
  <c r="BA329" i="3"/>
  <c r="AZ329" i="3" s="1"/>
  <c r="BL329" i="3"/>
  <c r="G330" i="3"/>
  <c r="G333" i="3"/>
  <c r="BL334" i="3"/>
  <c r="BA336" i="3"/>
  <c r="AZ336" i="3" s="1"/>
  <c r="BA337" i="3"/>
  <c r="AZ337" i="3" s="1"/>
  <c r="BL337" i="3"/>
  <c r="G338" i="3"/>
  <c r="G341" i="3"/>
  <c r="BA342" i="3"/>
  <c r="AZ342" i="3" s="1"/>
  <c r="BL342" i="3"/>
  <c r="BA344" i="3"/>
  <c r="BL344" i="3"/>
  <c r="BA346" i="3"/>
  <c r="BA347" i="3"/>
  <c r="BL347" i="3"/>
  <c r="AZ347" i="3" s="1"/>
  <c r="G350" i="3"/>
  <c r="BA351" i="3"/>
  <c r="BL351" i="3"/>
  <c r="G352" i="3"/>
  <c r="G354" i="3"/>
  <c r="BA355" i="3"/>
  <c r="AZ355" i="3" s="1"/>
  <c r="BA356" i="3"/>
  <c r="BL356" i="3"/>
  <c r="G357" i="3"/>
  <c r="G360" i="3"/>
  <c r="BL361" i="3"/>
  <c r="AZ361" i="3" s="1"/>
  <c r="BA363" i="3"/>
  <c r="BA364" i="3"/>
  <c r="AZ364" i="3" s="1"/>
  <c r="BL364" i="3"/>
  <c r="G365" i="3"/>
  <c r="G368" i="3"/>
  <c r="BL369" i="3"/>
  <c r="BA371" i="3"/>
  <c r="BA372" i="3"/>
  <c r="AZ372" i="3" s="1"/>
  <c r="BL372" i="3"/>
  <c r="G373" i="3"/>
  <c r="G376" i="3"/>
  <c r="BL377" i="3"/>
  <c r="AZ377" i="3" s="1"/>
  <c r="BL379" i="3"/>
  <c r="BA381" i="3"/>
  <c r="AZ381" i="3" s="1"/>
  <c r="BA382" i="3"/>
  <c r="BL382" i="3"/>
  <c r="G383" i="3"/>
  <c r="G386" i="3"/>
  <c r="BL387" i="3"/>
  <c r="BA389" i="3"/>
  <c r="AZ389" i="3" s="1"/>
  <c r="BA390" i="3"/>
  <c r="BL390" i="3"/>
  <c r="G391" i="3"/>
  <c r="G394" i="3"/>
  <c r="AZ186" i="3"/>
  <c r="BA16" i="3"/>
  <c r="BL303" i="3"/>
  <c r="G304" i="3"/>
  <c r="BA306" i="3"/>
  <c r="BL307" i="3"/>
  <c r="G308" i="3"/>
  <c r="BA310" i="3"/>
  <c r="AZ310" i="3"/>
  <c r="BL311" i="3"/>
  <c r="AZ311" i="3" s="1"/>
  <c r="G312" i="3"/>
  <c r="BA314" i="3"/>
  <c r="BL315" i="3"/>
  <c r="G316" i="3"/>
  <c r="BA318" i="3"/>
  <c r="AZ318" i="3" s="1"/>
  <c r="BL319" i="3"/>
  <c r="AZ319" i="3" s="1"/>
  <c r="G320" i="3"/>
  <c r="BA322" i="3"/>
  <c r="BL323" i="3"/>
  <c r="G324" i="3"/>
  <c r="BA326" i="3"/>
  <c r="BL327" i="3"/>
  <c r="G328" i="3"/>
  <c r="BA330" i="3"/>
  <c r="BL331" i="3"/>
  <c r="AZ331" i="3" s="1"/>
  <c r="G332" i="3"/>
  <c r="BA334" i="3"/>
  <c r="AZ334" i="3" s="1"/>
  <c r="BL335" i="3"/>
  <c r="G336" i="3"/>
  <c r="BA338" i="3"/>
  <c r="BL339" i="3"/>
  <c r="G340" i="3"/>
  <c r="BL343" i="3"/>
  <c r="G344" i="3"/>
  <c r="G348" i="3"/>
  <c r="G355" i="3"/>
  <c r="AZ214" i="3"/>
  <c r="G342" i="3"/>
  <c r="BL345" i="3"/>
  <c r="AZ345" i="3" s="1"/>
  <c r="G346" i="3"/>
  <c r="BL349" i="3"/>
  <c r="AZ349" i="3" s="1"/>
  <c r="BL352" i="3"/>
  <c r="G353" i="3"/>
  <c r="BA357" i="3"/>
  <c r="BL358" i="3"/>
  <c r="G359" i="3"/>
  <c r="BA361" i="3"/>
  <c r="BL362" i="3"/>
  <c r="AZ362" i="3" s="1"/>
  <c r="G363" i="3"/>
  <c r="BA365" i="3"/>
  <c r="BL366" i="3"/>
  <c r="AZ366" i="3" s="1"/>
  <c r="G367" i="3"/>
  <c r="BA369" i="3"/>
  <c r="AZ369" i="3"/>
  <c r="BL370" i="3"/>
  <c r="G371" i="3"/>
  <c r="BA373" i="3"/>
  <c r="AZ373" i="3"/>
  <c r="BL374" i="3"/>
  <c r="G375" i="3"/>
  <c r="BA377" i="3"/>
  <c r="AZ233" i="3"/>
  <c r="AZ269" i="3"/>
  <c r="BA379" i="3"/>
  <c r="AZ379" i="3" s="1"/>
  <c r="BL380" i="3"/>
  <c r="G381" i="3"/>
  <c r="BA383" i="3"/>
  <c r="AZ383" i="3" s="1"/>
  <c r="BL384" i="3"/>
  <c r="G385" i="3"/>
  <c r="BA387" i="3"/>
  <c r="BL388" i="3"/>
  <c r="G389" i="3"/>
  <c r="BA391" i="3"/>
  <c r="AZ391" i="3" s="1"/>
  <c r="BL392" i="3"/>
  <c r="G393" i="3"/>
  <c r="BO5" i="3"/>
  <c r="BM5" i="3"/>
  <c r="BJ5" i="3"/>
  <c r="BH5" i="3"/>
  <c r="BF5" i="3"/>
  <c r="BD5" i="3"/>
  <c r="AZ325" i="3"/>
  <c r="AZ341" i="3"/>
  <c r="AC5" i="3"/>
  <c r="AZ506" i="3"/>
  <c r="AZ496" i="3"/>
  <c r="G548" i="3"/>
  <c r="G538" i="3"/>
  <c r="G520" i="3"/>
  <c r="G502" i="3"/>
  <c r="BS5" i="3"/>
  <c r="BP5" i="3"/>
  <c r="BN5" i="3"/>
  <c r="BK5" i="3"/>
  <c r="BI5" i="3"/>
  <c r="BG5" i="3"/>
  <c r="BE5" i="3"/>
  <c r="G17" i="3"/>
  <c r="BA17" i="3"/>
  <c r="BT5" i="3"/>
  <c r="AZ356" i="3"/>
  <c r="BA15" i="3"/>
  <c r="AZ15" i="3" s="1"/>
  <c r="BB5" i="3"/>
  <c r="BR5" i="3"/>
  <c r="AZ392" i="3"/>
  <c r="AZ509" i="3"/>
  <c r="G509" i="3"/>
  <c r="BL493" i="3"/>
  <c r="AZ493" i="3"/>
  <c r="F83" i="43"/>
  <c r="H85" i="43" s="1"/>
  <c r="F50" i="43"/>
  <c r="H54" i="43" s="1"/>
  <c r="F72" i="43"/>
  <c r="H75" i="43" s="1"/>
  <c r="U17" i="39"/>
  <c r="U43" i="21"/>
  <c r="U35" i="21"/>
  <c r="AC35" i="21"/>
  <c r="G10" i="1"/>
  <c r="AC11" i="39"/>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C33" i="40"/>
  <c r="F111" i="40"/>
  <c r="G111" i="40" s="1"/>
  <c r="H111" i="40" s="1"/>
  <c r="I111" i="40" s="1"/>
  <c r="J111" i="40" s="1"/>
  <c r="K111" i="40" s="1"/>
  <c r="L111" i="40" s="1"/>
  <c r="M111" i="40" s="1"/>
  <c r="H35" i="40"/>
  <c r="AB35" i="40" s="1"/>
  <c r="H35" i="37"/>
  <c r="U35" i="37" s="1"/>
  <c r="AC14" i="35"/>
  <c r="H20" i="35"/>
  <c r="U20" i="35" s="1"/>
  <c r="F20" i="35"/>
  <c r="AB29" i="36"/>
  <c r="U29" i="36"/>
  <c r="H32" i="37"/>
  <c r="AB32" i="37" s="1"/>
  <c r="F96" i="37"/>
  <c r="H27" i="40"/>
  <c r="AB27" i="40" s="1"/>
  <c r="J27" i="40"/>
  <c r="AC27" i="40" s="1"/>
  <c r="F27" i="40"/>
  <c r="AA27" i="40" s="1"/>
  <c r="J30" i="40"/>
  <c r="AC30" i="40" s="1"/>
  <c r="F30" i="40"/>
  <c r="AA30" i="40" s="1"/>
  <c r="S31" i="39"/>
  <c r="E98" i="40"/>
  <c r="F98" i="40" s="1"/>
  <c r="G98" i="40" s="1"/>
  <c r="H98" i="40" s="1"/>
  <c r="I98" i="40" s="1"/>
  <c r="J98" i="40" s="1"/>
  <c r="K98" i="40" s="1"/>
  <c r="L98" i="40" s="1"/>
  <c r="M98" i="40" s="1"/>
  <c r="F10" i="33"/>
  <c r="S10" i="33" s="1"/>
  <c r="F34" i="33"/>
  <c r="S34" i="33" s="1"/>
  <c r="H34" i="33"/>
  <c r="U34" i="33" s="1"/>
  <c r="F35" i="33"/>
  <c r="F39" i="34"/>
  <c r="AA39" i="34" s="1"/>
  <c r="J39" i="34"/>
  <c r="W39" i="34" s="1"/>
  <c r="F40" i="34"/>
  <c r="S40" i="34" s="1"/>
  <c r="F43" i="34"/>
  <c r="AA43" i="34" s="1"/>
  <c r="H44" i="34"/>
  <c r="U44" i="34" s="1"/>
  <c r="AC38" i="39"/>
  <c r="F39" i="39"/>
  <c r="J39" i="39"/>
  <c r="AC39" i="39" s="1"/>
  <c r="E96" i="39"/>
  <c r="F96" i="39" s="1"/>
  <c r="G96" i="39" s="1"/>
  <c r="AZ353" i="3"/>
  <c r="C40" i="11"/>
  <c r="AZ227" i="3"/>
  <c r="AZ235" i="3"/>
  <c r="AZ248" i="3"/>
  <c r="AZ259" i="3"/>
  <c r="AZ271" i="3"/>
  <c r="AZ133" i="3"/>
  <c r="AZ50" i="3"/>
  <c r="AZ77" i="3"/>
  <c r="AZ110" i="3"/>
  <c r="F23" i="39"/>
  <c r="AA23" i="39" s="1"/>
  <c r="H27" i="36"/>
  <c r="U27" i="36" s="1"/>
  <c r="F27" i="36"/>
  <c r="AA27" i="36" s="1"/>
  <c r="H33" i="34"/>
  <c r="U33" i="34" s="1"/>
  <c r="F32" i="37"/>
  <c r="S32" i="37" s="1"/>
  <c r="AA32" i="37"/>
  <c r="G96" i="37"/>
  <c r="H96" i="37" s="1"/>
  <c r="I96" i="37" s="1"/>
  <c r="J96" i="37" s="1"/>
  <c r="K96" i="37" s="1"/>
  <c r="L96" i="37" s="1"/>
  <c r="M96" i="37" s="1"/>
  <c r="F20" i="36"/>
  <c r="AA20" i="36" s="1"/>
  <c r="J33" i="34"/>
  <c r="AC33" i="34" s="1"/>
  <c r="H23" i="39"/>
  <c r="U23" i="39" s="1"/>
  <c r="D48" i="9"/>
  <c r="M52" i="9" s="1"/>
  <c r="K9" i="1"/>
  <c r="M9" i="1" s="1"/>
  <c r="D93" i="9"/>
  <c r="AC26" i="33"/>
  <c r="W26" i="33"/>
  <c r="W27" i="34"/>
  <c r="AC27" i="34"/>
  <c r="AB34" i="36"/>
  <c r="U34" i="36"/>
  <c r="AB33" i="36"/>
  <c r="U33" i="36"/>
  <c r="AC12" i="39"/>
  <c r="W12" i="39"/>
  <c r="W39" i="40"/>
  <c r="AZ465" i="3"/>
  <c r="W12" i="33"/>
  <c r="AC12" i="33"/>
  <c r="AA32" i="36"/>
  <c r="S32" i="36"/>
  <c r="BL14" i="3"/>
  <c r="U30" i="33"/>
  <c r="AC13" i="34"/>
  <c r="AA47" i="34"/>
  <c r="W28" i="37"/>
  <c r="F12" i="33"/>
  <c r="H12" i="39"/>
  <c r="U12" i="39" s="1"/>
  <c r="AB12" i="39"/>
  <c r="BA14" i="3"/>
  <c r="AZ250" i="3"/>
  <c r="B12" i="1"/>
  <c r="E12" i="1" s="1"/>
  <c r="B10" i="1"/>
  <c r="E10" i="1" s="1"/>
  <c r="K12" i="1"/>
  <c r="M12" i="1" s="1"/>
  <c r="S13" i="1"/>
  <c r="AR13" i="1" s="1"/>
  <c r="R13" i="1"/>
  <c r="J51" i="67"/>
  <c r="C42" i="1"/>
  <c r="C24" i="12" s="1"/>
  <c r="AC34" i="33"/>
  <c r="B41" i="1"/>
  <c r="M18" i="67" s="1"/>
  <c r="S35" i="40"/>
  <c r="U35" i="40"/>
  <c r="AA32" i="40"/>
  <c r="S30" i="40"/>
  <c r="AB19" i="40"/>
  <c r="U37" i="39"/>
  <c r="S37" i="39"/>
  <c r="U35" i="39"/>
  <c r="F32" i="39"/>
  <c r="S32" i="39" s="1"/>
  <c r="F106" i="39"/>
  <c r="G106" i="39" s="1"/>
  <c r="H106" i="39" s="1"/>
  <c r="I106" i="39" s="1"/>
  <c r="J106" i="39" s="1"/>
  <c r="K106" i="39" s="1"/>
  <c r="L106" i="39" s="1"/>
  <c r="M106" i="39" s="1"/>
  <c r="U25" i="39"/>
  <c r="AB27" i="39"/>
  <c r="U31" i="39"/>
  <c r="J21" i="39"/>
  <c r="W21" i="39" s="1"/>
  <c r="F21" i="39"/>
  <c r="S21" i="39" s="1"/>
  <c r="G94" i="39"/>
  <c r="H21" i="39"/>
  <c r="W19" i="39"/>
  <c r="U19" i="39"/>
  <c r="S17" i="39"/>
  <c r="AA12" i="39"/>
  <c r="S9" i="39"/>
  <c r="U14" i="39"/>
  <c r="AC13"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AC20" i="35"/>
  <c r="S22" i="35"/>
  <c r="U14" i="35"/>
  <c r="AA11" i="35"/>
  <c r="AC9" i="35"/>
  <c r="W9" i="35"/>
  <c r="W13" i="35"/>
  <c r="F9" i="35"/>
  <c r="S9" i="35" s="1"/>
  <c r="H9" i="35"/>
  <c r="U9" i="35" s="1"/>
  <c r="AB40" i="37"/>
  <c r="W27" i="37"/>
  <c r="AC29" i="37"/>
  <c r="U29" i="37"/>
  <c r="AB31" i="37"/>
  <c r="W30" i="37"/>
  <c r="S36" i="37"/>
  <c r="AA38" i="37"/>
  <c r="U32" i="37"/>
  <c r="W38" i="37"/>
  <c r="AC35" i="37"/>
  <c r="W39" i="37"/>
  <c r="S30" i="37"/>
  <c r="S37" i="37"/>
  <c r="AC15" i="37"/>
  <c r="J17" i="37"/>
  <c r="W17" i="37"/>
  <c r="G73" i="37"/>
  <c r="F17" i="37"/>
  <c r="AA17" i="37" s="1"/>
  <c r="F75" i="37"/>
  <c r="F19" i="37"/>
  <c r="S19" i="37" s="1"/>
  <c r="F79" i="37"/>
  <c r="F23" i="37"/>
  <c r="S23" i="37" s="1"/>
  <c r="U23" i="37"/>
  <c r="U15" i="37"/>
  <c r="AC13" i="37"/>
  <c r="H10" i="37"/>
  <c r="AB10" i="37" s="1"/>
  <c r="F63" i="37"/>
  <c r="F11" i="37"/>
  <c r="S11" i="37" s="1"/>
  <c r="W25" i="34"/>
  <c r="AB8" i="34"/>
  <c r="AA33" i="34"/>
  <c r="U43" i="34"/>
  <c r="W41" i="34"/>
  <c r="AC42" i="34"/>
  <c r="AB35" i="34"/>
  <c r="U39" i="34"/>
  <c r="S43" i="34"/>
  <c r="AB41" i="34"/>
  <c r="AA45" i="34"/>
  <c r="AA25" i="34"/>
  <c r="U28" i="34"/>
  <c r="S17" i="34"/>
  <c r="AA29" i="34"/>
  <c r="S23" i="34"/>
  <c r="U15" i="34"/>
  <c r="S13" i="34"/>
  <c r="H10" i="34"/>
  <c r="AB10" i="34" s="1"/>
  <c r="F11" i="34"/>
  <c r="S11" i="34" s="1"/>
  <c r="F70" i="34"/>
  <c r="W42" i="33"/>
  <c r="S27" i="33"/>
  <c r="S32" i="33"/>
  <c r="AA29" i="33"/>
  <c r="AB29" i="33"/>
  <c r="W38" i="33"/>
  <c r="H41" i="33"/>
  <c r="AB41" i="33" s="1"/>
  <c r="F121" i="33"/>
  <c r="G121" i="33" s="1"/>
  <c r="H121" i="33" s="1"/>
  <c r="I121" i="33" s="1"/>
  <c r="J121" i="33" s="1"/>
  <c r="K121" i="33" s="1"/>
  <c r="L121" i="33" s="1"/>
  <c r="M121" i="33" s="1"/>
  <c r="U42" i="33"/>
  <c r="S42" i="33"/>
  <c r="F36" i="33"/>
  <c r="AA36" i="33" s="1"/>
  <c r="G111" i="33"/>
  <c r="H111" i="33" s="1"/>
  <c r="I111" i="33" s="1"/>
  <c r="J111" i="33" s="1"/>
  <c r="K111" i="33" s="1"/>
  <c r="L111" i="33" s="1"/>
  <c r="M111" i="33" s="1"/>
  <c r="G108" i="33"/>
  <c r="H108" i="33" s="1"/>
  <c r="I108" i="33" s="1"/>
  <c r="J108" i="33" s="1"/>
  <c r="K108" i="33" s="1"/>
  <c r="L108" i="33" s="1"/>
  <c r="M108" i="33" s="1"/>
  <c r="J35" i="33"/>
  <c r="S37" i="33"/>
  <c r="AA37" i="33"/>
  <c r="F101" i="33"/>
  <c r="G101" i="33" s="1"/>
  <c r="H101" i="33" s="1"/>
  <c r="I101" i="33" s="1"/>
  <c r="J101" i="33" s="1"/>
  <c r="K101" i="33" s="1"/>
  <c r="L101" i="33" s="1"/>
  <c r="M101" i="33" s="1"/>
  <c r="J32" i="33"/>
  <c r="AC32" i="33" s="1"/>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s="1"/>
  <c r="F23" i="21"/>
  <c r="S23" i="21"/>
  <c r="E85" i="21"/>
  <c r="AA14" i="21"/>
  <c r="D120" i="9"/>
  <c r="D121" i="9" s="1"/>
  <c r="D7" i="52" s="1"/>
  <c r="C18" i="9"/>
  <c r="D18" i="9" s="1"/>
  <c r="F34" i="67"/>
  <c r="F62" i="67" s="1"/>
  <c r="M20" i="67"/>
  <c r="F34" i="15"/>
  <c r="F62" i="15" s="1"/>
  <c r="BL17" i="3"/>
  <c r="AZ17" i="3" s="1"/>
  <c r="BL13" i="3"/>
  <c r="J56" i="9"/>
  <c r="J57" i="9" s="1"/>
  <c r="J59" i="9" s="1"/>
  <c r="J61" i="9" s="1"/>
  <c r="A24" i="51"/>
  <c r="B18" i="72" s="1"/>
  <c r="U29" i="34"/>
  <c r="E5" i="6"/>
  <c r="E32" i="6"/>
  <c r="E19" i="69"/>
  <c r="E19" i="68"/>
  <c r="E19" i="11"/>
  <c r="E1" i="73"/>
  <c r="G22" i="69"/>
  <c r="G22" i="68"/>
  <c r="G26" i="12"/>
  <c r="G22" i="11"/>
  <c r="C6" i="43"/>
  <c r="B19" i="53"/>
  <c r="B37" i="72" s="1"/>
  <c r="C7" i="39"/>
  <c r="C67" i="39" s="1"/>
  <c r="C7" i="35"/>
  <c r="C7" i="33"/>
  <c r="C7" i="21"/>
  <c r="C7" i="40"/>
  <c r="C63" i="40" s="1"/>
  <c r="M47" i="9"/>
  <c r="G23" i="43"/>
  <c r="C23" i="43" s="1"/>
  <c r="C52" i="37"/>
  <c r="D52" i="37" s="1"/>
  <c r="A4" i="51"/>
  <c r="B6" i="72" s="1"/>
  <c r="C48" i="35"/>
  <c r="D48" i="35" s="1"/>
  <c r="L20" i="6"/>
  <c r="B6" i="1"/>
  <c r="E6" i="1" s="1"/>
  <c r="K11" i="1"/>
  <c r="M11" i="1" s="1"/>
  <c r="O11" i="1" s="1"/>
  <c r="B9" i="1"/>
  <c r="E9" i="1" s="1"/>
  <c r="K7" i="1"/>
  <c r="M7" i="1" s="1"/>
  <c r="O7" i="1" s="1"/>
  <c r="P7" i="1" s="1"/>
  <c r="G1" i="15"/>
  <c r="U32" i="40"/>
  <c r="AB28" i="40"/>
  <c r="W28" i="40"/>
  <c r="W34" i="40"/>
  <c r="W27" i="40"/>
  <c r="W37" i="40"/>
  <c r="AC14" i="40"/>
  <c r="S33" i="40"/>
  <c r="S31" i="40"/>
  <c r="U8" i="40"/>
  <c r="S8" i="40"/>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AC25" i="36"/>
  <c r="U32" i="36"/>
  <c r="W29" i="36"/>
  <c r="AC20" i="36"/>
  <c r="U25" i="36"/>
  <c r="AB28" i="36"/>
  <c r="AA13" i="36"/>
  <c r="W9" i="36"/>
  <c r="W22" i="36"/>
  <c r="W23" i="36"/>
  <c r="AB20" i="35"/>
  <c r="AC25" i="35"/>
  <c r="U25" i="35"/>
  <c r="S24" i="35"/>
  <c r="U24" i="35"/>
  <c r="S35" i="35"/>
  <c r="W35" i="35"/>
  <c r="AA16" i="35"/>
  <c r="AA35" i="37"/>
  <c r="S27" i="37"/>
  <c r="S28" i="37"/>
  <c r="W32" i="37"/>
  <c r="U36" i="37"/>
  <c r="S40" i="37"/>
  <c r="U38" i="37"/>
  <c r="AB37" i="37"/>
  <c r="AC34" i="37"/>
  <c r="AB35" i="37"/>
  <c r="U19" i="37"/>
  <c r="AA29" i="37"/>
  <c r="U8" i="37"/>
  <c r="AA40" i="34"/>
  <c r="AB40" i="34"/>
  <c r="W19" i="34"/>
  <c r="AB33" i="34"/>
  <c r="AC45" i="34"/>
  <c r="AA31" i="34"/>
  <c r="AA30" i="34"/>
  <c r="AB45" i="34"/>
  <c r="AB47" i="34"/>
  <c r="U25" i="34"/>
  <c r="AB36"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U12" i="34"/>
  <c r="AB12" i="34"/>
  <c r="AB28" i="33"/>
  <c r="AC37" i="33"/>
  <c r="W46" i="33"/>
  <c r="U39" i="33"/>
  <c r="U38" i="33"/>
  <c r="S33" i="33"/>
  <c r="AB34" i="33"/>
  <c r="U44" i="33"/>
  <c r="AB44" i="33"/>
  <c r="AA30" i="33"/>
  <c r="AC14" i="33"/>
  <c r="W14" i="33"/>
  <c r="AC30" i="33"/>
  <c r="W30" i="33"/>
  <c r="S31" i="33"/>
  <c r="AA31" i="33"/>
  <c r="W13" i="33"/>
  <c r="AC13" i="33"/>
  <c r="U15" i="33"/>
  <c r="S11" i="33"/>
  <c r="U37" i="33"/>
  <c r="AC28" i="33"/>
  <c r="S28"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s="1"/>
  <c r="J17" i="21"/>
  <c r="AC17" i="21" s="1"/>
  <c r="AC19" i="21"/>
  <c r="W39" i="21"/>
  <c r="AC14" i="21"/>
  <c r="W30" i="21"/>
  <c r="S46" i="21"/>
  <c r="H45" i="21"/>
  <c r="U45" i="21" s="1"/>
  <c r="F29" i="21"/>
  <c r="AA29" i="21" s="1"/>
  <c r="F13" i="21"/>
  <c r="AA13" i="21" s="1"/>
  <c r="AC38" i="21"/>
  <c r="H32" i="21"/>
  <c r="AB32" i="21" s="1"/>
  <c r="H9" i="21"/>
  <c r="J9" i="21"/>
  <c r="J32" i="21"/>
  <c r="W32" i="21" s="1"/>
  <c r="F32" i="21"/>
  <c r="AA32" i="21" s="1"/>
  <c r="AA31" i="21"/>
  <c r="U17" i="21"/>
  <c r="W29" i="21"/>
  <c r="S19" i="21"/>
  <c r="S9" i="21"/>
  <c r="AA9" i="21"/>
  <c r="K141" i="21"/>
  <c r="K144" i="21"/>
  <c r="K143" i="21"/>
  <c r="U27" i="21"/>
  <c r="AB25" i="21"/>
  <c r="AB44" i="21"/>
  <c r="AA30" i="21"/>
  <c r="W13" i="21"/>
  <c r="W42" i="21"/>
  <c r="AC45" i="21"/>
  <c r="F10" i="21"/>
  <c r="AA10" i="21" s="1"/>
  <c r="K145" i="21"/>
  <c r="W25" i="21"/>
  <c r="W31" i="21"/>
  <c r="S27" i="21"/>
  <c r="S17" i="21"/>
  <c r="AA15" i="21"/>
  <c r="AC27" i="21"/>
  <c r="AB29" i="21"/>
  <c r="S28" i="21"/>
  <c r="AC34" i="21"/>
  <c r="W30" i="40"/>
  <c r="C19" i="39"/>
  <c r="C15" i="40"/>
  <c r="C17" i="40"/>
  <c r="C23" i="40"/>
  <c r="C21" i="40"/>
  <c r="U30" i="40"/>
  <c r="B56" i="43"/>
  <c r="B67" i="43"/>
  <c r="B51" i="43"/>
  <c r="B54" i="43"/>
  <c r="B58" i="43"/>
  <c r="B62" i="43"/>
  <c r="B65" i="43"/>
  <c r="B69" i="43"/>
  <c r="D23" i="15"/>
  <c r="D22" i="15"/>
  <c r="E4" i="4"/>
  <c r="B5" i="62" s="1"/>
  <c r="B73" i="72" s="1"/>
  <c r="C4" i="4"/>
  <c r="F30" i="11"/>
  <c r="C48" i="11" s="1"/>
  <c r="S12" i="33"/>
  <c r="AA12" i="33"/>
  <c r="J32" i="39"/>
  <c r="H32" i="39"/>
  <c r="AB32" i="39" s="1"/>
  <c r="AA32" i="39"/>
  <c r="AB21" i="39"/>
  <c r="U21" i="39"/>
  <c r="AA21" i="39"/>
  <c r="AC17" i="37"/>
  <c r="S17" i="37"/>
  <c r="J19" i="37"/>
  <c r="W19" i="37" s="1"/>
  <c r="G75" i="37"/>
  <c r="AA19" i="37"/>
  <c r="AA23" i="37"/>
  <c r="J23" i="37"/>
  <c r="G79" i="37"/>
  <c r="J10" i="37"/>
  <c r="W10" i="37" s="1"/>
  <c r="G63" i="37"/>
  <c r="H63" i="37" s="1"/>
  <c r="I63" i="37" s="1"/>
  <c r="J63" i="37" s="1"/>
  <c r="K63" i="37" s="1"/>
  <c r="L63" i="37" s="1"/>
  <c r="M63" i="37" s="1"/>
  <c r="H11" i="37"/>
  <c r="AB11" i="37" s="1"/>
  <c r="G70" i="34"/>
  <c r="H70" i="34" s="1"/>
  <c r="I70" i="34" s="1"/>
  <c r="J70" i="34" s="1"/>
  <c r="K70" i="34" s="1"/>
  <c r="L70" i="34" s="1"/>
  <c r="M70" i="34" s="1"/>
  <c r="H11" i="34"/>
  <c r="U11" i="34" s="1"/>
  <c r="J10" i="34"/>
  <c r="AC10" i="34" s="1"/>
  <c r="U41" i="33"/>
  <c r="W35" i="33"/>
  <c r="AC35" i="33"/>
  <c r="J36" i="33"/>
  <c r="W36" i="33" s="1"/>
  <c r="H36" i="33"/>
  <c r="U36" i="33" s="1"/>
  <c r="W32" i="33"/>
  <c r="U27" i="33"/>
  <c r="AB27" i="33"/>
  <c r="G91" i="33"/>
  <c r="H91" i="33"/>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A19" i="33"/>
  <c r="H19" i="33"/>
  <c r="U19" i="33" s="1"/>
  <c r="G81" i="33"/>
  <c r="H17" i="33"/>
  <c r="U17" i="33" s="1"/>
  <c r="F17" i="33"/>
  <c r="S17" i="33" s="1"/>
  <c r="W17" i="33"/>
  <c r="AC17" i="33"/>
  <c r="S37" i="21"/>
  <c r="AA23" i="21"/>
  <c r="AB15" i="21"/>
  <c r="J23" i="21"/>
  <c r="W23" i="21" s="1"/>
  <c r="F85" i="21"/>
  <c r="G85" i="21" s="1"/>
  <c r="H23" i="21"/>
  <c r="AB23" i="21" s="1"/>
  <c r="S13" i="21"/>
  <c r="D6" i="52"/>
  <c r="AP7" i="1"/>
  <c r="AB45" i="21"/>
  <c r="AB9" i="21"/>
  <c r="U9" i="21"/>
  <c r="S32" i="21"/>
  <c r="W9" i="21"/>
  <c r="AC9" i="21"/>
  <c r="U32" i="21"/>
  <c r="AC32" i="39"/>
  <c r="W32" i="39"/>
  <c r="W23" i="37"/>
  <c r="AC23" i="37"/>
  <c r="J11" i="37"/>
  <c r="AC11" i="37" s="1"/>
  <c r="J11" i="34"/>
  <c r="W11" i="34" s="1"/>
  <c r="AB36" i="33"/>
  <c r="W27" i="33"/>
  <c r="AC27" i="33"/>
  <c r="W25" i="33"/>
  <c r="AC25" i="33"/>
  <c r="AB19" i="33"/>
  <c r="AC23" i="21"/>
  <c r="H109" i="9"/>
  <c r="H112" i="9"/>
  <c r="D21" i="53" s="1"/>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B12" i="76"/>
  <c r="F36" i="15"/>
  <c r="E2" i="68"/>
  <c r="E12" i="76"/>
  <c r="B8" i="76"/>
  <c r="E13" i="76"/>
  <c r="F38" i="15"/>
  <c r="M6" i="15"/>
  <c r="E11" i="76"/>
  <c r="J15" i="15"/>
  <c r="L48" i="15"/>
  <c r="F16" i="15"/>
  <c r="F4" i="73"/>
  <c r="M22" i="15"/>
  <c r="F6" i="15"/>
  <c r="E7" i="76"/>
  <c r="F20" i="31"/>
  <c r="F6" i="73"/>
  <c r="E9" i="76"/>
  <c r="F8" i="15"/>
  <c r="M29" i="15"/>
  <c r="B11" i="76"/>
  <c r="F3" i="73"/>
  <c r="C76" i="15"/>
  <c r="F40" i="15"/>
  <c r="L47" i="15"/>
  <c r="M9" i="15"/>
  <c r="M23" i="15"/>
  <c r="B7" i="76"/>
  <c r="E8" i="76"/>
  <c r="D6" i="73"/>
  <c r="M24" i="15"/>
  <c r="F42" i="15"/>
  <c r="F13" i="15"/>
  <c r="E10" i="76"/>
  <c r="B13" i="76"/>
  <c r="F43" i="15"/>
  <c r="M28" i="15"/>
  <c r="F26" i="15"/>
  <c r="F5" i="73"/>
  <c r="B9" i="76"/>
  <c r="F7" i="73"/>
  <c r="E2" i="69"/>
  <c r="F9" i="15"/>
  <c r="M26" i="15"/>
  <c r="F7" i="15"/>
  <c r="B10" i="76"/>
  <c r="AO13" i="1"/>
  <c r="F37" i="15"/>
  <c r="M8" i="15"/>
  <c r="H69" i="43" l="1"/>
  <c r="AA34" i="40"/>
  <c r="AC36" i="40"/>
  <c r="AB37" i="40"/>
  <c r="S37" i="40"/>
  <c r="S36" i="40"/>
  <c r="F39" i="40"/>
  <c r="H39" i="40"/>
  <c r="F92" i="40"/>
  <c r="G92" i="40" s="1"/>
  <c r="H23" i="40"/>
  <c r="AB23" i="40" s="1"/>
  <c r="J23" i="40"/>
  <c r="AC23" i="40" s="1"/>
  <c r="F23" i="40"/>
  <c r="AA23" i="40" s="1"/>
  <c r="F90" i="40"/>
  <c r="G90" i="40" s="1"/>
  <c r="J21" i="40"/>
  <c r="H21" i="40"/>
  <c r="AB21" i="40" s="1"/>
  <c r="F21" i="40"/>
  <c r="AA21" i="40" s="1"/>
  <c r="AB17" i="40"/>
  <c r="U21" i="40"/>
  <c r="U25" i="40"/>
  <c r="S21" i="40"/>
  <c r="S28" i="40"/>
  <c r="S27" i="40"/>
  <c r="U27" i="40"/>
  <c r="S25" i="40"/>
  <c r="S23" i="40"/>
  <c r="W19" i="40"/>
  <c r="AC17" i="40"/>
  <c r="AA15" i="40"/>
  <c r="AC15" i="40"/>
  <c r="W11" i="40"/>
  <c r="AA13" i="40"/>
  <c r="S13" i="40"/>
  <c r="U14" i="40"/>
  <c r="J13" i="40"/>
  <c r="H13" i="40"/>
  <c r="U11" i="40"/>
  <c r="F28" i="15"/>
  <c r="M18" i="15"/>
  <c r="F31" i="12"/>
  <c r="F32" i="67"/>
  <c r="F60" i="67" s="1"/>
  <c r="D68" i="9"/>
  <c r="C21" i="68"/>
  <c r="G1" i="67"/>
  <c r="K1" i="12"/>
  <c r="K6" i="1"/>
  <c r="AP6" i="1" s="1"/>
  <c r="G1" i="69"/>
  <c r="G1" i="68"/>
  <c r="BC5" i="3"/>
  <c r="E14" i="6" s="1"/>
  <c r="G13" i="3"/>
  <c r="G29" i="6"/>
  <c r="F29" i="6"/>
  <c r="B88" i="43"/>
  <c r="B57" i="43"/>
  <c r="B77" i="43"/>
  <c r="B68" i="43"/>
  <c r="U23" i="21"/>
  <c r="F48" i="9"/>
  <c r="O52" i="9" s="1"/>
  <c r="F30" i="68"/>
  <c r="F48" i="68" s="1"/>
  <c r="F52" i="9"/>
  <c r="F32" i="15"/>
  <c r="F60" i="15" s="1"/>
  <c r="F54" i="9"/>
  <c r="S39" i="39"/>
  <c r="AA39" i="39"/>
  <c r="AA20" i="35"/>
  <c r="S20" i="35"/>
  <c r="AB19" i="34"/>
  <c r="U19" i="34"/>
  <c r="S13" i="37"/>
  <c r="AA13" i="37"/>
  <c r="AA46" i="33"/>
  <c r="S46" i="33"/>
  <c r="AA13" i="33"/>
  <c r="S13" i="33"/>
  <c r="AB11" i="33"/>
  <c r="U11" i="33"/>
  <c r="AB15" i="40"/>
  <c r="U15" i="40"/>
  <c r="AA17" i="40"/>
  <c r="S17" i="40"/>
  <c r="W28" i="34"/>
  <c r="AC28" i="34"/>
  <c r="AA28" i="34"/>
  <c r="S28" i="34"/>
  <c r="AC29" i="35"/>
  <c r="W29" i="35"/>
  <c r="S36" i="39"/>
  <c r="AA36" i="39"/>
  <c r="U38" i="21"/>
  <c r="AB38" i="21"/>
  <c r="AA17" i="33"/>
  <c r="F30" i="69"/>
  <c r="F48" i="69" s="1"/>
  <c r="F28" i="67"/>
  <c r="AA31" i="37"/>
  <c r="AA19" i="40"/>
  <c r="AZ326" i="3"/>
  <c r="AZ344" i="3"/>
  <c r="U17" i="37"/>
  <c r="AB17" i="37"/>
  <c r="S25" i="21"/>
  <c r="AA25" i="21"/>
  <c r="AZ503" i="3"/>
  <c r="AA14" i="40"/>
  <c r="S14" i="40"/>
  <c r="W35" i="40"/>
  <c r="AC35" i="40"/>
  <c r="S14" i="34"/>
  <c r="AA14" i="34"/>
  <c r="S14" i="35"/>
  <c r="AA14" i="35"/>
  <c r="AB36" i="40"/>
  <c r="U36" i="40"/>
  <c r="S11" i="40"/>
  <c r="AA11" i="40"/>
  <c r="U32" i="39"/>
  <c r="S36" i="33"/>
  <c r="W33" i="34"/>
  <c r="S15" i="39"/>
  <c r="AZ14" i="3"/>
  <c r="U31" i="40"/>
  <c r="AB31" i="40"/>
  <c r="AA39" i="33"/>
  <c r="S39" i="33"/>
  <c r="AZ508" i="3"/>
  <c r="AC36" i="37"/>
  <c r="W36" i="37"/>
  <c r="AA43" i="39"/>
  <c r="S43" i="39"/>
  <c r="W16" i="35"/>
  <c r="AC16" i="35"/>
  <c r="AA19" i="39"/>
  <c r="S19" i="39"/>
  <c r="U34" i="39"/>
  <c r="AB34" i="39"/>
  <c r="U36" i="21"/>
  <c r="AB36" i="21"/>
  <c r="W17" i="21"/>
  <c r="S35" i="33"/>
  <c r="AA35" i="33"/>
  <c r="AB27" i="34"/>
  <c r="U27" i="34"/>
  <c r="AZ579" i="3"/>
  <c r="W26" i="21"/>
  <c r="AC26" i="21"/>
  <c r="S20" i="36"/>
  <c r="AC39" i="34"/>
  <c r="AA34" i="33"/>
  <c r="AZ357" i="3"/>
  <c r="AZ322" i="3"/>
  <c r="AZ313" i="3"/>
  <c r="AZ394" i="3"/>
  <c r="AZ519" i="3"/>
  <c r="AZ531" i="3"/>
  <c r="AZ573" i="3"/>
  <c r="AZ583" i="3"/>
  <c r="AZ568" i="3"/>
  <c r="AZ576" i="3"/>
  <c r="F9" i="33"/>
  <c r="AA9" i="33" s="1"/>
  <c r="J9" i="33"/>
  <c r="AC9" i="34"/>
  <c r="W9" i="34"/>
  <c r="J23" i="35"/>
  <c r="H23" i="35"/>
  <c r="H25" i="37"/>
  <c r="F25" i="37"/>
  <c r="BL585" i="3"/>
  <c r="AA40" i="33"/>
  <c r="F12" i="35"/>
  <c r="J12" i="35"/>
  <c r="J25" i="37"/>
  <c r="S34" i="39"/>
  <c r="AA34" i="39"/>
  <c r="AZ444" i="3"/>
  <c r="AZ387" i="3"/>
  <c r="AZ338" i="3"/>
  <c r="AZ390" i="3"/>
  <c r="AZ371" i="3"/>
  <c r="AZ351" i="3"/>
  <c r="AZ305" i="3"/>
  <c r="AZ360" i="3"/>
  <c r="AZ529" i="3"/>
  <c r="AZ537" i="3"/>
  <c r="AZ546" i="3"/>
  <c r="AZ585" i="3"/>
  <c r="B101" i="43"/>
  <c r="B79" i="43"/>
  <c r="AC27" i="35"/>
  <c r="W27" i="35"/>
  <c r="S9" i="40"/>
  <c r="AA9" i="40"/>
  <c r="H38" i="40"/>
  <c r="AZ304" i="3"/>
  <c r="AZ306" i="3"/>
  <c r="AZ535" i="3"/>
  <c r="AZ557" i="3"/>
  <c r="AZ513" i="3"/>
  <c r="AZ575" i="3"/>
  <c r="AZ574" i="3"/>
  <c r="AZ540" i="3"/>
  <c r="AZ502" i="3"/>
  <c r="C25" i="39"/>
  <c r="U34" i="35"/>
  <c r="W28" i="35"/>
  <c r="BL587" i="3"/>
  <c r="AZ587" i="3" s="1"/>
  <c r="BL586" i="3"/>
  <c r="AZ586" i="3" s="1"/>
  <c r="F9" i="34"/>
  <c r="AA9" i="34" s="1"/>
  <c r="H9" i="34"/>
  <c r="H12" i="35"/>
  <c r="J12" i="34"/>
  <c r="F12" i="34"/>
  <c r="S12" i="34" s="1"/>
  <c r="AB31" i="36"/>
  <c r="U31" i="36"/>
  <c r="AB30" i="37"/>
  <c r="U30" i="37"/>
  <c r="J38" i="40"/>
  <c r="AC31" i="40"/>
  <c r="W31" i="40"/>
  <c r="AZ466" i="3"/>
  <c r="G551" i="3"/>
  <c r="BL550" i="3"/>
  <c r="G542" i="3"/>
  <c r="BL398" i="3"/>
  <c r="G402" i="3"/>
  <c r="BL403" i="3"/>
  <c r="G406" i="3"/>
  <c r="BA408" i="3"/>
  <c r="AZ408" i="3" s="1"/>
  <c r="BA409" i="3"/>
  <c r="AZ409" i="3" s="1"/>
  <c r="BA411" i="3"/>
  <c r="AZ411" i="3" s="1"/>
  <c r="BL414" i="3"/>
  <c r="BL415" i="3"/>
  <c r="BA417" i="3"/>
  <c r="AZ417" i="3" s="1"/>
  <c r="BL421" i="3"/>
  <c r="BL422" i="3"/>
  <c r="BL425" i="3"/>
  <c r="BL426" i="3"/>
  <c r="BA428" i="3"/>
  <c r="AZ428" i="3" s="1"/>
  <c r="BA429" i="3"/>
  <c r="AZ429" i="3" s="1"/>
  <c r="BA430" i="3"/>
  <c r="AZ430" i="3" s="1"/>
  <c r="BA432" i="3"/>
  <c r="AZ432" i="3" s="1"/>
  <c r="BA434" i="3"/>
  <c r="BA436" i="3"/>
  <c r="BA438" i="3"/>
  <c r="G443" i="3"/>
  <c r="BA446" i="3"/>
  <c r="BA450" i="3"/>
  <c r="BA453" i="3"/>
  <c r="AZ453" i="3" s="1"/>
  <c r="BA455" i="3"/>
  <c r="AZ455" i="3" s="1"/>
  <c r="BL457" i="3"/>
  <c r="BL460" i="3"/>
  <c r="BL461" i="3"/>
  <c r="BL463" i="3"/>
  <c r="BA471" i="3"/>
  <c r="AZ471" i="3" s="1"/>
  <c r="BL359" i="3"/>
  <c r="AZ359" i="3" s="1"/>
  <c r="BA398" i="3"/>
  <c r="AZ398" i="3" s="1"/>
  <c r="BA399" i="3"/>
  <c r="AZ399" i="3" s="1"/>
  <c r="BL401" i="3"/>
  <c r="BL404" i="3"/>
  <c r="BL405" i="3"/>
  <c r="BL407" i="3"/>
  <c r="AZ407" i="3" s="1"/>
  <c r="BA412" i="3"/>
  <c r="AZ412" i="3" s="1"/>
  <c r="BA414" i="3"/>
  <c r="BA415" i="3"/>
  <c r="AZ415" i="3" s="1"/>
  <c r="BA416" i="3"/>
  <c r="AZ416" i="3" s="1"/>
  <c r="BA418" i="3"/>
  <c r="AZ418" i="3" s="1"/>
  <c r="BA421" i="3"/>
  <c r="BA423" i="3"/>
  <c r="AZ423" i="3" s="1"/>
  <c r="BA425" i="3"/>
  <c r="AZ425" i="3" s="1"/>
  <c r="BA426" i="3"/>
  <c r="BA427" i="3"/>
  <c r="AZ427" i="3" s="1"/>
  <c r="BA433" i="3"/>
  <c r="AZ433" i="3" s="1"/>
  <c r="BA435" i="3"/>
  <c r="AZ435" i="3" s="1"/>
  <c r="BL437" i="3"/>
  <c r="AZ437" i="3" s="1"/>
  <c r="G439" i="3"/>
  <c r="G440" i="3"/>
  <c r="BL441" i="3"/>
  <c r="BL442" i="3"/>
  <c r="BL444" i="3"/>
  <c r="G446" i="3"/>
  <c r="G447" i="3"/>
  <c r="BL448" i="3"/>
  <c r="AZ448" i="3" s="1"/>
  <c r="G450" i="3"/>
  <c r="G451" i="3"/>
  <c r="BA454" i="3"/>
  <c r="AZ454" i="3" s="1"/>
  <c r="BA457" i="3"/>
  <c r="AZ457" i="3" s="1"/>
  <c r="BA459" i="3"/>
  <c r="AZ459" i="3" s="1"/>
  <c r="BA460" i="3"/>
  <c r="BA461" i="3"/>
  <c r="AZ461" i="3" s="1"/>
  <c r="BL464" i="3"/>
  <c r="BL466" i="3"/>
  <c r="G468" i="3"/>
  <c r="G469" i="3"/>
  <c r="BL476" i="3"/>
  <c r="AZ476" i="3" s="1"/>
  <c r="BL477" i="3"/>
  <c r="BL478" i="3"/>
  <c r="BL480" i="3"/>
  <c r="AZ480" i="3" s="1"/>
  <c r="BA483" i="3"/>
  <c r="BL483" i="3"/>
  <c r="BA486" i="3"/>
  <c r="BL489" i="3"/>
  <c r="BL491" i="3"/>
  <c r="BL492" i="3"/>
  <c r="G587" i="3"/>
  <c r="BA551" i="3"/>
  <c r="AZ551" i="3" s="1"/>
  <c r="BA550" i="3"/>
  <c r="BL548" i="3"/>
  <c r="AZ548" i="3" s="1"/>
  <c r="BL16" i="3"/>
  <c r="AZ16" i="3" s="1"/>
  <c r="BA401" i="3"/>
  <c r="AZ401" i="3" s="1"/>
  <c r="BA403" i="3"/>
  <c r="BA404" i="3"/>
  <c r="AZ404" i="3" s="1"/>
  <c r="BA405" i="3"/>
  <c r="AZ405" i="3" s="1"/>
  <c r="BL410" i="3"/>
  <c r="G412" i="3"/>
  <c r="G418" i="3"/>
  <c r="BA422" i="3"/>
  <c r="AZ422" i="3" s="1"/>
  <c r="G429" i="3"/>
  <c r="BL431" i="3"/>
  <c r="G433" i="3"/>
  <c r="BL434" i="3"/>
  <c r="G436" i="3"/>
  <c r="BL438" i="3"/>
  <c r="BL439" i="3"/>
  <c r="BA441" i="3"/>
  <c r="AZ441" i="3" s="1"/>
  <c r="BL445" i="3"/>
  <c r="BL446" i="3"/>
  <c r="BL449" i="3"/>
  <c r="BL450" i="3"/>
  <c r="BL452" i="3"/>
  <c r="G454" i="3"/>
  <c r="BL456" i="3"/>
  <c r="BA464" i="3"/>
  <c r="AZ464" i="3" s="1"/>
  <c r="BL467" i="3"/>
  <c r="BL468" i="3"/>
  <c r="BL470" i="3"/>
  <c r="G472" i="3"/>
  <c r="G473" i="3"/>
  <c r="BL473" i="3"/>
  <c r="AZ473" i="3" s="1"/>
  <c r="BL474" i="3"/>
  <c r="G475" i="3"/>
  <c r="BA482" i="3"/>
  <c r="BA484" i="3"/>
  <c r="AZ484" i="3" s="1"/>
  <c r="G491" i="3"/>
  <c r="BA303" i="3"/>
  <c r="AZ303" i="3" s="1"/>
  <c r="BA307" i="3"/>
  <c r="AZ307" i="3" s="1"/>
  <c r="G311" i="3"/>
  <c r="BL314" i="3"/>
  <c r="AZ314" i="3" s="1"/>
  <c r="G315" i="3"/>
  <c r="AZ458" i="3"/>
  <c r="AZ462" i="3"/>
  <c r="BA477" i="3"/>
  <c r="BA478" i="3"/>
  <c r="BA481" i="3"/>
  <c r="G484" i="3"/>
  <c r="BA491" i="3"/>
  <c r="BA335" i="3"/>
  <c r="AZ335" i="3" s="1"/>
  <c r="BA339" i="3"/>
  <c r="AZ339" i="3" s="1"/>
  <c r="G343" i="3"/>
  <c r="G347" i="3"/>
  <c r="BA348" i="3"/>
  <c r="BA350" i="3"/>
  <c r="AZ350" i="3" s="1"/>
  <c r="BA354" i="3"/>
  <c r="BA358" i="3"/>
  <c r="AZ358" i="3" s="1"/>
  <c r="BL365" i="3"/>
  <c r="AZ365" i="3" s="1"/>
  <c r="BA368" i="3"/>
  <c r="BL368" i="3"/>
  <c r="BA374" i="3"/>
  <c r="AZ374" i="3" s="1"/>
  <c r="BA388" i="3"/>
  <c r="AZ388" i="3" s="1"/>
  <c r="BA396" i="3"/>
  <c r="BA209" i="3"/>
  <c r="BL217" i="3"/>
  <c r="AZ217" i="3" s="1"/>
  <c r="BA219" i="3"/>
  <c r="AZ219" i="3" s="1"/>
  <c r="BA221" i="3"/>
  <c r="BA223" i="3"/>
  <c r="BL228" i="3"/>
  <c r="AZ228" i="3" s="1"/>
  <c r="BA230" i="3"/>
  <c r="AZ230" i="3" s="1"/>
  <c r="BL232" i="3"/>
  <c r="BL234" i="3"/>
  <c r="BA236" i="3"/>
  <c r="BA238" i="3"/>
  <c r="AZ238" i="3" s="1"/>
  <c r="BA315" i="3"/>
  <c r="AZ315" i="3" s="1"/>
  <c r="BA333" i="3"/>
  <c r="BL346" i="3"/>
  <c r="AZ346" i="3" s="1"/>
  <c r="G349" i="3"/>
  <c r="G374" i="3"/>
  <c r="BA384" i="3"/>
  <c r="AZ384" i="3" s="1"/>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G247" i="3"/>
  <c r="BL255" i="3"/>
  <c r="G257" i="3"/>
  <c r="BL257" i="3"/>
  <c r="AZ257" i="3" s="1"/>
  <c r="BL258" i="3"/>
  <c r="G259" i="3"/>
  <c r="BA262" i="3"/>
  <c r="AZ262" i="3" s="1"/>
  <c r="G265" i="3"/>
  <c r="BL265" i="3"/>
  <c r="AZ265" i="3" s="1"/>
  <c r="G267" i="3"/>
  <c r="G269" i="3"/>
  <c r="BA273" i="3"/>
  <c r="AZ273" i="3" s="1"/>
  <c r="BA278" i="3"/>
  <c r="AZ278" i="3" s="1"/>
  <c r="BA280" i="3"/>
  <c r="AZ280" i="3" s="1"/>
  <c r="G116" i="3"/>
  <c r="BA117" i="3"/>
  <c r="G126" i="3"/>
  <c r="BA132" i="3"/>
  <c r="AZ132" i="3" s="1"/>
  <c r="BL135" i="3"/>
  <c r="AZ135" i="3" s="1"/>
  <c r="BA157" i="3"/>
  <c r="AZ157" i="3" s="1"/>
  <c r="BA332" i="3"/>
  <c r="AZ332" i="3" s="1"/>
  <c r="BL332" i="3"/>
  <c r="G339" i="3"/>
  <c r="G364" i="3"/>
  <c r="BA367" i="3"/>
  <c r="AZ367" i="3" s="1"/>
  <c r="BA370" i="3"/>
  <c r="AZ370" i="3" s="1"/>
  <c r="BA386" i="3"/>
  <c r="AZ386" i="3" s="1"/>
  <c r="G397" i="3"/>
  <c r="G210" i="3"/>
  <c r="BA216" i="3"/>
  <c r="AZ216" i="3" s="1"/>
  <c r="BA218" i="3"/>
  <c r="BL218" i="3"/>
  <c r="BL220" i="3"/>
  <c r="BL221" i="3"/>
  <c r="G222" i="3"/>
  <c r="BL223" i="3"/>
  <c r="G224" i="3"/>
  <c r="BA229" i="3"/>
  <c r="BL229" i="3"/>
  <c r="BL231" i="3"/>
  <c r="BL243" i="3"/>
  <c r="AZ243" i="3" s="1"/>
  <c r="BA247" i="3"/>
  <c r="BL247" i="3"/>
  <c r="BA249" i="3"/>
  <c r="BL249" i="3"/>
  <c r="BA251" i="3"/>
  <c r="BL251" i="3"/>
  <c r="BA253" i="3"/>
  <c r="BL260" i="3"/>
  <c r="G262" i="3"/>
  <c r="BL263" i="3"/>
  <c r="AZ263" i="3" s="1"/>
  <c r="G264" i="3"/>
  <c r="BL270" i="3"/>
  <c r="AZ270" i="3" s="1"/>
  <c r="BA272" i="3"/>
  <c r="AZ272" i="3" s="1"/>
  <c r="BL275" i="3"/>
  <c r="AZ275" i="3" s="1"/>
  <c r="G277" i="3"/>
  <c r="G280" i="3"/>
  <c r="G282" i="3"/>
  <c r="BA283" i="3"/>
  <c r="AZ283" i="3" s="1"/>
  <c r="BA284" i="3"/>
  <c r="AZ284" i="3" s="1"/>
  <c r="BL290" i="3"/>
  <c r="BL291" i="3"/>
  <c r="AZ291" i="3" s="1"/>
  <c r="BL293" i="3"/>
  <c r="BL294" i="3"/>
  <c r="AZ294" i="3" s="1"/>
  <c r="BA297" i="3"/>
  <c r="AZ297" i="3" s="1"/>
  <c r="BL297" i="3"/>
  <c r="BA145" i="3"/>
  <c r="BL225" i="3"/>
  <c r="BA239" i="3"/>
  <c r="AZ239" i="3" s="1"/>
  <c r="BL239" i="3"/>
  <c r="BA241" i="3"/>
  <c r="BL241" i="3"/>
  <c r="BA244" i="3"/>
  <c r="AZ244" i="3" s="1"/>
  <c r="BL244" i="3"/>
  <c r="BA246" i="3"/>
  <c r="BA252" i="3"/>
  <c r="AZ252" i="3" s="1"/>
  <c r="BA254" i="3"/>
  <c r="AZ254" i="3" s="1"/>
  <c r="BA256" i="3"/>
  <c r="AZ256" i="3" s="1"/>
  <c r="BL256" i="3"/>
  <c r="BA258" i="3"/>
  <c r="BL264" i="3"/>
  <c r="BL266" i="3"/>
  <c r="BA268" i="3"/>
  <c r="BL273" i="3"/>
  <c r="G274" i="3"/>
  <c r="BA277" i="3"/>
  <c r="AZ277" i="3" s="1"/>
  <c r="BL277" i="3"/>
  <c r="BA282" i="3"/>
  <c r="BL282" i="3"/>
  <c r="G286" i="3"/>
  <c r="BL286" i="3"/>
  <c r="AZ286" i="3" s="1"/>
  <c r="G289" i="3"/>
  <c r="G290" i="3"/>
  <c r="G291" i="3"/>
  <c r="BA296" i="3"/>
  <c r="BA298" i="3"/>
  <c r="AZ298" i="3" s="1"/>
  <c r="BA301" i="3"/>
  <c r="AZ125" i="3"/>
  <c r="BL127" i="3"/>
  <c r="AZ127" i="3" s="1"/>
  <c r="BA134" i="3"/>
  <c r="AZ70" i="3"/>
  <c r="BA130" i="3"/>
  <c r="BL130" i="3"/>
  <c r="BA137" i="3"/>
  <c r="AZ137" i="3" s="1"/>
  <c r="BL138" i="3"/>
  <c r="BA140" i="3"/>
  <c r="AZ140" i="3" s="1"/>
  <c r="BA142" i="3"/>
  <c r="BL149" i="3"/>
  <c r="AZ149" i="3" s="1"/>
  <c r="BL150" i="3"/>
  <c r="G151" i="3"/>
  <c r="BA152" i="3"/>
  <c r="AZ152" i="3" s="1"/>
  <c r="BA154" i="3"/>
  <c r="AZ154" i="3" s="1"/>
  <c r="BA160" i="3"/>
  <c r="AZ160" i="3" s="1"/>
  <c r="G162" i="3"/>
  <c r="BL162" i="3"/>
  <c r="AZ162" i="3" s="1"/>
  <c r="BL165" i="3"/>
  <c r="G166" i="3"/>
  <c r="BL170" i="3"/>
  <c r="G171" i="3"/>
  <c r="BA173" i="3"/>
  <c r="AZ173" i="3" s="1"/>
  <c r="BA174" i="3"/>
  <c r="BL179" i="3"/>
  <c r="AZ179" i="3" s="1"/>
  <c r="G180" i="3"/>
  <c r="BA181" i="3"/>
  <c r="AZ181" i="3" s="1"/>
  <c r="BA182" i="3"/>
  <c r="BL185" i="3"/>
  <c r="G186" i="3"/>
  <c r="G187" i="3"/>
  <c r="BL193" i="3"/>
  <c r="G194" i="3"/>
  <c r="BL194" i="3"/>
  <c r="AZ194" i="3" s="1"/>
  <c r="BA198" i="3"/>
  <c r="AZ198" i="3" s="1"/>
  <c r="G204" i="3"/>
  <c r="BL206" i="3"/>
  <c r="BA19" i="3"/>
  <c r="G22" i="3"/>
  <c r="G24" i="3"/>
  <c r="G25" i="3"/>
  <c r="BA27" i="3"/>
  <c r="G30" i="3"/>
  <c r="BL30" i="3"/>
  <c r="BL31" i="3"/>
  <c r="G35" i="3"/>
  <c r="G36" i="3"/>
  <c r="G40" i="3"/>
  <c r="BL40" i="3"/>
  <c r="BL41" i="3"/>
  <c r="G45" i="3"/>
  <c r="BL45" i="3"/>
  <c r="AZ45" i="3" s="1"/>
  <c r="BA48" i="3"/>
  <c r="BA49" i="3"/>
  <c r="AZ49" i="3" s="1"/>
  <c r="BA51" i="3"/>
  <c r="AZ51" i="3" s="1"/>
  <c r="G54" i="3"/>
  <c r="G55" i="3"/>
  <c r="BL56" i="3"/>
  <c r="BA58" i="3"/>
  <c r="AZ58" i="3" s="1"/>
  <c r="BL59" i="3"/>
  <c r="BL60" i="3"/>
  <c r="BA61" i="3"/>
  <c r="BA68" i="3"/>
  <c r="BA73" i="3"/>
  <c r="T32" i="71"/>
  <c r="D32" i="71"/>
  <c r="C86" i="71"/>
  <c r="D86" i="71" s="1"/>
  <c r="D87" i="71"/>
  <c r="C36" i="71"/>
  <c r="D35" i="71"/>
  <c r="C55" i="71"/>
  <c r="D54" i="71"/>
  <c r="D67" i="71"/>
  <c r="C66" i="71"/>
  <c r="AZ57" i="3"/>
  <c r="W21" i="21"/>
  <c r="AB21" i="37"/>
  <c r="U21" i="37"/>
  <c r="C52" i="71"/>
  <c r="D51" i="71"/>
  <c r="C64" i="71"/>
  <c r="D63" i="71"/>
  <c r="BL301" i="3"/>
  <c r="BL302" i="3"/>
  <c r="AZ302" i="3" s="1"/>
  <c r="BA114" i="3"/>
  <c r="BL123" i="3"/>
  <c r="AZ123" i="3" s="1"/>
  <c r="BA128" i="3"/>
  <c r="AZ128" i="3" s="1"/>
  <c r="BL134" i="3"/>
  <c r="BL137" i="3"/>
  <c r="BA146" i="3"/>
  <c r="AZ146" i="3" s="1"/>
  <c r="BA150" i="3"/>
  <c r="AZ150" i="3" s="1"/>
  <c r="BL167" i="3"/>
  <c r="AZ167" i="3" s="1"/>
  <c r="BL178" i="3"/>
  <c r="BA180" i="3"/>
  <c r="AZ180" i="3" s="1"/>
  <c r="BL182" i="3"/>
  <c r="BA185" i="3"/>
  <c r="BL191" i="3"/>
  <c r="AZ191" i="3" s="1"/>
  <c r="BA193" i="3"/>
  <c r="BA196" i="3"/>
  <c r="AZ196" i="3" s="1"/>
  <c r="G203" i="3"/>
  <c r="BA205" i="3"/>
  <c r="AZ205" i="3" s="1"/>
  <c r="BL20" i="3"/>
  <c r="BA21" i="3"/>
  <c r="AZ21" i="3" s="1"/>
  <c r="BA25" i="3"/>
  <c r="BA26" i="3"/>
  <c r="BL28" i="3"/>
  <c r="BA29" i="3"/>
  <c r="AZ29" i="3" s="1"/>
  <c r="BA36" i="3"/>
  <c r="BL38" i="3"/>
  <c r="BA39" i="3"/>
  <c r="AZ39" i="3" s="1"/>
  <c r="BL47" i="3"/>
  <c r="AZ47" i="3" s="1"/>
  <c r="G50" i="3"/>
  <c r="G52" i="3"/>
  <c r="BA52" i="3"/>
  <c r="AZ52" i="3" s="1"/>
  <c r="BA53" i="3"/>
  <c r="AZ53" i="3" s="1"/>
  <c r="BA54" i="3"/>
  <c r="BL57" i="3"/>
  <c r="G59" i="3"/>
  <c r="BL62" i="3"/>
  <c r="AZ62" i="3" s="1"/>
  <c r="BL63" i="3"/>
  <c r="AZ63" i="3" s="1"/>
  <c r="BL65" i="3"/>
  <c r="AZ65" i="3" s="1"/>
  <c r="BL66" i="3"/>
  <c r="AZ66" i="3" s="1"/>
  <c r="BL67" i="3"/>
  <c r="AZ67" i="3" s="1"/>
  <c r="BL70" i="3"/>
  <c r="BL71" i="3"/>
  <c r="AZ71" i="3" s="1"/>
  <c r="BL72" i="3"/>
  <c r="AZ72" i="3" s="1"/>
  <c r="BL75" i="3"/>
  <c r="BL85" i="3"/>
  <c r="BA86" i="3"/>
  <c r="AZ86" i="3" s="1"/>
  <c r="BA87" i="3"/>
  <c r="BA89" i="3"/>
  <c r="AC25" i="40"/>
  <c r="U21" i="33"/>
  <c r="AB21" i="33"/>
  <c r="P65" i="71"/>
  <c r="P66" i="71"/>
  <c r="N66" i="71"/>
  <c r="BL285" i="3"/>
  <c r="BL287" i="3"/>
  <c r="BA290" i="3"/>
  <c r="G297" i="3"/>
  <c r="BL299" i="3"/>
  <c r="G300" i="3"/>
  <c r="BL113" i="3"/>
  <c r="BL115" i="3"/>
  <c r="AZ115" i="3" s="1"/>
  <c r="BA118" i="3"/>
  <c r="AZ118" i="3" s="1"/>
  <c r="BL118" i="3"/>
  <c r="BA122" i="3"/>
  <c r="AZ122" i="3" s="1"/>
  <c r="BL125" i="3"/>
  <c r="BL126" i="3"/>
  <c r="AZ126" i="3" s="1"/>
  <c r="G130" i="3"/>
  <c r="BA144" i="3"/>
  <c r="AZ144" i="3" s="1"/>
  <c r="G152" i="3"/>
  <c r="BA153" i="3"/>
  <c r="BL155" i="3"/>
  <c r="AZ155" i="3" s="1"/>
  <c r="BA164" i="3"/>
  <c r="AZ164" i="3" s="1"/>
  <c r="BA166" i="3"/>
  <c r="AZ166" i="3" s="1"/>
  <c r="BA169" i="3"/>
  <c r="AZ169" i="3" s="1"/>
  <c r="BL171" i="3"/>
  <c r="AZ171" i="3" s="1"/>
  <c r="G174" i="3"/>
  <c r="BA176" i="3"/>
  <c r="AZ176" i="3" s="1"/>
  <c r="BA178" i="3"/>
  <c r="AZ178" i="3" s="1"/>
  <c r="G182" i="3"/>
  <c r="BA184" i="3"/>
  <c r="AZ184" i="3" s="1"/>
  <c r="BL187" i="3"/>
  <c r="AZ187" i="3" s="1"/>
  <c r="G188" i="3"/>
  <c r="BL189" i="3"/>
  <c r="AZ189" i="3" s="1"/>
  <c r="BL190" i="3"/>
  <c r="AZ190" i="3" s="1"/>
  <c r="G191" i="3"/>
  <c r="BA192" i="3"/>
  <c r="AZ192" i="3" s="1"/>
  <c r="BL197" i="3"/>
  <c r="AZ197" i="3" s="1"/>
  <c r="G198" i="3"/>
  <c r="BL199" i="3"/>
  <c r="AZ199" i="3" s="1"/>
  <c r="BA200" i="3"/>
  <c r="AZ200" i="3" s="1"/>
  <c r="BA202" i="3"/>
  <c r="BL207" i="3"/>
  <c r="BL18" i="3"/>
  <c r="G19" i="3"/>
  <c r="BL19" i="3"/>
  <c r="BA20" i="3"/>
  <c r="BL25" i="3"/>
  <c r="BL27" i="3"/>
  <c r="AZ27" i="3" s="1"/>
  <c r="BA28" i="3"/>
  <c r="AZ28" i="3" s="1"/>
  <c r="BA31" i="3"/>
  <c r="AZ31" i="3" s="1"/>
  <c r="BA32" i="3"/>
  <c r="G38" i="3"/>
  <c r="BA38" i="3"/>
  <c r="BA41" i="3"/>
  <c r="AZ41" i="3" s="1"/>
  <c r="BA42" i="3"/>
  <c r="G47" i="3"/>
  <c r="BL48" i="3"/>
  <c r="BL54" i="3"/>
  <c r="BL55" i="3"/>
  <c r="AZ55" i="3" s="1"/>
  <c r="G58" i="3"/>
  <c r="BA59" i="3"/>
  <c r="AZ59" i="3" s="1"/>
  <c r="BL61" i="3"/>
  <c r="G64" i="3"/>
  <c r="BA64" i="3"/>
  <c r="AZ64" i="3" s="1"/>
  <c r="G67" i="3"/>
  <c r="BL68" i="3"/>
  <c r="BA69" i="3"/>
  <c r="AZ69" i="3" s="1"/>
  <c r="G72" i="3"/>
  <c r="BL73" i="3"/>
  <c r="BA74" i="3"/>
  <c r="AZ74" i="3" s="1"/>
  <c r="BA75" i="3"/>
  <c r="BA80" i="3"/>
  <c r="G84" i="3"/>
  <c r="BL84" i="3"/>
  <c r="AZ84" i="3" s="1"/>
  <c r="BL88" i="3"/>
  <c r="AZ88" i="3" s="1"/>
  <c r="BL90" i="3"/>
  <c r="BA92" i="3"/>
  <c r="BA95" i="3"/>
  <c r="BL97" i="3"/>
  <c r="AZ97" i="3" s="1"/>
  <c r="F40" i="69"/>
  <c r="C40" i="69"/>
  <c r="AB25" i="71"/>
  <c r="AB28" i="71"/>
  <c r="AB26" i="71"/>
  <c r="T28" i="71"/>
  <c r="D28" i="71"/>
  <c r="U28" i="71" s="1"/>
  <c r="C27" i="71"/>
  <c r="F66" i="71"/>
  <c r="Q67" i="71"/>
  <c r="V24" i="71"/>
  <c r="E23" i="71"/>
  <c r="E22" i="71" s="1"/>
  <c r="E21" i="71" s="1"/>
  <c r="E20" i="71" s="1"/>
  <c r="G99" i="3"/>
  <c r="G103" i="3"/>
  <c r="BA103" i="3"/>
  <c r="AZ103" i="3" s="1"/>
  <c r="BA104" i="3"/>
  <c r="BA106" i="3"/>
  <c r="BL108" i="3"/>
  <c r="AZ108" i="3" s="1"/>
  <c r="G110" i="3"/>
  <c r="BL111" i="3"/>
  <c r="AA27" i="71"/>
  <c r="S28" i="71"/>
  <c r="C83" i="71"/>
  <c r="C79" i="71"/>
  <c r="C75" i="71"/>
  <c r="C71" i="71"/>
  <c r="O68" i="71"/>
  <c r="D46" i="71"/>
  <c r="C39" i="71"/>
  <c r="Y28" i="71"/>
  <c r="Z28" i="71" s="1"/>
  <c r="X35" i="71"/>
  <c r="Y30" i="71"/>
  <c r="Z30" i="71" s="1"/>
  <c r="X28" i="71"/>
  <c r="X32" i="71"/>
  <c r="F38" i="71"/>
  <c r="F39" i="71" s="1"/>
  <c r="F40" i="71" s="1"/>
  <c r="V40" i="71" s="1"/>
  <c r="AB38" i="71"/>
  <c r="F75" i="71"/>
  <c r="F74" i="71" s="1"/>
  <c r="B79" i="71"/>
  <c r="B78" i="71" s="1"/>
  <c r="BA101" i="3"/>
  <c r="AZ101" i="3" s="1"/>
  <c r="BL112" i="3"/>
  <c r="D76" i="71"/>
  <c r="T68" i="71"/>
  <c r="X34" i="71"/>
  <c r="X31" i="71"/>
  <c r="F35" i="71"/>
  <c r="F36" i="71" s="1"/>
  <c r="V36" i="71" s="1"/>
  <c r="AA34" i="71"/>
  <c r="AB35" i="71"/>
  <c r="BL81" i="3"/>
  <c r="BA82" i="3"/>
  <c r="AZ82" i="3" s="1"/>
  <c r="BL83" i="3"/>
  <c r="G86" i="3"/>
  <c r="G87" i="3"/>
  <c r="G88" i="3"/>
  <c r="BA90" i="3"/>
  <c r="AZ90" i="3" s="1"/>
  <c r="BL94" i="3"/>
  <c r="AZ94" i="3" s="1"/>
  <c r="BA100" i="3"/>
  <c r="AZ100" i="3" s="1"/>
  <c r="BA102" i="3"/>
  <c r="AZ102" i="3" s="1"/>
  <c r="BL105" i="3"/>
  <c r="AZ105" i="3" s="1"/>
  <c r="G107" i="3"/>
  <c r="BL107" i="3"/>
  <c r="BA111" i="3"/>
  <c r="AZ111" i="3" s="1"/>
  <c r="K13" i="1"/>
  <c r="M13" i="1" s="1"/>
  <c r="O13" i="1" s="1"/>
  <c r="P13" i="1" s="1"/>
  <c r="S18" i="36"/>
  <c r="AB33" i="71"/>
  <c r="AA30" i="71"/>
  <c r="E35" i="71"/>
  <c r="E36" i="71" s="1"/>
  <c r="U36" i="71" s="1"/>
  <c r="F31" i="71"/>
  <c r="F32" i="71" s="1"/>
  <c r="V32" i="71" s="1"/>
  <c r="AB31" i="71"/>
  <c r="AB36" i="71"/>
  <c r="AA36" i="71"/>
  <c r="Y38" i="71"/>
  <c r="Z38" i="71" s="1"/>
  <c r="B47" i="71"/>
  <c r="B48" i="71" s="1"/>
  <c r="S48" i="71" s="1"/>
  <c r="E47" i="71"/>
  <c r="E48" i="71" s="1"/>
  <c r="U48" i="71" s="1"/>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56" i="3"/>
  <c r="AZ60" i="3"/>
  <c r="BA206" i="3"/>
  <c r="AZ206" i="3" s="1"/>
  <c r="BL22" i="3"/>
  <c r="AZ22" i="3" s="1"/>
  <c r="BL33" i="3"/>
  <c r="AZ33" i="3" s="1"/>
  <c r="BL43" i="3"/>
  <c r="AZ43" i="3" s="1"/>
  <c r="BL46" i="3"/>
  <c r="AZ46" i="3" s="1"/>
  <c r="AZ54" i="3"/>
  <c r="AZ92" i="3"/>
  <c r="BL78" i="3"/>
  <c r="AZ78" i="3" s="1"/>
  <c r="BA83" i="3"/>
  <c r="AZ83" i="3" s="1"/>
  <c r="G91" i="3"/>
  <c r="BL95" i="3"/>
  <c r="AZ95" i="3" s="1"/>
  <c r="BL98" i="3"/>
  <c r="AZ98" i="3" s="1"/>
  <c r="BL109" i="3"/>
  <c r="AZ109" i="3" s="1"/>
  <c r="AB21" i="21"/>
  <c r="D36" i="71"/>
  <c r="T36" i="71"/>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I4" i="6"/>
  <c r="G3" i="43" s="1"/>
  <c r="H26" i="43" s="1"/>
  <c r="E29" i="6"/>
  <c r="K15" i="1" s="1"/>
  <c r="F30" i="6"/>
  <c r="G30" i="6"/>
  <c r="G31" i="6" s="1"/>
  <c r="E28" i="6"/>
  <c r="L19" i="6"/>
  <c r="L27" i="6"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E15" i="6"/>
  <c r="E64" i="39" s="1"/>
  <c r="E11" i="6"/>
  <c r="E60" i="39" s="1"/>
  <c r="E10" i="6"/>
  <c r="P11" i="1"/>
  <c r="K14"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M7" i="15"/>
  <c r="J6" i="15" s="1"/>
  <c r="F50" i="15"/>
  <c r="F51" i="15"/>
  <c r="F71" i="15"/>
  <c r="C6" i="15"/>
  <c r="N59" i="15"/>
  <c r="L58" i="15"/>
  <c r="M59" i="15"/>
  <c r="L59" i="15" s="1"/>
  <c r="F66" i="15"/>
  <c r="F64" i="15"/>
  <c r="C27" i="15"/>
  <c r="F65" i="15"/>
  <c r="B13" i="70"/>
  <c r="F68" i="15"/>
  <c r="D9" i="69"/>
  <c r="C36" i="69"/>
  <c r="D9" i="68"/>
  <c r="C76" i="67"/>
  <c r="F37" i="67"/>
  <c r="M9" i="67"/>
  <c r="M23" i="67"/>
  <c r="F9" i="67"/>
  <c r="F43" i="67"/>
  <c r="M29" i="67"/>
  <c r="M28" i="67"/>
  <c r="M24" i="67"/>
  <c r="F36" i="67"/>
  <c r="F16" i="67"/>
  <c r="F26" i="67"/>
  <c r="M22" i="67"/>
  <c r="F8" i="67"/>
  <c r="F6" i="67"/>
  <c r="F38" i="67"/>
  <c r="D3" i="73"/>
  <c r="F7" i="67"/>
  <c r="M26" i="67"/>
  <c r="J15" i="67"/>
  <c r="M8" i="67"/>
  <c r="L47" i="67"/>
  <c r="L48" i="67"/>
  <c r="F42" i="67"/>
  <c r="F40" i="67"/>
  <c r="M6" i="67"/>
  <c r="F13" i="67"/>
  <c r="D7" i="73"/>
  <c r="D4" i="73"/>
  <c r="D5" i="73"/>
  <c r="U39" i="40" l="1"/>
  <c r="AB39" i="40"/>
  <c r="S39" i="40"/>
  <c r="AA39" i="40"/>
  <c r="W23" i="40"/>
  <c r="W21" i="40"/>
  <c r="AC21" i="40"/>
  <c r="W13" i="40"/>
  <c r="AC13" i="40"/>
  <c r="U13" i="40"/>
  <c r="AB13" i="40"/>
  <c r="M6" i="1"/>
  <c r="F66" i="67"/>
  <c r="F65" i="67"/>
  <c r="L58" i="67"/>
  <c r="Q73" i="67" s="1"/>
  <c r="L59" i="67"/>
  <c r="Q61" i="67" s="1"/>
  <c r="M59" i="67"/>
  <c r="N59" i="67"/>
  <c r="F50" i="67"/>
  <c r="M7" i="67"/>
  <c r="J6" i="67" s="1"/>
  <c r="J18" i="67" s="1"/>
  <c r="L56" i="67"/>
  <c r="I54" i="67"/>
  <c r="J57" i="67"/>
  <c r="J55" i="67" s="1"/>
  <c r="J58" i="67" s="1"/>
  <c r="Q50" i="67" s="1"/>
  <c r="J53" i="67"/>
  <c r="F1" i="67" s="1"/>
  <c r="C27" i="67"/>
  <c r="F71" i="67"/>
  <c r="C6" i="67"/>
  <c r="C32" i="67" s="1"/>
  <c r="F51" i="67"/>
  <c r="F68" i="67"/>
  <c r="Q71" i="67"/>
  <c r="F64" i="67"/>
  <c r="G26" i="43"/>
  <c r="Q16" i="1"/>
  <c r="F27" i="69" s="1"/>
  <c r="C47" i="69" s="1"/>
  <c r="D45" i="69" s="1"/>
  <c r="E26" i="43"/>
  <c r="E63" i="39"/>
  <c r="E59" i="40"/>
  <c r="N94" i="46"/>
  <c r="J26" i="43"/>
  <c r="E13" i="6"/>
  <c r="E58" i="40" s="1"/>
  <c r="E12" i="6"/>
  <c r="E57" i="40" s="1"/>
  <c r="H16" i="1"/>
  <c r="N370" i="46"/>
  <c r="F26" i="43"/>
  <c r="G16" i="1"/>
  <c r="F10" i="39" s="1"/>
  <c r="S10" i="39" s="1"/>
  <c r="K16" i="1"/>
  <c r="D83" i="71"/>
  <c r="C82" i="71"/>
  <c r="D82" i="71" s="1"/>
  <c r="AZ20" i="3"/>
  <c r="AZ25" i="3"/>
  <c r="AZ130" i="3"/>
  <c r="AZ241" i="3"/>
  <c r="AZ251" i="3"/>
  <c r="AZ247" i="3"/>
  <c r="AZ229" i="3"/>
  <c r="AZ368" i="3"/>
  <c r="AZ403" i="3"/>
  <c r="AZ550" i="3"/>
  <c r="AZ483" i="3"/>
  <c r="AZ421" i="3"/>
  <c r="AZ414" i="3"/>
  <c r="U12" i="35"/>
  <c r="AB12" i="35"/>
  <c r="U25" i="37"/>
  <c r="AB25" i="37"/>
  <c r="J7" i="36"/>
  <c r="C70" i="71"/>
  <c r="D70" i="71" s="1"/>
  <c r="D71" i="71"/>
  <c r="T52" i="71"/>
  <c r="D52" i="71"/>
  <c r="C56" i="71"/>
  <c r="D55" i="71"/>
  <c r="AZ182" i="3"/>
  <c r="AC38" i="40"/>
  <c r="W38" i="40"/>
  <c r="U9" i="34"/>
  <c r="AB9" i="34"/>
  <c r="AC25" i="37"/>
  <c r="W25" i="37"/>
  <c r="U23" i="35"/>
  <c r="AB23" i="35"/>
  <c r="AC9" i="33"/>
  <c r="W9" i="33"/>
  <c r="J7" i="37"/>
  <c r="G5" i="3"/>
  <c r="B3" i="3" s="1"/>
  <c r="E347" i="3" s="1"/>
  <c r="C40" i="71"/>
  <c r="D39" i="71"/>
  <c r="D75" i="71"/>
  <c r="C74" i="71"/>
  <c r="D74" i="71" s="1"/>
  <c r="O65" i="71"/>
  <c r="D66" i="71"/>
  <c r="O66" i="71"/>
  <c r="AZ301" i="3"/>
  <c r="AZ249" i="3"/>
  <c r="W12" i="35"/>
  <c r="AC12" i="35"/>
  <c r="AC23" i="35"/>
  <c r="W23" i="35"/>
  <c r="D79" i="71"/>
  <c r="C78" i="71"/>
  <c r="D78" i="71" s="1"/>
  <c r="C26" i="71"/>
  <c r="D26" i="71" s="1"/>
  <c r="D27" i="71"/>
  <c r="AZ75" i="3"/>
  <c r="AZ38" i="3"/>
  <c r="AZ61" i="3"/>
  <c r="AZ19" i="3"/>
  <c r="AZ282" i="3"/>
  <c r="AZ218" i="3"/>
  <c r="AZ223" i="3"/>
  <c r="AZ491" i="3"/>
  <c r="AZ460" i="3"/>
  <c r="W12" i="34"/>
  <c r="AC12" i="34"/>
  <c r="AB38" i="40"/>
  <c r="U38" i="40"/>
  <c r="AA25" i="37"/>
  <c r="S25" i="37"/>
  <c r="K1" i="73"/>
  <c r="AA26" i="37"/>
  <c r="S26" i="37"/>
  <c r="BA5" i="3"/>
  <c r="E27" i="6" s="1"/>
  <c r="K26" i="6" s="1"/>
  <c r="M26" i="6" s="1"/>
  <c r="I26" i="6" s="1"/>
  <c r="S26" i="6" s="1"/>
  <c r="C19" i="71"/>
  <c r="T20" i="71"/>
  <c r="D20" i="71"/>
  <c r="U20" i="71" s="1"/>
  <c r="AZ5" i="3"/>
  <c r="W40" i="40"/>
  <c r="AC40" i="40"/>
  <c r="AC12" i="21"/>
  <c r="W12" i="21"/>
  <c r="AB12" i="21"/>
  <c r="U12" i="21"/>
  <c r="AA27" i="34"/>
  <c r="S27" i="34"/>
  <c r="AC26" i="37"/>
  <c r="W26" i="37"/>
  <c r="BL5" i="3"/>
  <c r="B15" i="71"/>
  <c r="B14" i="71" s="1"/>
  <c r="B13" i="71" s="1"/>
  <c r="B12" i="71" s="1"/>
  <c r="S16" i="71"/>
  <c r="F7" i="36"/>
  <c r="AA7" i="36" s="1"/>
  <c r="R36" i="36" s="1"/>
  <c r="H7" i="36"/>
  <c r="U7" i="36" s="1"/>
  <c r="AA9" i="36"/>
  <c r="S9" i="36"/>
  <c r="AA34" i="35"/>
  <c r="S34" i="35"/>
  <c r="E15" i="71"/>
  <c r="E14" i="71" s="1"/>
  <c r="E13" i="71" s="1"/>
  <c r="E12" i="71" s="1"/>
  <c r="V16" i="71"/>
  <c r="S40" i="40"/>
  <c r="AA40" i="40"/>
  <c r="AC34" i="35"/>
  <c r="W34" i="35"/>
  <c r="E61" i="43"/>
  <c r="B59" i="43" s="1"/>
  <c r="C28" i="43" s="1"/>
  <c r="B116" i="43"/>
  <c r="Z7" i="43"/>
  <c r="E30" i="6"/>
  <c r="E56" i="39"/>
  <c r="H7" i="34"/>
  <c r="AB7" i="34" s="1"/>
  <c r="T49" i="34" s="1"/>
  <c r="G49" i="34" s="1"/>
  <c r="E67" i="39"/>
  <c r="J7" i="34"/>
  <c r="W7" i="34" s="1"/>
  <c r="F7" i="34"/>
  <c r="S7" i="34" s="1"/>
  <c r="AA26" i="35"/>
  <c r="S26" i="35"/>
  <c r="AC26" i="35"/>
  <c r="W26" i="35"/>
  <c r="AB26" i="35"/>
  <c r="U26" i="35"/>
  <c r="E56" i="40"/>
  <c r="C9" i="69"/>
  <c r="C9" i="68"/>
  <c r="E72" i="43"/>
  <c r="B70" i="43" s="1"/>
  <c r="F27" i="11"/>
  <c r="C29" i="11" s="1"/>
  <c r="D27" i="11" s="1"/>
  <c r="E60" i="40"/>
  <c r="F31" i="6"/>
  <c r="E51" i="40"/>
  <c r="M14" i="1"/>
  <c r="D5" i="43"/>
  <c r="C7" i="43"/>
  <c r="C5" i="43" s="1"/>
  <c r="D10" i="52"/>
  <c r="D125" i="9"/>
  <c r="D11" i="52" s="1"/>
  <c r="B7" i="74"/>
  <c r="C7" i="74" s="1"/>
  <c r="F67" i="39"/>
  <c r="E69" i="39"/>
  <c r="F59" i="67"/>
  <c r="H7" i="37"/>
  <c r="AB7" i="37" s="1"/>
  <c r="T42" i="37" s="1"/>
  <c r="G42" i="37" s="1"/>
  <c r="H7" i="33"/>
  <c r="J7" i="33"/>
  <c r="D65" i="40"/>
  <c r="E63" i="40"/>
  <c r="F48" i="35"/>
  <c r="S7" i="36"/>
  <c r="AC7" i="37"/>
  <c r="W7" i="37"/>
  <c r="AB7" i="36"/>
  <c r="T36" i="36" s="1"/>
  <c r="G36" i="36" s="1"/>
  <c r="F7" i="33"/>
  <c r="E58" i="21"/>
  <c r="AC7" i="36"/>
  <c r="V36" i="36" s="1"/>
  <c r="I36" i="36" s="1"/>
  <c r="W7" i="36"/>
  <c r="F7" i="37"/>
  <c r="M17" i="67"/>
  <c r="M17" i="15"/>
  <c r="F59" i="15"/>
  <c r="P28" i="43"/>
  <c r="B66" i="40" s="1"/>
  <c r="P25" i="43"/>
  <c r="P29" i="43"/>
  <c r="P27" i="43"/>
  <c r="B70" i="39" s="1"/>
  <c r="C49" i="15"/>
  <c r="J18" i="15"/>
  <c r="M11" i="67"/>
  <c r="J10" i="67" s="1"/>
  <c r="F11" i="15"/>
  <c r="M11" i="15"/>
  <c r="J10" i="15" s="1"/>
  <c r="J5" i="15" s="1"/>
  <c r="J24" i="15" s="1"/>
  <c r="F11" i="67"/>
  <c r="F1" i="15"/>
  <c r="Q52" i="15"/>
  <c r="C32" i="15"/>
  <c r="Q60" i="15"/>
  <c r="Q73" i="15"/>
  <c r="Q74" i="15"/>
  <c r="Q61" i="15"/>
  <c r="AE11" i="1"/>
  <c r="AE9" i="1"/>
  <c r="AE7" i="1"/>
  <c r="AE8" i="1"/>
  <c r="AE12" i="1"/>
  <c r="AE10" i="1"/>
  <c r="C16" i="15"/>
  <c r="F41" i="67"/>
  <c r="AE6" i="1"/>
  <c r="C16" i="67"/>
  <c r="G1" i="73"/>
  <c r="O6" i="1" l="1"/>
  <c r="P6" i="1" s="1"/>
  <c r="C13" i="12" s="1"/>
  <c r="Q52" i="67"/>
  <c r="Q74" i="67"/>
  <c r="Q60" i="67"/>
  <c r="J10" i="40"/>
  <c r="AC10" i="40" s="1"/>
  <c r="C49" i="67"/>
  <c r="J5" i="67"/>
  <c r="J24" i="67" s="1"/>
  <c r="H10" i="39"/>
  <c r="U10" i="39" s="1"/>
  <c r="F45" i="69"/>
  <c r="C29" i="69"/>
  <c r="D27" i="69" s="1"/>
  <c r="F27" i="68"/>
  <c r="C47" i="68" s="1"/>
  <c r="D45" i="68" s="1"/>
  <c r="H10" i="40"/>
  <c r="AB10" i="40" s="1"/>
  <c r="F28" i="12"/>
  <c r="C29" i="12" s="1"/>
  <c r="D28" i="12" s="1"/>
  <c r="E211" i="3"/>
  <c r="D26" i="43"/>
  <c r="C25" i="43" s="1"/>
  <c r="E16" i="6"/>
  <c r="E61" i="39"/>
  <c r="E62" i="39"/>
  <c r="E523" i="3"/>
  <c r="AT6" i="3"/>
  <c r="E27" i="3"/>
  <c r="E191" i="3"/>
  <c r="E230" i="3"/>
  <c r="E177" i="3"/>
  <c r="E69" i="3"/>
  <c r="E503" i="3"/>
  <c r="E269" i="3"/>
  <c r="E254" i="3"/>
  <c r="E514" i="3"/>
  <c r="E315" i="3"/>
  <c r="E561" i="3"/>
  <c r="E527" i="3"/>
  <c r="E444" i="3"/>
  <c r="E267" i="3"/>
  <c r="E225" i="3"/>
  <c r="E202" i="3"/>
  <c r="AQ6" i="3"/>
  <c r="E398" i="3"/>
  <c r="E446" i="3"/>
  <c r="E584" i="3"/>
  <c r="E488" i="3"/>
  <c r="E352" i="3"/>
  <c r="E475" i="3"/>
  <c r="E548" i="3"/>
  <c r="E319" i="3"/>
  <c r="E506" i="3"/>
  <c r="E303" i="3"/>
  <c r="Q6" i="3"/>
  <c r="E580" i="3"/>
  <c r="E404" i="3"/>
  <c r="E516" i="3"/>
  <c r="E130" i="3"/>
  <c r="E583" i="3"/>
  <c r="E571" i="3"/>
  <c r="E271" i="3"/>
  <c r="E162" i="3"/>
  <c r="E508" i="3"/>
  <c r="E538" i="3"/>
  <c r="E180" i="3"/>
  <c r="E568" i="3"/>
  <c r="E406" i="3"/>
  <c r="E362" i="3"/>
  <c r="E345" i="3"/>
  <c r="E273" i="3"/>
  <c r="AJ6" i="3"/>
  <c r="E570" i="3"/>
  <c r="E278" i="3"/>
  <c r="E263" i="3"/>
  <c r="E148" i="3"/>
  <c r="E118" i="3"/>
  <c r="E139" i="3"/>
  <c r="E42" i="3"/>
  <c r="E223" i="3"/>
  <c r="E15" i="3"/>
  <c r="E50" i="3"/>
  <c r="E24" i="3"/>
  <c r="E149" i="3"/>
  <c r="E39" i="3"/>
  <c r="E187" i="3"/>
  <c r="E532" i="3"/>
  <c r="E14" i="3"/>
  <c r="E546" i="3"/>
  <c r="O6" i="3"/>
  <c r="E169" i="3"/>
  <c r="AA6" i="3"/>
  <c r="E429" i="3"/>
  <c r="E164" i="3"/>
  <c r="E334" i="3"/>
  <c r="E358" i="3"/>
  <c r="E117" i="3"/>
  <c r="E511" i="3"/>
  <c r="E150" i="3"/>
  <c r="E414" i="3"/>
  <c r="E384" i="3"/>
  <c r="E337" i="3"/>
  <c r="E216" i="3"/>
  <c r="E350" i="3"/>
  <c r="E228" i="3"/>
  <c r="E468" i="3"/>
  <c r="E89" i="3"/>
  <c r="E489" i="3"/>
  <c r="E109" i="3"/>
  <c r="E431" i="3"/>
  <c r="E387" i="3"/>
  <c r="E445" i="3"/>
  <c r="E385" i="3"/>
  <c r="E296" i="3"/>
  <c r="E369" i="3"/>
  <c r="E383" i="3"/>
  <c r="E105" i="3"/>
  <c r="E455" i="3"/>
  <c r="E62" i="3"/>
  <c r="E250" i="3"/>
  <c r="E464" i="3"/>
  <c r="E163" i="3"/>
  <c r="E504" i="3"/>
  <c r="E474" i="3"/>
  <c r="E397" i="3"/>
  <c r="E92" i="3"/>
  <c r="E574" i="3"/>
  <c r="E565" i="3"/>
  <c r="E156" i="3"/>
  <c r="E496" i="3"/>
  <c r="E448" i="3"/>
  <c r="E30" i="3"/>
  <c r="E551" i="3"/>
  <c r="E61" i="3"/>
  <c r="E45" i="3"/>
  <c r="E279" i="3"/>
  <c r="E505" i="3"/>
  <c r="E44" i="3"/>
  <c r="E143" i="3"/>
  <c r="E261" i="3"/>
  <c r="E586" i="3"/>
  <c r="E277" i="3"/>
  <c r="E106" i="3"/>
  <c r="E204" i="3"/>
  <c r="E28" i="3"/>
  <c r="E217" i="3"/>
  <c r="E247" i="3"/>
  <c r="E335" i="3"/>
  <c r="E535" i="3"/>
  <c r="E246" i="3"/>
  <c r="E275" i="3"/>
  <c r="E487" i="3"/>
  <c r="E104" i="3"/>
  <c r="E40" i="3"/>
  <c r="E392" i="3"/>
  <c r="E552" i="3"/>
  <c r="E57" i="3"/>
  <c r="E47" i="3"/>
  <c r="E459" i="3"/>
  <c r="E122" i="3"/>
  <c r="E471" i="3"/>
  <c r="E411" i="3"/>
  <c r="AM6" i="3"/>
  <c r="E485" i="3"/>
  <c r="E282" i="3"/>
  <c r="E94" i="3"/>
  <c r="E219" i="3"/>
  <c r="E200" i="3"/>
  <c r="E322" i="3"/>
  <c r="E472" i="3"/>
  <c r="E343" i="3"/>
  <c r="E336" i="3"/>
  <c r="E274" i="3"/>
  <c r="AA10" i="39"/>
  <c r="J10" i="39"/>
  <c r="W10" i="39" s="1"/>
  <c r="E142" i="3"/>
  <c r="E240" i="3"/>
  <c r="E483" i="3"/>
  <c r="E132" i="3"/>
  <c r="E100" i="3"/>
  <c r="AI6" i="3"/>
  <c r="E135" i="3"/>
  <c r="E172" i="3"/>
  <c r="E189" i="3"/>
  <c r="AB6" i="3"/>
  <c r="E311" i="3"/>
  <c r="E579" i="3"/>
  <c r="E268" i="3"/>
  <c r="E572" i="3"/>
  <c r="E182" i="3"/>
  <c r="E531" i="3"/>
  <c r="AO6" i="3"/>
  <c r="E368" i="3"/>
  <c r="E171" i="3"/>
  <c r="E577" i="3"/>
  <c r="E560" i="3"/>
  <c r="E545" i="3"/>
  <c r="E399" i="3"/>
  <c r="E301" i="3"/>
  <c r="E183" i="3"/>
  <c r="E231" i="3"/>
  <c r="AR6" i="3"/>
  <c r="E555" i="3"/>
  <c r="E530" i="3"/>
  <c r="E331" i="3"/>
  <c r="E476" i="3"/>
  <c r="E478" i="3"/>
  <c r="E567" i="3"/>
  <c r="E433" i="3"/>
  <c r="E458" i="3"/>
  <c r="E314" i="3"/>
  <c r="E578" i="3"/>
  <c r="E260" i="3"/>
  <c r="E294" i="3"/>
  <c r="E229" i="3"/>
  <c r="E553" i="3"/>
  <c r="E295" i="3"/>
  <c r="E443" i="3"/>
  <c r="E252" i="3"/>
  <c r="E256" i="3"/>
  <c r="E424" i="3"/>
  <c r="E262" i="3"/>
  <c r="E280" i="3"/>
  <c r="E302" i="3"/>
  <c r="E298" i="3"/>
  <c r="E390" i="3"/>
  <c r="E153" i="3"/>
  <c r="E317" i="3"/>
  <c r="E403" i="3"/>
  <c r="E145" i="3"/>
  <c r="E257" i="3"/>
  <c r="E537" i="3"/>
  <c r="E224" i="3"/>
  <c r="E82" i="3"/>
  <c r="E167" i="3"/>
  <c r="Y6" i="3"/>
  <c r="E374" i="3"/>
  <c r="E375" i="3"/>
  <c r="E284" i="3"/>
  <c r="E421" i="3"/>
  <c r="E58" i="3"/>
  <c r="E524" i="3"/>
  <c r="E147" i="3"/>
  <c r="E234" i="3"/>
  <c r="E60" i="3"/>
  <c r="E490" i="3"/>
  <c r="E370" i="3"/>
  <c r="E456" i="3"/>
  <c r="E510" i="3"/>
  <c r="E449" i="3"/>
  <c r="E33" i="3"/>
  <c r="E96" i="3"/>
  <c r="E205" i="3"/>
  <c r="E13" i="3"/>
  <c r="E356" i="3"/>
  <c r="E49" i="3"/>
  <c r="E16" i="3"/>
  <c r="E543" i="3"/>
  <c r="AH6" i="3"/>
  <c r="E108" i="3"/>
  <c r="E372" i="3"/>
  <c r="E540" i="3"/>
  <c r="E79" i="3"/>
  <c r="E194" i="3"/>
  <c r="E325" i="3"/>
  <c r="E36" i="3"/>
  <c r="E289" i="3"/>
  <c r="E20" i="3"/>
  <c r="E265" i="3"/>
  <c r="E165" i="3"/>
  <c r="E566" i="3"/>
  <c r="E348" i="3"/>
  <c r="E386" i="3"/>
  <c r="E222" i="3"/>
  <c r="E416" i="3"/>
  <c r="E110" i="3"/>
  <c r="E354" i="3"/>
  <c r="E323" i="3"/>
  <c r="E436" i="3"/>
  <c r="E266" i="3"/>
  <c r="E542" i="3"/>
  <c r="E462" i="3"/>
  <c r="E179" i="3"/>
  <c r="E195" i="3"/>
  <c r="E413" i="3"/>
  <c r="E307" i="3"/>
  <c r="E461" i="3"/>
  <c r="E157" i="3"/>
  <c r="E529" i="3"/>
  <c r="W6" i="3"/>
  <c r="E54" i="3"/>
  <c r="E357" i="3"/>
  <c r="E196" i="3"/>
  <c r="U6" i="3"/>
  <c r="E367" i="3"/>
  <c r="E71" i="3"/>
  <c r="E291" i="3"/>
  <c r="E53" i="3"/>
  <c r="E426" i="3"/>
  <c r="E359" i="3"/>
  <c r="S6" i="3"/>
  <c r="E338" i="3"/>
  <c r="E237" i="3"/>
  <c r="E17" i="3"/>
  <c r="E159" i="3"/>
  <c r="E353" i="3"/>
  <c r="E238" i="3"/>
  <c r="E120" i="3"/>
  <c r="E437" i="3"/>
  <c r="AE6" i="3"/>
  <c r="E73" i="3"/>
  <c r="E394" i="3"/>
  <c r="E236" i="3"/>
  <c r="AG6" i="3"/>
  <c r="E558" i="3"/>
  <c r="E88" i="3"/>
  <c r="E316" i="3"/>
  <c r="E125" i="3"/>
  <c r="N6" i="3"/>
  <c r="E396" i="3"/>
  <c r="E559" i="3"/>
  <c r="E320" i="3"/>
  <c r="E114" i="3"/>
  <c r="E550" i="3"/>
  <c r="E245" i="3"/>
  <c r="E293" i="3"/>
  <c r="E453" i="3"/>
  <c r="E99" i="3"/>
  <c r="E573" i="3"/>
  <c r="E562" i="3"/>
  <c r="E72" i="3"/>
  <c r="E351" i="3"/>
  <c r="E549" i="3"/>
  <c r="E585" i="3"/>
  <c r="E212" i="3"/>
  <c r="E81" i="3"/>
  <c r="E206" i="3"/>
  <c r="E451" i="3"/>
  <c r="E78" i="3"/>
  <c r="E158" i="3"/>
  <c r="E493" i="3"/>
  <c r="E498" i="3"/>
  <c r="E276" i="3"/>
  <c r="E43" i="3"/>
  <c r="E38" i="3"/>
  <c r="E299" i="3"/>
  <c r="E52" i="3"/>
  <c r="E340" i="3"/>
  <c r="E176" i="3"/>
  <c r="E101" i="3"/>
  <c r="E460" i="3"/>
  <c r="E521" i="3"/>
  <c r="E51" i="3"/>
  <c r="E500" i="3"/>
  <c r="E138" i="3"/>
  <c r="E19" i="3"/>
  <c r="E297" i="3"/>
  <c r="E341" i="3"/>
  <c r="E259" i="3"/>
  <c r="AD6" i="3"/>
  <c r="E154" i="3"/>
  <c r="E98" i="3"/>
  <c r="E136" i="3"/>
  <c r="E313" i="3"/>
  <c r="E288" i="3"/>
  <c r="E168" i="3"/>
  <c r="E93" i="3"/>
  <c r="E379" i="3"/>
  <c r="E547" i="3"/>
  <c r="E126" i="3"/>
  <c r="E29" i="3"/>
  <c r="E328" i="3"/>
  <c r="E97" i="3"/>
  <c r="E418" i="3"/>
  <c r="E304" i="3"/>
  <c r="E221" i="3"/>
  <c r="AN6" i="3"/>
  <c r="E434" i="3"/>
  <c r="E330" i="3"/>
  <c r="E344" i="3"/>
  <c r="E203" i="3"/>
  <c r="E32" i="3"/>
  <c r="E576" i="3"/>
  <c r="E581" i="3"/>
  <c r="E166" i="3"/>
  <c r="E480" i="3"/>
  <c r="E239" i="3"/>
  <c r="E151" i="3"/>
  <c r="E407" i="3"/>
  <c r="E415" i="3"/>
  <c r="E290" i="3"/>
  <c r="E518" i="3"/>
  <c r="E85" i="3"/>
  <c r="E193" i="3"/>
  <c r="E457" i="3"/>
  <c r="E111" i="3"/>
  <c r="E31" i="3"/>
  <c r="E107" i="3"/>
  <c r="E477" i="3"/>
  <c r="E447" i="3"/>
  <c r="E210" i="3"/>
  <c r="E441" i="3"/>
  <c r="E305" i="3"/>
  <c r="E410" i="3"/>
  <c r="E533" i="3"/>
  <c r="E439" i="3"/>
  <c r="E185" i="3"/>
  <c r="E361" i="3"/>
  <c r="E134" i="3"/>
  <c r="E495" i="3"/>
  <c r="E77" i="3"/>
  <c r="AK6" i="3"/>
  <c r="K6" i="3"/>
  <c r="E465" i="3"/>
  <c r="E454" i="3"/>
  <c r="E214" i="3"/>
  <c r="E227" i="3"/>
  <c r="E327" i="3"/>
  <c r="E400" i="3"/>
  <c r="E37" i="3"/>
  <c r="E281" i="3"/>
  <c r="E113" i="3"/>
  <c r="E470" i="3"/>
  <c r="E220" i="3"/>
  <c r="E83" i="3"/>
  <c r="E486" i="3"/>
  <c r="E401" i="3"/>
  <c r="E333" i="3"/>
  <c r="E473" i="3"/>
  <c r="E170" i="3"/>
  <c r="E339" i="3"/>
  <c r="E112" i="3"/>
  <c r="E364" i="3"/>
  <c r="E218" i="3"/>
  <c r="E141" i="3"/>
  <c r="E90" i="3"/>
  <c r="E65" i="3"/>
  <c r="E244" i="3"/>
  <c r="E520" i="3"/>
  <c r="E209" i="3"/>
  <c r="F10" i="40"/>
  <c r="E378" i="3"/>
  <c r="E248" i="3"/>
  <c r="E131" i="3"/>
  <c r="AY6" i="3"/>
  <c r="AY23" i="3" s="1"/>
  <c r="E242" i="3"/>
  <c r="E119" i="3"/>
  <c r="X6" i="3"/>
  <c r="E423" i="3"/>
  <c r="E161" i="3"/>
  <c r="E563" i="3"/>
  <c r="E215" i="3"/>
  <c r="M6" i="3"/>
  <c r="E201" i="3"/>
  <c r="E509" i="3"/>
  <c r="E526" i="3"/>
  <c r="E377" i="3"/>
  <c r="E70" i="3"/>
  <c r="E557" i="3"/>
  <c r="Z6" i="3"/>
  <c r="E74" i="3"/>
  <c r="E146" i="3"/>
  <c r="E587" i="3"/>
  <c r="E133" i="3"/>
  <c r="E181" i="3"/>
  <c r="E124" i="3"/>
  <c r="E91" i="3"/>
  <c r="E528" i="3"/>
  <c r="E380" i="3"/>
  <c r="E270" i="3"/>
  <c r="E388" i="3"/>
  <c r="E175" i="3"/>
  <c r="E186" i="3"/>
  <c r="AS6" i="3"/>
  <c r="E515" i="3"/>
  <c r="E318" i="3"/>
  <c r="E450" i="3"/>
  <c r="E519" i="3"/>
  <c r="E253" i="3"/>
  <c r="E382" i="3"/>
  <c r="E395" i="3"/>
  <c r="V6" i="3"/>
  <c r="E569" i="3"/>
  <c r="E366" i="3"/>
  <c r="E121" i="3"/>
  <c r="P6" i="3"/>
  <c r="I6" i="3"/>
  <c r="E55" i="3"/>
  <c r="E481" i="3"/>
  <c r="E128" i="3"/>
  <c r="E402" i="3"/>
  <c r="E213" i="3"/>
  <c r="E321" i="3"/>
  <c r="E285" i="3"/>
  <c r="E501" i="3"/>
  <c r="E272" i="3"/>
  <c r="E432" i="3"/>
  <c r="E207" i="3"/>
  <c r="E208" i="3"/>
  <c r="E438" i="3"/>
  <c r="E306" i="3"/>
  <c r="E127" i="3"/>
  <c r="E87" i="3"/>
  <c r="E66" i="3"/>
  <c r="E373" i="3"/>
  <c r="E582" i="3"/>
  <c r="E48" i="3"/>
  <c r="E312" i="3"/>
  <c r="E155" i="3"/>
  <c r="E365" i="3"/>
  <c r="E123" i="3"/>
  <c r="E137" i="3"/>
  <c r="L6" i="3"/>
  <c r="E422" i="3"/>
  <c r="E342" i="3"/>
  <c r="E525" i="3"/>
  <c r="E544" i="3"/>
  <c r="E346" i="3"/>
  <c r="E178" i="3"/>
  <c r="E463" i="3"/>
  <c r="J6" i="3"/>
  <c r="E440" i="3"/>
  <c r="E427" i="3"/>
  <c r="E393" i="3"/>
  <c r="E188" i="3"/>
  <c r="E326" i="3"/>
  <c r="E232" i="3"/>
  <c r="E324" i="3"/>
  <c r="E412" i="3"/>
  <c r="E41" i="3"/>
  <c r="E452" i="3"/>
  <c r="E469" i="3"/>
  <c r="E140" i="3"/>
  <c r="E251" i="3"/>
  <c r="E129" i="3"/>
  <c r="E332" i="3"/>
  <c r="E355" i="3"/>
  <c r="E467" i="3"/>
  <c r="E517" i="3"/>
  <c r="E3" i="6"/>
  <c r="E226" i="3"/>
  <c r="E25" i="3"/>
  <c r="E419" i="3"/>
  <c r="E376" i="3"/>
  <c r="E507" i="3"/>
  <c r="E564" i="3"/>
  <c r="E116" i="3"/>
  <c r="E329" i="3"/>
  <c r="E80" i="3"/>
  <c r="E35" i="3"/>
  <c r="E190" i="3"/>
  <c r="E243" i="3"/>
  <c r="E26" i="3"/>
  <c r="E360" i="3"/>
  <c r="E534" i="3"/>
  <c r="E287" i="3"/>
  <c r="E522" i="3"/>
  <c r="E75" i="3"/>
  <c r="E513" i="3"/>
  <c r="E492" i="3"/>
  <c r="E241" i="3"/>
  <c r="E502" i="3"/>
  <c r="E428" i="3"/>
  <c r="E115" i="3"/>
  <c r="E420" i="3"/>
  <c r="E497" i="3"/>
  <c r="E408" i="3"/>
  <c r="E405" i="3"/>
  <c r="E173" i="3"/>
  <c r="E22" i="3"/>
  <c r="E102" i="3"/>
  <c r="E34" i="3"/>
  <c r="E235" i="3"/>
  <c r="E18" i="3"/>
  <c r="AL6" i="3"/>
  <c r="E198" i="3"/>
  <c r="E309" i="3"/>
  <c r="E63" i="3"/>
  <c r="E233" i="3"/>
  <c r="E67" i="3"/>
  <c r="E310" i="3"/>
  <c r="E160" i="3"/>
  <c r="E484" i="3"/>
  <c r="E389" i="3"/>
  <c r="E258" i="3"/>
  <c r="E479" i="3"/>
  <c r="E554" i="3"/>
  <c r="E430" i="3"/>
  <c r="E499" i="3"/>
  <c r="E536" i="3"/>
  <c r="E556" i="3"/>
  <c r="E512" i="3"/>
  <c r="T6" i="3"/>
  <c r="E197" i="3"/>
  <c r="E308" i="3"/>
  <c r="AF6" i="3"/>
  <c r="E86" i="3"/>
  <c r="E174" i="3"/>
  <c r="E482" i="3"/>
  <c r="E391" i="3"/>
  <c r="E494" i="3"/>
  <c r="E283" i="3"/>
  <c r="E68" i="3"/>
  <c r="E184" i="3"/>
  <c r="E84" i="3"/>
  <c r="E371" i="3"/>
  <c r="E46" i="3"/>
  <c r="E409" i="3"/>
  <c r="E349" i="3"/>
  <c r="E152" i="3"/>
  <c r="E417" i="3"/>
  <c r="AP6" i="3"/>
  <c r="E466" i="3"/>
  <c r="E575" i="3"/>
  <c r="E539" i="3"/>
  <c r="E21" i="3"/>
  <c r="E264" i="3"/>
  <c r="E381" i="3"/>
  <c r="E144" i="3"/>
  <c r="E23" i="3"/>
  <c r="E249" i="3"/>
  <c r="E64" i="3"/>
  <c r="E59" i="3"/>
  <c r="E292" i="3"/>
  <c r="E95" i="3"/>
  <c r="E491" i="3"/>
  <c r="E255" i="3"/>
  <c r="E442" i="3"/>
  <c r="E286" i="3"/>
  <c r="T40" i="71"/>
  <c r="D40" i="71"/>
  <c r="E300" i="3"/>
  <c r="E103" i="3"/>
  <c r="E425" i="3"/>
  <c r="E76" i="3"/>
  <c r="E363" i="3"/>
  <c r="E192" i="3"/>
  <c r="E56" i="3"/>
  <c r="E435" i="3"/>
  <c r="I3" i="6"/>
  <c r="E541" i="3"/>
  <c r="R6" i="3"/>
  <c r="E199" i="3"/>
  <c r="D56" i="71"/>
  <c r="T56"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K25" i="6"/>
  <c r="K20" i="6"/>
  <c r="K23" i="6"/>
  <c r="K22" i="6"/>
  <c r="E31" i="6"/>
  <c r="K24" i="6"/>
  <c r="K19" i="6"/>
  <c r="S6" i="1" s="1"/>
  <c r="O14" i="1"/>
  <c r="O16" i="1" s="1"/>
  <c r="M16" i="1"/>
  <c r="D3" i="21"/>
  <c r="E6" i="6"/>
  <c r="D37" i="11"/>
  <c r="D3" i="34"/>
  <c r="D19" i="11"/>
  <c r="C19" i="11" s="1"/>
  <c r="C17" i="4"/>
  <c r="B4" i="52" s="1"/>
  <c r="B43" i="72" s="1"/>
  <c r="D3" i="37"/>
  <c r="C39" i="43"/>
  <c r="C42" i="43"/>
  <c r="E42" i="43" s="1"/>
  <c r="C38" i="43"/>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C53" i="67"/>
  <c r="C10" i="67"/>
  <c r="C5" i="67" s="1"/>
  <c r="C38" i="67" s="1"/>
  <c r="C53" i="15"/>
  <c r="C48" i="15" s="1"/>
  <c r="C66" i="15" s="1"/>
  <c r="C10" i="15"/>
  <c r="C5" i="15" s="1"/>
  <c r="C38" i="15" s="1"/>
  <c r="F41" i="15"/>
  <c r="M27" i="15"/>
  <c r="M27" i="67"/>
  <c r="AB10" i="39" l="1"/>
  <c r="W10" i="40"/>
  <c r="C48" i="67"/>
  <c r="C60" i="67" s="1"/>
  <c r="F45" i="68"/>
  <c r="U10" i="40"/>
  <c r="C29" i="68"/>
  <c r="D27" i="68" s="1"/>
  <c r="F25" i="12"/>
  <c r="AC10" i="39"/>
  <c r="AY552" i="3"/>
  <c r="AY102" i="3"/>
  <c r="BE6" i="3"/>
  <c r="AY547" i="3"/>
  <c r="AY53" i="3"/>
  <c r="AY587" i="3"/>
  <c r="AY151" i="3"/>
  <c r="AY538" i="3"/>
  <c r="AY58" i="3"/>
  <c r="AY530" i="3"/>
  <c r="AY249" i="3"/>
  <c r="AY270" i="3"/>
  <c r="BG6" i="3"/>
  <c r="AY460" i="3"/>
  <c r="AY218" i="3"/>
  <c r="AY565" i="3"/>
  <c r="AY455" i="3"/>
  <c r="AY388" i="3"/>
  <c r="AY240" i="3"/>
  <c r="AY153" i="3"/>
  <c r="AY354" i="3"/>
  <c r="AY328" i="3"/>
  <c r="AY340" i="3"/>
  <c r="AY262" i="3"/>
  <c r="S10" i="40"/>
  <c r="AA10" i="40"/>
  <c r="AY257" i="3"/>
  <c r="AY408" i="3"/>
  <c r="AY172" i="3"/>
  <c r="AY505" i="3"/>
  <c r="AY583" i="3"/>
  <c r="AY440" i="3"/>
  <c r="AY431" i="3"/>
  <c r="AY32" i="3"/>
  <c r="AY256" i="3"/>
  <c r="AY558" i="3"/>
  <c r="AY156" i="3"/>
  <c r="AY499" i="3"/>
  <c r="AY223" i="3"/>
  <c r="AY438" i="3"/>
  <c r="AY193" i="3"/>
  <c r="AY191" i="3"/>
  <c r="AY150" i="3"/>
  <c r="AY404" i="3"/>
  <c r="AY585" i="3"/>
  <c r="AY145" i="3"/>
  <c r="AY125" i="3"/>
  <c r="AY401" i="3"/>
  <c r="AY284" i="3"/>
  <c r="AY59" i="3"/>
  <c r="AY400" i="3"/>
  <c r="AY200" i="3"/>
  <c r="AY359" i="3"/>
  <c r="AY493" i="3"/>
  <c r="AY445" i="3"/>
  <c r="AY322" i="3"/>
  <c r="AY233" i="3"/>
  <c r="AY418" i="3"/>
  <c r="BC6" i="3"/>
  <c r="AY128" i="3"/>
  <c r="AY469" i="3"/>
  <c r="AY78" i="3"/>
  <c r="AY439" i="3"/>
  <c r="AY169" i="3"/>
  <c r="AY215" i="3"/>
  <c r="AY539" i="3"/>
  <c r="AY556" i="3"/>
  <c r="AY389" i="3"/>
  <c r="AY199" i="3"/>
  <c r="AY430" i="3"/>
  <c r="AY73" i="3"/>
  <c r="AY185" i="3"/>
  <c r="AY327" i="3"/>
  <c r="AY160" i="3"/>
  <c r="AY66" i="3"/>
  <c r="AY176" i="3"/>
  <c r="AY115" i="3"/>
  <c r="AY188" i="3"/>
  <c r="AY276" i="3"/>
  <c r="AY297" i="3"/>
  <c r="AY225" i="3"/>
  <c r="AY335" i="3"/>
  <c r="AY50" i="3"/>
  <c r="AY289" i="3"/>
  <c r="AY261" i="3"/>
  <c r="AY209"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34" i="3"/>
  <c r="AY495" i="3"/>
  <c r="AY501" i="3"/>
  <c r="AY90" i="3"/>
  <c r="AY387" i="3"/>
  <c r="AY425" i="3"/>
  <c r="AY244" i="3"/>
  <c r="AY481" i="3"/>
  <c r="AY562" i="3"/>
  <c r="AY89" i="3"/>
  <c r="AY36" i="3"/>
  <c r="AY146" i="3"/>
  <c r="AY302" i="3"/>
  <c r="AY222" i="3"/>
  <c r="BS6" i="3"/>
  <c r="AY40" i="3"/>
  <c r="AY279" i="3"/>
  <c r="AY356" i="3"/>
  <c r="AY467" i="3"/>
  <c r="AY435" i="3"/>
  <c r="BN6" i="3"/>
  <c r="AY508" i="3"/>
  <c r="AY577" i="3"/>
  <c r="AY49" i="3"/>
  <c r="AY31" i="3"/>
  <c r="AY350" i="3"/>
  <c r="AY497" i="3"/>
  <c r="AY212" i="3"/>
  <c r="AY478" i="3"/>
  <c r="AY573" i="3"/>
  <c r="AY100" i="3"/>
  <c r="AY20" i="3"/>
  <c r="AY173" i="3"/>
  <c r="AY286" i="3"/>
  <c r="AY227" i="3"/>
  <c r="AY507" i="3"/>
  <c r="AY29" i="3"/>
  <c r="AY275" i="3"/>
  <c r="AY341" i="3"/>
  <c r="AY480" i="3"/>
  <c r="AY419" i="3"/>
  <c r="AY536" i="3"/>
  <c r="AY584" i="3"/>
  <c r="AY519" i="3"/>
  <c r="AY80" i="3"/>
  <c r="AY189" i="3"/>
  <c r="AY129" i="3"/>
  <c r="AY266" i="3"/>
  <c r="AY369" i="3"/>
  <c r="AY313" i="3"/>
  <c r="AY487" i="3"/>
  <c r="AY453" i="3"/>
  <c r="AY410" i="3"/>
  <c r="AY579" i="3"/>
  <c r="D3" i="6"/>
  <c r="D21" i="6" s="1"/>
  <c r="AY509" i="3"/>
  <c r="AY531" i="3"/>
  <c r="AY94" i="3"/>
  <c r="AY35" i="3"/>
  <c r="AY167" i="3"/>
  <c r="AY280" i="3"/>
  <c r="AY221" i="3"/>
  <c r="AY331" i="3"/>
  <c r="AY466" i="3"/>
  <c r="AY405" i="3"/>
  <c r="AY512" i="3"/>
  <c r="AY86" i="3"/>
  <c r="AY27" i="3"/>
  <c r="AY159" i="3"/>
  <c r="AY273" i="3"/>
  <c r="AY213" i="3"/>
  <c r="AY323" i="3"/>
  <c r="AY459" i="3"/>
  <c r="AY550" i="3"/>
  <c r="AY504" i="3"/>
  <c r="AY205" i="3"/>
  <c r="AY235" i="3"/>
  <c r="AY321" i="3"/>
  <c r="AY461" i="3"/>
  <c r="AY399" i="3"/>
  <c r="AY537" i="3"/>
  <c r="AY110" i="3"/>
  <c r="AY140" i="3"/>
  <c r="AY216" i="3"/>
  <c r="AY482" i="3"/>
  <c r="AY528" i="3"/>
  <c r="AY22" i="3"/>
  <c r="AY288" i="3"/>
  <c r="AY339" i="3"/>
  <c r="AY413" i="3"/>
  <c r="AY64" i="3"/>
  <c r="AY113" i="3"/>
  <c r="AY361" i="3"/>
  <c r="AY479" i="3"/>
  <c r="AY402" i="3"/>
  <c r="AY522" i="3"/>
  <c r="BP6" i="3"/>
  <c r="AY19" i="3"/>
  <c r="AY265" i="3"/>
  <c r="AY315" i="3"/>
  <c r="AY500" i="3"/>
  <c r="AY71" i="3"/>
  <c r="AY143" i="3"/>
  <c r="AY386" i="3"/>
  <c r="AY443" i="3"/>
  <c r="BT6" i="3"/>
  <c r="AY390" i="3"/>
  <c r="AY82" i="3"/>
  <c r="AY540" i="3"/>
  <c r="AY141" i="3"/>
  <c r="AY255" i="3"/>
  <c r="BB6" i="3"/>
  <c r="AY181" i="3"/>
  <c r="AY258" i="3"/>
  <c r="AY309" i="3"/>
  <c r="AY503" i="3"/>
  <c r="AY520" i="3"/>
  <c r="AY494" i="3"/>
  <c r="AY101" i="3"/>
  <c r="AY48" i="3"/>
  <c r="AY287" i="3"/>
  <c r="AY234" i="3"/>
  <c r="AY364" i="3"/>
  <c r="AY344" i="3"/>
  <c r="AY87" i="3"/>
  <c r="AY34" i="3"/>
  <c r="AY144" i="3"/>
  <c r="AY95" i="3"/>
  <c r="AY152" i="3"/>
  <c r="AY111" i="3"/>
  <c r="AY253" i="3"/>
  <c r="AY382" i="3"/>
  <c r="AY303" i="3"/>
  <c r="AY196" i="3"/>
  <c r="AY74" i="3"/>
  <c r="AY204" i="3"/>
  <c r="AY363"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98" i="3"/>
  <c r="AY163" i="3"/>
  <c r="AY334" i="3"/>
  <c r="AY526" i="3"/>
  <c r="AY447" i="3"/>
  <c r="AY574" i="3"/>
  <c r="AY85" i="3"/>
  <c r="AY25" i="3"/>
  <c r="AY157" i="3"/>
  <c r="AY271" i="3"/>
  <c r="AY211" i="3"/>
  <c r="BI6" i="3"/>
  <c r="AY186" i="3"/>
  <c r="AY243" i="3"/>
  <c r="AY325" i="3"/>
  <c r="AY464" i="3"/>
  <c r="AY403" i="3"/>
  <c r="AY527" i="3"/>
  <c r="AY532" i="3"/>
  <c r="AY523" i="3"/>
  <c r="AY292" i="3"/>
  <c r="AY489" i="3"/>
  <c r="AY43" i="3"/>
  <c r="AY379" i="3"/>
  <c r="AY436" i="3"/>
  <c r="AY69" i="3"/>
  <c r="AY198" i="3"/>
  <c r="AY384" i="3"/>
  <c r="AY449" i="3"/>
  <c r="AY158" i="3"/>
  <c r="AY207" i="3"/>
  <c r="AY42" i="3"/>
  <c r="AY168" i="3"/>
  <c r="AY366" i="3"/>
  <c r="AY139" i="3"/>
  <c r="AY252" i="3"/>
  <c r="AY428" i="3"/>
  <c r="AY245" i="3"/>
  <c r="AY342" i="3"/>
  <c r="AY513" i="3"/>
  <c r="AY553" i="3"/>
  <c r="AY60" i="3"/>
  <c r="AY170" i="3"/>
  <c r="AY299" i="3"/>
  <c r="AY246" i="3"/>
  <c r="AY357" i="3"/>
  <c r="AY41" i="3"/>
  <c r="AY114" i="3"/>
  <c r="AY377" i="3"/>
  <c r="AY491" i="3"/>
  <c r="AY414" i="3"/>
  <c r="AY561" i="3"/>
  <c r="AY16" i="3"/>
  <c r="AY237" i="3"/>
  <c r="AY269" i="3"/>
  <c r="AY535" i="3"/>
  <c r="AY68" i="3"/>
  <c r="AY117" i="3"/>
  <c r="AY365" i="3"/>
  <c r="AY130" i="3"/>
  <c r="AY308" i="3"/>
  <c r="AY516" i="3"/>
  <c r="AY496" i="3"/>
  <c r="AY132" i="3"/>
  <c r="AY412" i="3"/>
  <c r="AY326" i="3"/>
  <c r="AY105" i="3"/>
  <c r="AY162" i="3"/>
  <c r="AY238" i="3"/>
  <c r="AY72" i="3"/>
  <c r="AY370" i="3"/>
  <c r="AY406" i="3"/>
  <c r="AY543" i="3"/>
  <c r="AY65" i="3"/>
  <c r="AY137" i="3"/>
  <c r="AY380" i="3"/>
  <c r="AY312" i="3"/>
  <c r="AY458" i="3"/>
  <c r="AY423" i="3"/>
  <c r="AY14" i="3"/>
  <c r="AY542" i="3"/>
  <c r="BA6" i="3"/>
  <c r="AY46" i="3"/>
  <c r="AY135" i="3"/>
  <c r="AY264" i="3"/>
  <c r="AY362" i="3"/>
  <c r="AY456" i="3"/>
  <c r="AY517" i="3"/>
  <c r="AY91" i="3"/>
  <c r="AY184" i="3"/>
  <c r="AY119" i="3"/>
  <c r="AY224" i="3"/>
  <c r="AY338" i="3"/>
  <c r="AY416" i="3"/>
  <c r="AY511" i="3"/>
  <c r="AY142" i="3"/>
  <c r="AY385" i="3"/>
  <c r="AY492" i="3"/>
  <c r="AY17" i="3"/>
  <c r="AY548" i="3"/>
  <c r="AY203" i="3"/>
  <c r="AY383" i="3"/>
  <c r="AY421" i="3"/>
  <c r="AY39" i="3"/>
  <c r="AY272" i="3"/>
  <c r="AY474" i="3"/>
  <c r="AY567" i="3"/>
  <c r="AY267" i="3"/>
  <c r="AY305" i="3"/>
  <c r="AY434" i="3"/>
  <c r="AY515" i="3"/>
  <c r="AY79" i="3"/>
  <c r="AY301" i="3"/>
  <c r="AY485" i="3"/>
  <c r="AY568" i="3"/>
  <c r="AY164" i="3"/>
  <c r="AY351" i="3"/>
  <c r="AY521" i="3"/>
  <c r="AY83" i="3"/>
  <c r="AY155" i="3"/>
  <c r="AY131" i="3"/>
  <c r="AY268" i="3"/>
  <c r="AY103" i="3"/>
  <c r="AY183" i="3"/>
  <c r="AY319" i="3"/>
  <c r="AY529" i="3"/>
  <c r="AY217" i="3"/>
  <c r="AY463" i="3"/>
  <c r="AY544" i="3"/>
  <c r="AY92" i="3"/>
  <c r="AY33" i="3"/>
  <c r="AY165" i="3"/>
  <c r="AY278" i="3"/>
  <c r="AY219" i="3"/>
  <c r="BH6" i="3"/>
  <c r="AY202" i="3"/>
  <c r="AY259" i="3"/>
  <c r="AY333" i="3"/>
  <c r="AY472" i="3"/>
  <c r="AY411" i="3"/>
  <c r="AY571" i="3"/>
  <c r="AY18" i="3"/>
  <c r="AY486" i="3"/>
  <c r="AY355" i="3"/>
  <c r="BO6" i="3"/>
  <c r="AY182" i="3"/>
  <c r="AY239" i="3"/>
  <c r="AY93" i="3"/>
  <c r="AY226" i="3"/>
  <c r="AY454" i="3"/>
  <c r="AY518" i="3"/>
  <c r="AY112" i="3"/>
  <c r="AY147" i="3"/>
  <c r="AY116" i="3"/>
  <c r="AY417" i="3"/>
  <c r="AY84" i="3"/>
  <c r="AY134" i="3"/>
  <c r="AY373" i="3"/>
  <c r="AY161" i="3"/>
  <c r="AY324" i="3"/>
  <c r="AY580" i="3"/>
  <c r="AY514" i="3"/>
  <c r="AY37" i="3"/>
  <c r="AY282" i="3"/>
  <c r="AY345" i="3"/>
  <c r="AY471" i="3"/>
  <c r="AY442" i="3"/>
  <c r="AY407" i="3"/>
  <c r="AY524" i="3"/>
  <c r="BR6" i="3"/>
  <c r="AY99" i="3"/>
  <c r="AY192" i="3"/>
  <c r="AY127" i="3"/>
  <c r="AY232" i="3"/>
  <c r="AY346" i="3"/>
  <c r="AY424" i="3"/>
  <c r="AY560" i="3"/>
  <c r="AY55" i="3"/>
  <c r="AY179" i="3"/>
  <c r="AY277" i="3"/>
  <c r="AY391" i="3"/>
  <c r="AY306" i="3"/>
  <c r="AY429" i="3"/>
  <c r="AY586" i="3"/>
  <c r="AY122" i="3"/>
  <c r="AY352" i="3"/>
  <c r="AY450" i="3"/>
  <c r="AY564" i="3"/>
  <c r="AY563" i="3"/>
  <c r="AY120" i="3"/>
  <c r="AY347" i="3"/>
  <c r="AY13" i="3"/>
  <c r="AY195" i="3"/>
  <c r="AY208" i="3"/>
  <c r="AY432" i="3"/>
  <c r="AY21" i="3"/>
  <c r="AY250" i="3"/>
  <c r="AY320" i="3"/>
  <c r="AY415" i="3"/>
  <c r="AY551" i="3"/>
  <c r="AY62" i="3"/>
  <c r="AY248" i="3"/>
  <c r="AY451" i="3"/>
  <c r="AY107" i="3"/>
  <c r="AY293" i="3"/>
  <c r="AY307" i="3"/>
  <c r="AY566" i="3"/>
  <c r="AY51" i="3"/>
  <c r="AY124" i="3"/>
  <c r="AY281" i="3"/>
  <c r="AY236" i="3"/>
  <c r="AY67" i="3"/>
  <c r="AY123" i="3"/>
  <c r="AY318" i="3"/>
  <c r="AY106" i="3"/>
  <c r="AY395" i="3"/>
  <c r="AY452" i="3"/>
  <c r="AY569" i="3"/>
  <c r="AY77" i="3"/>
  <c r="AY206" i="3"/>
  <c r="AY149" i="3"/>
  <c r="AY263" i="3"/>
  <c r="AY392" i="3"/>
  <c r="BJ6" i="3"/>
  <c r="AY197" i="3"/>
  <c r="AY274" i="3"/>
  <c r="AY317" i="3"/>
  <c r="AY457" i="3"/>
  <c r="AY581" i="3"/>
  <c r="AY546" i="3"/>
  <c r="AY171" i="3"/>
  <c r="AY444" i="3"/>
  <c r="AY311" i="3"/>
  <c r="AY555" i="3"/>
  <c r="AY178" i="3"/>
  <c r="AY254" i="3"/>
  <c r="AY57" i="3"/>
  <c r="AY393" i="3"/>
  <c r="AY422" i="3"/>
  <c r="AY559" i="3"/>
  <c r="AY81" i="3"/>
  <c r="AY220" i="3"/>
  <c r="AY229" i="3"/>
  <c r="AY557" i="3"/>
  <c r="AY52" i="3"/>
  <c r="AY291" i="3"/>
  <c r="AY368" i="3"/>
  <c r="AY121" i="3"/>
  <c r="AY483" i="3"/>
  <c r="AY572" i="3"/>
  <c r="AY582" i="3"/>
  <c r="AY194" i="3"/>
  <c r="AY251" i="3"/>
  <c r="AY329" i="3"/>
  <c r="AY484" i="3"/>
  <c r="AY426" i="3"/>
  <c r="AY506" i="3"/>
  <c r="AY502" i="3"/>
  <c r="AY570" i="3"/>
  <c r="AY63" i="3"/>
  <c r="AY187" i="3"/>
  <c r="AY285" i="3"/>
  <c r="AY378" i="3"/>
  <c r="AY314" i="3"/>
  <c r="AY437" i="3"/>
  <c r="BL6" i="3"/>
  <c r="AY70" i="3"/>
  <c r="AY148" i="3"/>
  <c r="AY241" i="3"/>
  <c r="AY367" i="3"/>
  <c r="AY490" i="3"/>
  <c r="BD6" i="3"/>
  <c r="AY498" i="3"/>
  <c r="AY298" i="3"/>
  <c r="AY336" i="3"/>
  <c r="AY575" i="3"/>
  <c r="AY47" i="3"/>
  <c r="AY296" i="3"/>
  <c r="AY330" i="3"/>
  <c r="AY576" i="3"/>
  <c r="AY175" i="3"/>
  <c r="AY375" i="3"/>
  <c r="AY15" i="3"/>
  <c r="AY174" i="3"/>
  <c r="AY396" i="3"/>
  <c r="AY476" i="3"/>
  <c r="AY477" i="3"/>
  <c r="AY54" i="3"/>
  <c r="AY394" i="3"/>
  <c r="AY545" i="3"/>
  <c r="AY337" i="3"/>
  <c r="AY136" i="3"/>
  <c r="AY30" i="3"/>
  <c r="AY304" i="3"/>
  <c r="AY448" i="3"/>
  <c r="AY38" i="3"/>
  <c r="AY376" i="3"/>
  <c r="AY578" i="3"/>
  <c r="AY468" i="3"/>
  <c r="AY96" i="3"/>
  <c r="AY88" i="3"/>
  <c r="AY343" i="3"/>
  <c r="AY525" i="3"/>
  <c r="AY126" i="3"/>
  <c r="AY75" i="3"/>
  <c r="AY316" i="3"/>
  <c r="AY374" i="3"/>
  <c r="AY76" i="3"/>
  <c r="AY300" i="3"/>
  <c r="AY371" i="3"/>
  <c r="D14" i="12"/>
  <c r="D17" i="12" s="1"/>
  <c r="C17" i="12" s="1"/>
  <c r="L18" i="9"/>
  <c r="D3" i="33"/>
  <c r="M18" i="9"/>
  <c r="B118" i="9" s="1"/>
  <c r="B1" i="74" s="1"/>
  <c r="H6" i="3"/>
  <c r="AC6" i="3"/>
  <c r="F22" i="69"/>
  <c r="F41" i="69" s="1"/>
  <c r="F24" i="15"/>
  <c r="C24" i="15" s="1"/>
  <c r="F22" i="68"/>
  <c r="F41" i="68" s="1"/>
  <c r="F22" i="11"/>
  <c r="C24" i="11" s="1"/>
  <c r="F24" i="67"/>
  <c r="C24" i="67" s="1"/>
  <c r="D116" i="43"/>
  <c r="R50"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0" i="11"/>
  <c r="C10" i="11" s="1"/>
  <c r="D20" i="12"/>
  <c r="C20" i="12" s="1"/>
  <c r="P14" i="1"/>
  <c r="P16" i="1" s="1"/>
  <c r="C11" i="12" s="1"/>
  <c r="N16" i="1"/>
  <c r="F34" i="68" s="1"/>
  <c r="C36" i="68" s="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26" i="12"/>
  <c r="D25" i="12" s="1"/>
  <c r="D10" i="69"/>
  <c r="C34" i="69"/>
  <c r="D10" i="68"/>
  <c r="C14" i="67"/>
  <c r="C17" i="67"/>
  <c r="C17" i="15"/>
  <c r="C66" i="67" l="1"/>
  <c r="D19" i="6"/>
  <c r="D29" i="6"/>
  <c r="D22" i="6"/>
  <c r="E61" i="40"/>
  <c r="D6" i="6"/>
  <c r="D12" i="6"/>
  <c r="M19" i="9"/>
  <c r="C118" i="9" s="1"/>
  <c r="B2" i="74" s="1"/>
  <c r="D7" i="74" s="1"/>
  <c r="C26" i="69"/>
  <c r="D22" i="69" s="1"/>
  <c r="E6" i="3"/>
  <c r="D28" i="6"/>
  <c r="D30" i="6" s="1"/>
  <c r="D5" i="6"/>
  <c r="H24" i="6"/>
  <c r="R24" i="6" s="1"/>
  <c r="R11" i="1" s="1"/>
  <c r="L19" i="9"/>
  <c r="D14" i="6"/>
  <c r="D20" i="6"/>
  <c r="D15" i="6"/>
  <c r="D13" i="6"/>
  <c r="D23" i="6"/>
  <c r="H21" i="6"/>
  <c r="R21" i="6" s="1"/>
  <c r="R8" i="1" s="1"/>
  <c r="D10" i="6"/>
  <c r="D8" i="6"/>
  <c r="D24" i="6"/>
  <c r="D25" i="6"/>
  <c r="C44" i="69"/>
  <c r="D41" i="69" s="1"/>
  <c r="H26" i="6"/>
  <c r="D11" i="6"/>
  <c r="C18" i="4"/>
  <c r="A10" i="51" s="1"/>
  <c r="B9" i="72" s="1"/>
  <c r="H22" i="6"/>
  <c r="R22" i="6" s="1"/>
  <c r="R9" i="1" s="1"/>
  <c r="D9" i="6"/>
  <c r="D26" i="6"/>
  <c r="H25" i="6"/>
  <c r="C26" i="68"/>
  <c r="D22" i="68" s="1"/>
  <c r="C26" i="11"/>
  <c r="D22" i="11" s="1"/>
  <c r="C25" i="11"/>
  <c r="C23" i="11"/>
  <c r="C44" i="11"/>
  <c r="D41" i="11" s="1"/>
  <c r="C44" i="68"/>
  <c r="D41" i="68" s="1"/>
  <c r="C16" i="71"/>
  <c r="D17" i="71"/>
  <c r="C18" i="67"/>
  <c r="C15" i="67"/>
  <c r="H23" i="6"/>
  <c r="R23" i="6" s="1"/>
  <c r="R10" i="1" s="1"/>
  <c r="C30" i="43"/>
  <c r="B2" i="43" s="1"/>
  <c r="B3" i="43" s="1"/>
  <c r="C31" i="43"/>
  <c r="H20" i="6"/>
  <c r="C38" i="69"/>
  <c r="C35" i="69"/>
  <c r="E12" i="70"/>
  <c r="F34" i="11"/>
  <c r="F11" i="12"/>
  <c r="S16" i="1"/>
  <c r="E9" i="70"/>
  <c r="E2" i="70" s="1"/>
  <c r="AR9" i="1"/>
  <c r="AQ9" i="1"/>
  <c r="T9" i="1"/>
  <c r="AQ11" i="1"/>
  <c r="AR11" i="1"/>
  <c r="T11" i="1"/>
  <c r="AR12" i="1"/>
  <c r="T12" i="1"/>
  <c r="AQ12" i="1"/>
  <c r="AQ10" i="1"/>
  <c r="T10" i="1"/>
  <c r="AR10" i="1"/>
  <c r="AR7" i="1"/>
  <c r="AQ7" i="1"/>
  <c r="T7" i="1"/>
  <c r="M27" i="6"/>
  <c r="I19" i="6"/>
  <c r="C15" i="12"/>
  <c r="C12" i="12"/>
  <c r="D8" i="74"/>
  <c r="C10" i="69"/>
  <c r="C8" i="69" s="1"/>
  <c r="C5" i="69" s="1"/>
  <c r="D19" i="69"/>
  <c r="F50" i="69"/>
  <c r="F50" i="11"/>
  <c r="F50" i="68"/>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E6" i="76"/>
  <c r="C14" i="15"/>
  <c r="B6" i="76"/>
  <c r="C8" i="68" l="1"/>
  <c r="C18" i="12"/>
  <c r="C22" i="11"/>
  <c r="C31" i="11" s="1"/>
  <c r="C4" i="52"/>
  <c r="B45" i="72" s="1"/>
  <c r="R25" i="6"/>
  <c r="R12" i="1" s="1"/>
  <c r="D27" i="6"/>
  <c r="D31" i="6" s="1"/>
  <c r="I6" i="6" s="1"/>
  <c r="A7" i="51"/>
  <c r="B7" i="72" s="1"/>
  <c r="R26" i="6"/>
  <c r="D16" i="6"/>
  <c r="R20" i="6"/>
  <c r="R7" i="1" s="1"/>
  <c r="C15" i="71"/>
  <c r="T16" i="71"/>
  <c r="D16" i="71"/>
  <c r="U16" i="71" s="1"/>
  <c r="C19" i="67"/>
  <c r="C20" i="67" s="1"/>
  <c r="C26" i="67" s="1"/>
  <c r="T16" i="1"/>
  <c r="C18" i="15"/>
  <c r="C15" i="15"/>
  <c r="C38" i="68"/>
  <c r="C35" i="68"/>
  <c r="C36" i="11"/>
  <c r="C37" i="11"/>
  <c r="C34" i="11"/>
  <c r="C14" i="12"/>
  <c r="C16" i="12" s="1"/>
  <c r="H19" i="6"/>
  <c r="S19" i="6"/>
  <c r="S27" i="6" s="1"/>
  <c r="I27" i="6"/>
  <c r="C19" i="68"/>
  <c r="D37" i="68"/>
  <c r="C37" i="68" s="1"/>
  <c r="C19" i="69"/>
  <c r="C24" i="69" s="1"/>
  <c r="D37" i="69"/>
  <c r="C37" i="69" s="1"/>
  <c r="C33" i="69" s="1"/>
  <c r="I5" i="6"/>
  <c r="C23" i="69"/>
  <c r="E2" i="76"/>
  <c r="B2" i="76"/>
  <c r="I69" i="39"/>
  <c r="J67" i="39"/>
  <c r="I63" i="40"/>
  <c r="H65" i="40"/>
  <c r="I58" i="21"/>
  <c r="J58" i="21" s="1"/>
  <c r="K58" i="21" s="1"/>
  <c r="L58" i="21" s="1"/>
  <c r="M58" i="21" s="1"/>
  <c r="N58" i="21" s="1"/>
  <c r="O58" i="21" s="1"/>
  <c r="H7" i="21" s="1"/>
  <c r="J48" i="35"/>
  <c r="C21" i="12" l="1"/>
  <c r="C22" i="12" s="1"/>
  <c r="C14" i="71"/>
  <c r="D15"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J65" i="40"/>
  <c r="K63" i="40"/>
  <c r="I52" i="21"/>
  <c r="J52" i="21" s="1"/>
  <c r="U7" i="35"/>
  <c r="AB7" i="35"/>
  <c r="T38" i="35" s="1"/>
  <c r="G38" i="35" s="1"/>
  <c r="E48" i="21"/>
  <c r="G52" i="21"/>
  <c r="H52" i="21" s="1"/>
  <c r="G53" i="21"/>
  <c r="H53" i="21" s="1"/>
  <c r="F7" i="35"/>
  <c r="M21" i="15"/>
  <c r="M21" i="67"/>
  <c r="F35" i="15"/>
  <c r="F35" i="67"/>
  <c r="AC7" i="35" l="1"/>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1" i="71" l="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6"/>
  <c r="D2" i="35"/>
  <c r="D2" i="37"/>
  <c r="L51" i="15"/>
  <c r="D2" i="34"/>
  <c r="C8" i="71" l="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9" i="1"/>
  <c r="AO8" i="1"/>
  <c r="AO7" i="1"/>
  <c r="AO10" i="1"/>
  <c r="AO11" i="1"/>
  <c r="AO12" i="1"/>
  <c r="C7" i="71" l="1"/>
  <c r="D8" i="71"/>
  <c r="L46" i="15"/>
  <c r="B2" i="15" s="1"/>
  <c r="C8" i="12" s="1"/>
  <c r="C4" i="12"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C31" i="12" l="1"/>
  <c r="C23" i="12"/>
  <c r="B6" i="70"/>
  <c r="B2" i="70" s="1"/>
  <c r="B3" i="70" s="1"/>
  <c r="B3" i="15"/>
  <c r="C6" i="12" s="1"/>
  <c r="D7" i="71"/>
  <c r="C6" i="7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27" i="12" l="1"/>
  <c r="C25" i="12" s="1"/>
  <c r="C30" i="12"/>
  <c r="C28" i="12" s="1"/>
  <c r="D6" i="71"/>
  <c r="C5" i="71"/>
  <c r="D5" i="71" s="1"/>
  <c r="M24" i="43" s="1"/>
  <c r="C42" i="40"/>
  <c r="C43" i="40"/>
  <c r="E47" i="40"/>
  <c r="F47" i="40" s="1"/>
  <c r="E46" i="40"/>
  <c r="F46" i="40" s="1"/>
  <c r="I47" i="40"/>
  <c r="J47" i="40" s="1"/>
  <c r="C32" i="12" l="1"/>
  <c r="B2" i="12" s="1"/>
  <c r="B3" i="12" s="1"/>
  <c r="B58" i="40"/>
  <c r="F58" i="40" s="1"/>
  <c r="B54" i="40"/>
  <c r="F54" i="40" s="1"/>
  <c r="B53" i="40"/>
  <c r="F53" i="40" s="1"/>
  <c r="B59" i="40"/>
  <c r="F59" i="40" s="1"/>
  <c r="B52" i="40"/>
  <c r="F52" i="40" s="1"/>
  <c r="B56" i="40"/>
  <c r="F56" i="40" s="1"/>
  <c r="B60" i="40"/>
  <c r="F60" i="40" s="1"/>
  <c r="B57" i="40"/>
  <c r="F57" i="40" s="1"/>
  <c r="B51" i="40"/>
  <c r="F51" i="40" s="1"/>
  <c r="D19" i="9"/>
  <c r="D20" i="9"/>
  <c r="F61" i="40" l="1"/>
  <c r="B2" i="40" s="1"/>
  <c r="D102" i="9"/>
  <c r="D21" i="9"/>
  <c r="D103" i="9"/>
  <c r="B3" i="40" l="1"/>
  <c r="C6" i="68"/>
  <c r="C7" i="68" l="1"/>
  <c r="C5" i="68" s="1"/>
  <c r="C23" i="68" l="1"/>
  <c r="C20" i="68"/>
  <c r="C28" i="68" l="1"/>
  <c r="C27" i="68" s="1"/>
  <c r="C25" i="68"/>
  <c r="C22" i="68" s="1"/>
  <c r="C31" i="68" l="1"/>
  <c r="C52" i="68" s="1"/>
  <c r="B2" i="68" s="1"/>
  <c r="C19" i="9"/>
  <c r="C57" i="68" l="1"/>
  <c r="C56" i="68" s="1"/>
  <c r="C102" i="9"/>
  <c r="C21" i="9"/>
  <c r="G19" i="9"/>
  <c r="D22" i="9"/>
  <c r="B3" i="68"/>
  <c r="D35" i="9"/>
  <c r="D34" i="9"/>
  <c r="C20" i="9"/>
  <c r="C103" i="9" l="1"/>
  <c r="G20" i="9"/>
  <c r="G21" i="9"/>
  <c r="C32" i="9"/>
  <c r="C35" i="9" l="1"/>
  <c r="H118" i="9"/>
  <c r="H119" i="9" l="1"/>
  <c r="H5" i="52" s="1"/>
  <c r="H4" i="52"/>
  <c r="C104" i="9"/>
  <c r="H101" i="9"/>
  <c r="D14" i="74" s="1"/>
  <c r="G14" i="74" s="1"/>
  <c r="B6" i="74" s="1"/>
  <c r="D6" i="74" s="1"/>
  <c r="I118" i="9"/>
  <c r="C34" i="9"/>
  <c r="D118" i="9" s="1"/>
  <c r="F118" i="9"/>
  <c r="E14" i="74" l="1"/>
  <c r="F14" i="74"/>
  <c r="B5" i="74"/>
  <c r="D5" i="74" s="1"/>
  <c r="H102" i="9"/>
  <c r="I4" i="52"/>
  <c r="C105" i="9"/>
  <c r="D5" i="53"/>
  <c r="H107" i="9"/>
  <c r="D45" i="9"/>
  <c r="M48" i="9"/>
  <c r="G118" i="9"/>
  <c r="G4" i="52" s="1"/>
  <c r="B52" i="72" s="1"/>
  <c r="F4" i="52"/>
  <c r="B51" i="72" s="1"/>
  <c r="F119" i="9"/>
  <c r="F5" i="52" s="1"/>
  <c r="B53" i="72" s="1"/>
  <c r="D119" i="9"/>
  <c r="D5" i="52" s="1"/>
  <c r="B49" i="72" s="1"/>
  <c r="D4" i="52"/>
  <c r="B47" i="72" s="1"/>
  <c r="C72" i="9" l="1"/>
  <c r="D52" i="9"/>
  <c r="C64" i="9"/>
  <c r="C63" i="9" s="1"/>
  <c r="C67" i="9" s="1"/>
  <c r="C93" i="9"/>
  <c r="C86" i="9" s="1"/>
  <c r="D55" i="9"/>
  <c r="M53" i="9" s="1"/>
  <c r="C85" i="9"/>
  <c r="C78" i="9"/>
  <c r="C73" i="9" s="1"/>
  <c r="D53" i="9"/>
  <c r="D13" i="53"/>
  <c r="H108" i="9"/>
  <c r="M49" i="9"/>
  <c r="D122" i="9"/>
  <c r="D7" i="53"/>
  <c r="B21" i="72" s="1"/>
  <c r="C5" i="74"/>
  <c r="D6" i="53"/>
  <c r="B22" i="72" s="1"/>
  <c r="B20" i="72"/>
  <c r="E118" i="9"/>
  <c r="E4" i="52" s="1"/>
  <c r="B48" i="72" s="1"/>
  <c r="C79" i="9" l="1"/>
  <c r="C80" i="9" s="1"/>
  <c r="E80" i="9" s="1"/>
  <c r="E81" i="9" s="1"/>
  <c r="D8" i="52"/>
  <c r="D123" i="9"/>
  <c r="D9" i="52" s="1"/>
  <c r="D59" i="9"/>
  <c r="M55" i="9" s="1"/>
  <c r="C68" i="9"/>
  <c r="D54" i="9" s="1"/>
  <c r="L68" i="9"/>
  <c r="M68" i="9" s="1"/>
  <c r="L67" i="9"/>
  <c r="M67" i="9" s="1"/>
  <c r="L64" i="9"/>
  <c r="M64" i="9" s="1"/>
  <c r="L66" i="9"/>
  <c r="M66" i="9" s="1"/>
  <c r="L65" i="9"/>
  <c r="M65" i="9" s="1"/>
  <c r="L63" i="9"/>
  <c r="M63" i="9" s="1"/>
  <c r="D15" i="53"/>
  <c r="B31" i="72" s="1"/>
  <c r="C6" i="74"/>
  <c r="C95" i="9"/>
  <c r="B30" i="72"/>
  <c r="D14" i="53"/>
  <c r="B32" i="72" s="1"/>
  <c r="C96" i="9" l="1"/>
  <c r="E96" i="9" s="1"/>
  <c r="E97" i="9" s="1"/>
  <c r="M69" i="9"/>
  <c r="N69" i="9" s="1"/>
  <c r="C81" i="9"/>
  <c r="C97" i="9" l="1"/>
  <c r="D58" i="9" s="1"/>
  <c r="D56" i="9" s="1"/>
  <c r="M54" i="9" s="1"/>
  <c r="N57" i="9" s="1"/>
  <c r="N58" i="9" s="1"/>
  <c r="N59" i="9" l="1"/>
  <c r="N60" i="9" s="1"/>
  <c r="P57" i="9"/>
  <c r="N6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sharedStrings.xml><?xml version="1.0" encoding="utf-8"?>
<sst xmlns="http://schemas.openxmlformats.org/spreadsheetml/2006/main" count="7959" uniqueCount="3496">
  <si>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</si>
  <si>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</si>
  <si>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</si>
  <si>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</si>
  <si>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</si>
  <si>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</si>
  <si>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</si>
  <si>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</si>
  <si>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</si>
  <si>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</si>
  <si>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</si>
  <si>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</si>
  <si>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</si>
  <si>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</si>
  <si>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</si>
  <si>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</si>
  <si>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</si>
  <si>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</si>
  <si>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</si>
  <si>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</si>
  <si>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</si>
  <si>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</si>
  <si>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</si>
  <si>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</si>
  <si>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</si>
  <si>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</si>
  <si>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</si>
  <si>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</si>
  <si>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</si>
  <si>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</si>
  <si>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</si>
  <si>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</si>
  <si>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</si>
  <si>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</si>
  <si>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</si>
  <si>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</si>
  <si>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</si>
  <si>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</si>
  <si>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</si>
  <si>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</si>
  <si>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</si>
  <si>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</si>
  <si>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</si>
  <si>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</si>
  <si>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</si>
  <si>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</si>
  <si>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</si>
  <si>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</si>
  <si>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</si>
  <si>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</si>
  <si>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</si>
  <si>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</si>
  <si>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</si>
  <si>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</si>
  <si>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</si>
  <si>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</si>
  <si>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</si>
  <si>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</si>
  <si>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</si>
  <si>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</si>
  <si>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</si>
  <si>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</si>
  <si>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</si>
  <si>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</si>
  <si>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</si>
  <si>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</si>
  <si>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</si>
  <si>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</si>
  <si>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</si>
  <si>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</si>
  <si>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</si>
  <si>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</si>
  <si>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</si>
  <si>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</si>
  <si>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</si>
  <si>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</si>
  <si>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</si>
  <si>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</si>
  <si>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</si>
  <si>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</si>
  <si>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</si>
  <si>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</si>
  <si>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</si>
  <si>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</si>
  <si>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</si>
  <si>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</si>
  <si>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</si>
  <si>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</si>
  <si>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</si>
  <si>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</si>
  <si>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</si>
  <si>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</si>
  <si>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</si>
  <si>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</si>
  <si>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</si>
  <si>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</si>
  <si>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</si>
  <si>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</si>
  <si>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</si>
  <si>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</si>
  <si>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</si>
  <si>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</si>
  <si>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</si>
  <si>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</si>
  <si>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</si>
  <si>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</si>
  <si>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</si>
  <si>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</si>
  <si>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</si>
  <si>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</si>
  <si>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</si>
  <si>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</si>
  <si>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</si>
  <si>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</si>
  <si>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</si>
  <si>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</si>
  <si>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</si>
  <si>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</si>
  <si>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</si>
  <si>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</si>
  <si>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</si>
  <si>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</si>
  <si>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</si>
  <si>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</si>
  <si>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</si>
  <si>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</si>
  <si>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</si>
  <si>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</si>
  <si>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</si>
  <si>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</si>
  <si>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</si>
  <si>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</si>
  <si>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</si>
  <si>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</si>
  <si>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</si>
  <si>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</si>
  <si>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</si>
  <si>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</si>
  <si>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</si>
  <si>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</si>
  <si>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</si>
  <si>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</si>
  <si>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</si>
  <si>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</si>
  <si>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</si>
  <si>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</si>
  <si>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</si>
  <si>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</si>
  <si>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</si>
  <si>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</si>
  <si>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</si>
  <si>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</si>
  <si>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</si>
  <si>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</si>
  <si>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</si>
  <si>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</si>
  <si>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</si>
  <si>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</si>
  <si>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</si>
  <si>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</si>
  <si>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</si>
  <si>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</si>
  <si>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</si>
  <si>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</si>
  <si>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</si>
  <si>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</si>
  <si>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</si>
  <si>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</si>
  <si>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</si>
  <si>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</si>
  <si>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</si>
  <si>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</si>
  <si>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</si>
  <si>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</si>
  <si>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</si>
  <si>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</si>
  <si>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</si>
  <si>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</si>
  <si>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</si>
  <si>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</si>
  <si>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</si>
  <si>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</si>
  <si>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</si>
  <si>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</si>
  <si>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</si>
  <si>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</si>
  <si>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</si>
  <si>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</si>
  <si>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</si>
  <si>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</si>
  <si>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</si>
  <si>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</si>
  <si>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</si>
  <si>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</si>
  <si>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</si>
  <si>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</si>
  <si>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</si>
  <si>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</si>
  <si>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</si>
  <si>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</si>
  <si>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</si>
  <si>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</si>
  <si>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</si>
  <si>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</si>
  <si>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</si>
  <si>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</si>
  <si>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</si>
  <si>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</si>
  <si>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</si>
  <si>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</si>
  <si>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</si>
  <si>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</si>
  <si>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</si>
  <si>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</si>
  <si>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</si>
  <si>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</si>
  <si>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</si>
  <si>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</si>
  <si>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</si>
  <si>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</si>
  <si>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</si>
  <si>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</si>
  <si>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</si>
  <si>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</si>
  <si>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</si>
  <si>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</si>
  <si>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</si>
  <si>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</si>
  <si>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</si>
  <si>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</si>
  <si>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</si>
  <si>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</si>
  <si>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</si>
  <si>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</si>
  <si>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</si>
  <si>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</si>
  <si>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</si>
  <si>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</si>
  <si>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</si>
  <si>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</si>
  <si>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</si>
  <si>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</si>
  <si>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</si>
  <si>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</si>
  <si>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</si>
  <si>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</si>
  <si>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</si>
  <si>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</si>
  <si>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</si>
  <si>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</si>
  <si>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</si>
  <si>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</si>
  <si>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</si>
  <si>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</si>
  <si>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</si>
  <si>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</si>
  <si>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</si>
  <si>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</si>
  <si>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</si>
  <si>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</si>
  <si>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</si>
  <si>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</si>
  <si>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</si>
  <si>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</si>
  <si>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</si>
  <si>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</si>
  <si>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</si>
  <si>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</si>
  <si>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</si>
  <si>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</si>
  <si>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</si>
  <si>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</si>
  <si>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</si>
  <si>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</si>
  <si>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</si>
  <si>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</si>
  <si>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</si>
  <si>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</si>
  <si>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</si>
  <si>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</si>
  <si>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</si>
  <si>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</si>
  <si>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</si>
  <si>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</si>
  <si>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</si>
  <si>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</si>
  <si>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</si>
  <si>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</si>
  <si>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</si>
  <si>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</si>
  <si>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</si>
  <si>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</si>
  <si>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</si>
  <si>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</si>
  <si>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</si>
  <si>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</si>
  <si>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</si>
  <si>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</si>
  <si>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</si>
  <si>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</si>
  <si>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</si>
  <si>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</si>
  <si>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</si>
  <si>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</si>
  <si>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</si>
  <si>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</si>
  <si>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</si>
  <si>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</si>
  <si>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</si>
  <si>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</si>
  <si>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</si>
  <si>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</si>
  <si>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</si>
  <si>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</si>
  <si>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</si>
  <si>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</si>
  <si>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</si>
  <si>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</si>
  <si>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</si>
  <si>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</si>
  <si>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</si>
  <si>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</si>
  <si>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</si>
  <si>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</si>
  <si>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</si>
  <si>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</si>
  <si>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</si>
  <si>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</si>
  <si>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</si>
  <si>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</si>
  <si>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</si>
  <si>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</si>
  <si>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</si>
  <si>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</si>
  <si>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</si>
  <si>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</si>
  <si>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</si>
  <si>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</si>
  <si>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</si>
  <si>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</si>
  <si>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</si>
  <si>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</si>
  <si>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</si>
  <si>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</si>
  <si>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</si>
  <si>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</si>
  <si>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</si>
  <si>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</si>
  <si>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</si>
  <si>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</si>
  <si>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</si>
  <si>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</si>
  <si>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</si>
  <si>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</si>
  <si>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</si>
  <si>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</si>
  <si>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</si>
  <si>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</si>
  <si>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</si>
  <si>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</si>
  <si>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</si>
  <si>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</si>
  <si>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</si>
  <si>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</si>
  <si>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</si>
  <si>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</si>
  <si>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</si>
  <si>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</si>
  <si>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</si>
  <si>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</si>
  <si>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</si>
  <si>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</si>
  <si>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</si>
  <si>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</si>
  <si>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</si>
  <si>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</si>
  <si>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</si>
  <si>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</si>
  <si>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</si>
  <si>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</si>
  <si>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</si>
  <si>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</si>
  <si>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</si>
  <si>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</si>
  <si>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</si>
  <si>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</si>
  <si>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</si>
  <si>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</si>
  <si>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</si>
  <si>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</si>
  <si>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</si>
  <si>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</si>
  <si>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</si>
  <si>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</si>
  <si>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</si>
  <si>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</si>
  <si>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</si>
  <si>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</si>
  <si>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</si>
  <si>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</si>
  <si>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</si>
  <si>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</si>
  <si>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</si>
  <si>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</si>
  <si>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</si>
  <si>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</si>
  <si>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</si>
  <si>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</si>
  <si>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</si>
  <si>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</si>
  <si>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</si>
  <si>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</si>
  <si>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</si>
  <si>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</si>
  <si>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</si>
  <si>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</si>
  <si>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</si>
  <si>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</si>
  <si>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</si>
  <si>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</si>
  <si>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</si>
  <si>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</si>
  <si>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</si>
  <si>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</si>
  <si>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</si>
  <si>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</si>
  <si>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</si>
  <si>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</si>
  <si>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</si>
  <si>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</si>
  <si>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</si>
  <si>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</si>
  <si>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</si>
  <si>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</si>
  <si>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</si>
  <si>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</si>
  <si>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</si>
  <si>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</si>
  <si>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</si>
  <si>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</si>
  <si>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</si>
  <si>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</si>
  <si>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</si>
  <si>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</si>
  <si>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</si>
  <si>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</si>
  <si>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</si>
  <si>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</si>
  <si>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</si>
  <si>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</si>
  <si>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</si>
  <si>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</si>
  <si>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</si>
  <si>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</si>
  <si>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</si>
  <si>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</si>
  <si>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</si>
  <si>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</si>
  <si>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</si>
  <si>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</si>
  <si>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</si>
  <si>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</si>
  <si>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</si>
  <si>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</si>
  <si>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</si>
  <si>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</si>
  <si>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</si>
  <si>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</si>
  <si>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</si>
  <si>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</si>
  <si>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</si>
  <si>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</si>
  <si>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</si>
  <si>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</si>
  <si>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</si>
  <si>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</si>
  <si>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</si>
  <si>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</si>
  <si>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</si>
  <si>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</si>
  <si>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</si>
  <si>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</si>
  <si>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</si>
  <si>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</si>
  <si>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</si>
  <si>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</si>
  <si>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</si>
  <si>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</si>
  <si>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</si>
  <si>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</si>
  <si>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</si>
  <si>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</si>
  <si>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</si>
  <si>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</si>
  <si>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</si>
  <si>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</si>
  <si>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</si>
  <si>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</si>
  <si>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</si>
  <si>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</si>
  <si>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</si>
  <si>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</si>
  <si>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</si>
  <si>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</si>
  <si>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</si>
  <si>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</si>
  <si>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</si>
  <si>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</si>
  <si>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</si>
  <si>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</si>
  <si>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</si>
  <si>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</si>
  <si>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</si>
  <si>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</si>
  <si>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</si>
  <si>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</si>
  <si>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</si>
  <si>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</si>
  <si>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</si>
  <si>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</si>
  <si>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</si>
  <si>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</si>
  <si>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</si>
  <si>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</si>
  <si>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</si>
  <si>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</si>
  <si>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</si>
  <si>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</si>
  <si>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</si>
  <si>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</si>
  <si>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</si>
  <si>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</si>
  <si>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</si>
  <si>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</si>
  <si>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</si>
  <si>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</si>
  <si>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</si>
  <si>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</si>
  <si>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</si>
  <si>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</si>
  <si>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</si>
  <si>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</si>
  <si>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</si>
  <si>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</si>
  <si>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</si>
  <si>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</si>
  <si>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</si>
  <si>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</si>
  <si>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</si>
  <si>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</si>
  <si>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</si>
  <si>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</si>
  <si>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</si>
  <si>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</si>
  <si>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</si>
  <si>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</si>
  <si>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</si>
  <si>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</si>
  <si>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</si>
  <si>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</si>
  <si>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</si>
  <si>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</si>
  <si>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</si>
  <si>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</si>
  <si>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</si>
  <si>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</si>
  <si>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</si>
  <si>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</si>
  <si>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</si>
  <si>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</si>
  <si>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</si>
  <si>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</si>
  <si>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</si>
  <si>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</si>
  <si>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</si>
  <si>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</si>
  <si>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</si>
  <si>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</si>
  <si>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</si>
  <si>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</si>
  <si>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</si>
  <si>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</si>
  <si>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</si>
  <si>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</si>
  <si>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</si>
  <si>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</si>
  <si>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</si>
  <si>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</si>
  <si>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</si>
  <si>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</si>
  <si>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</si>
  <si>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</si>
  <si>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</si>
  <si>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</si>
  <si>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</si>
  <si>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</si>
  <si>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</si>
  <si>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</si>
  <si>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</si>
  <si>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</si>
  <si>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</si>
  <si>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</si>
  <si>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</si>
  <si>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</si>
  <si>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</si>
  <si>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</si>
  <si>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</si>
  <si>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</si>
  <si>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</si>
  <si>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</si>
  <si>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</si>
  <si>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</si>
  <si>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</si>
  <si>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</si>
  <si>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</si>
  <si>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</si>
  <si>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</si>
  <si>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</si>
  <si>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</si>
  <si>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</si>
  <si>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</si>
  <si>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</si>
  <si>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</si>
  <si>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</si>
  <si>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</si>
  <si>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</si>
  <si>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</si>
  <si>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</si>
  <si>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</si>
  <si>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</si>
  <si>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</si>
  <si>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</si>
  <si>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</si>
  <si>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</si>
  <si>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</si>
  <si>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</si>
  <si>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</si>
  <si>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</si>
  <si>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</si>
  <si>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</si>
  <si>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</si>
  <si>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</si>
  <si>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</si>
  <si>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</si>
  <si>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</si>
  <si>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</si>
  <si>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</si>
  <si>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</si>
  <si>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</si>
  <si>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</si>
  <si>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</si>
  <si>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</si>
  <si>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</si>
  <si>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</si>
  <si>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</si>
  <si>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</si>
  <si>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</si>
  <si>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</si>
  <si>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</si>
  <si>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</si>
  <si>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</si>
  <si>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</si>
  <si>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</si>
  <si>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</si>
  <si>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</si>
  <si>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</si>
  <si>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</si>
  <si>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</si>
  <si>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</si>
  <si>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</si>
  <si>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</si>
  <si>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</si>
  <si>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</si>
  <si>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</si>
  <si>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</si>
  <si>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</si>
  <si>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</si>
  <si>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</si>
  <si>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</si>
  <si>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</si>
  <si>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</si>
  <si>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</si>
  <si>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</si>
  <si>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</si>
  <si>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</si>
  <si>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</si>
  <si>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</si>
  <si>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</si>
  <si>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</si>
  <si>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</si>
  <si>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</si>
  <si>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</si>
  <si>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</si>
  <si>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</si>
  <si>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</si>
  <si>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</si>
  <si>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</si>
  <si>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</si>
  <si>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</si>
  <si>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</si>
  <si>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</si>
  <si>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</si>
  <si>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</si>
  <si>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</si>
  <si>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</si>
  <si>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</si>
  <si>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</si>
  <si>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</si>
  <si>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</si>
  <si>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</si>
  <si>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</si>
  <si>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</si>
  <si>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</si>
  <si>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</si>
  <si>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</si>
  <si>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</si>
  <si>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</si>
  <si>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</si>
  <si>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</si>
  <si>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</si>
  <si>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</si>
  <si>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</si>
  <si>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</si>
  <si>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</si>
  <si>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</si>
  <si>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</si>
  <si>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</si>
  <si>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</si>
  <si>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</si>
  <si>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</si>
  <si>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</si>
  <si>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</si>
  <si>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</si>
  <si>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</si>
  <si>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</si>
  <si>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</si>
  <si>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</si>
  <si>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</si>
  <si>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</si>
  <si>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</si>
  <si>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</si>
  <si>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</si>
  <si>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</si>
  <si>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</si>
  <si>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</si>
  <si>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</si>
  <si>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</si>
  <si>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</si>
  <si>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</si>
  <si>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</si>
  <si>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</si>
  <si>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</si>
  <si>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</si>
  <si>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</si>
  <si>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</si>
  <si>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</si>
  <si>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</si>
  <si>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</si>
  <si>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</si>
  <si>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</si>
  <si>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</si>
  <si>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</si>
  <si>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</si>
  <si>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</si>
  <si>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</si>
  <si>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</si>
  <si>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</si>
  <si>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</si>
  <si>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</si>
  <si>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</si>
  <si>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</si>
  <si>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</si>
  <si>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</si>
  <si>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</si>
  <si>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</si>
  <si>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</si>
  <si>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</si>
  <si>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</si>
  <si>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</si>
  <si>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</si>
  <si>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</si>
  <si>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</si>
  <si>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</si>
  <si>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</si>
  <si>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</si>
  <si>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</si>
  <si>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</si>
  <si>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</si>
  <si>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</si>
  <si>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</si>
  <si>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</si>
  <si>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</si>
  <si>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</si>
  <si>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</si>
  <si>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</si>
  <si>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</si>
  <si>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</si>
  <si>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</si>
  <si>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</si>
  <si>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</si>
  <si>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</si>
  <si>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</si>
  <si>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</si>
  <si>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</si>
  <si>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</si>
  <si>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</si>
  <si>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</si>
  <si>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</si>
  <si>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</si>
  <si>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</si>
  <si>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</si>
  <si>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</si>
  <si>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</si>
  <si>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</si>
  <si>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</si>
  <si>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</si>
  <si>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</si>
  <si>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</si>
  <si>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</si>
  <si>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</si>
  <si>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</si>
  <si>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</si>
  <si>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</si>
  <si>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</si>
  <si>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</si>
  <si>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</si>
  <si>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</si>
  <si>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</si>
  <si>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</si>
  <si>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</si>
  <si>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</si>
  <si>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</si>
  <si>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</si>
  <si>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</si>
  <si>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</si>
  <si>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</si>
  <si>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</si>
  <si>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</si>
  <si>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</si>
  <si>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</si>
  <si>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</si>
  <si>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</si>
  <si>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</si>
  <si>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</si>
  <si>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</si>
  <si>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</si>
  <si>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</si>
  <si>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</si>
  <si>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</si>
  <si>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</si>
  <si>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</si>
  <si>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</si>
  <si>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</si>
  <si>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</si>
  <si>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</si>
  <si>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</si>
  <si>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</si>
  <si>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</si>
  <si>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</si>
  <si>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</si>
  <si>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</si>
  <si>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</si>
  <si>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</si>
  <si>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</si>
  <si>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</si>
  <si>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</si>
  <si>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</si>
  <si>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</si>
  <si>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</si>
  <si>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</si>
  <si>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</si>
  <si>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</si>
  <si>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</si>
  <si>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</si>
  <si>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</si>
  <si>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</si>
  <si>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</si>
  <si>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</si>
  <si>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</si>
  <si>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</si>
  <si>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</si>
  <si>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</si>
  <si>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</si>
  <si>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</si>
  <si>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</si>
  <si>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</si>
  <si>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</si>
  <si>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</si>
  <si>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</si>
  <si>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</si>
  <si>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</si>
  <si>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</si>
  <si>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</si>
  <si>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</si>
  <si>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</si>
  <si>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</si>
  <si>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</si>
  <si>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</si>
  <si>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</si>
  <si>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</si>
  <si>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</si>
  <si>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</si>
  <si>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</si>
  <si>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</si>
  <si>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</si>
  <si>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</si>
  <si>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</si>
  <si>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</si>
  <si>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</si>
  <si>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</si>
  <si>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</si>
  <si>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</si>
  <si>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</si>
  <si>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</si>
  <si>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</si>
  <si>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</si>
  <si>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</si>
  <si>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</si>
  <si>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</si>
  <si>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</si>
  <si>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</si>
  <si>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</si>
  <si>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</si>
  <si>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</si>
  <si>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</si>
  <si>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</si>
  <si>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</si>
  <si>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</si>
  <si>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</si>
  <si>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</si>
  <si>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</si>
  <si>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</si>
  <si>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</si>
  <si>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</si>
  <si>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</si>
  <si>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</si>
  <si>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</si>
  <si>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</si>
  <si>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</si>
  <si>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</si>
  <si>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</si>
  <si>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</si>
  <si>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</si>
  <si>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</si>
  <si>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</si>
  <si>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</si>
  <si>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</si>
  <si>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</si>
  <si>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</si>
  <si>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</si>
  <si>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</si>
  <si>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</si>
  <si>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</si>
  <si>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</si>
  <si>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</si>
  <si>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</si>
  <si>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</si>
  <si>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</si>
  <si>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</si>
  <si>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</si>
  <si>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</si>
  <si>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</si>
  <si>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</si>
  <si>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</si>
  <si>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</si>
  <si>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</si>
  <si>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</si>
  <si>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</si>
  <si>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</si>
  <si>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</si>
  <si>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</si>
  <si>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</si>
  <si>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</si>
  <si>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</si>
  <si>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</si>
  <si>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</si>
  <si>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</si>
  <si>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</si>
  <si>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</si>
  <si>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</si>
  <si>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</si>
  <si>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</si>
  <si>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</si>
  <si>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</si>
  <si>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</si>
  <si>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</si>
  <si>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</si>
  <si>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</si>
  <si>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</si>
  <si>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</si>
  <si>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</si>
  <si>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</si>
  <si>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</si>
  <si>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</si>
  <si>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</si>
  <si>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</si>
  <si>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</si>
  <si>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</si>
  <si>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</si>
  <si>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</si>
  <si>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</si>
  <si>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</si>
  <si>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</si>
  <si>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</si>
  <si>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</si>
  <si>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</si>
  <si>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</si>
  <si>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</si>
  <si>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</si>
  <si>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</si>
  <si>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</si>
  <si>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</si>
  <si>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</si>
  <si>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</si>
  <si>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</si>
  <si>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</si>
  <si>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</si>
  <si>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</si>
  <si>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</si>
  <si>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</si>
  <si>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</si>
  <si>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</si>
  <si>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</si>
  <si>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</si>
  <si>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</si>
  <si>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</si>
  <si>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</si>
  <si>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</si>
  <si>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</si>
  <si>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</si>
  <si>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</si>
  <si>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</si>
  <si>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</si>
  <si>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</si>
  <si>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</si>
  <si>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</si>
  <si>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</si>
  <si>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</si>
  <si>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</si>
  <si>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</si>
  <si>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</si>
  <si>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</si>
  <si>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</si>
  <si>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</si>
  <si>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</si>
  <si>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</si>
  <si>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</si>
  <si>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</si>
  <si>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</si>
  <si>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</si>
  <si>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</si>
  <si>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</si>
  <si>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</si>
  <si>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</si>
  <si>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</si>
  <si>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</si>
  <si>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</si>
  <si>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</si>
  <si>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</si>
  <si>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</si>
  <si>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</si>
  <si>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</si>
  <si>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</si>
  <si>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</si>
  <si>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</si>
  <si>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</si>
  <si>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</si>
  <si>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</si>
  <si>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</si>
  <si>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</si>
  <si>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</si>
  <si>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</si>
  <si>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</si>
  <si>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</si>
  <si>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</si>
  <si>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</si>
  <si>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</si>
  <si>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</si>
  <si>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</si>
  <si>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</si>
  <si>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</si>
  <si>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</si>
  <si>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</si>
  <si>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</si>
  <si>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</si>
  <si>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</si>
  <si>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</si>
  <si>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</si>
  <si>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</si>
  <si>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</si>
  <si>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</si>
  <si>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</si>
  <si>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</si>
  <si>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</si>
  <si>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</si>
  <si>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</si>
  <si>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</si>
  <si>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</si>
  <si>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</si>
  <si>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</si>
  <si>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</si>
  <si>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</si>
  <si>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</si>
  <si>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</si>
  <si>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</si>
  <si>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</si>
  <si>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</si>
  <si>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</si>
  <si>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</si>
  <si>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</si>
  <si>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</si>
  <si>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</si>
  <si>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</si>
  <si>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</si>
  <si>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</si>
  <si>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</si>
  <si>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</si>
  <si>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</si>
  <si>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</si>
  <si>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</si>
  <si>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</si>
  <si>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</si>
  <si>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</si>
  <si>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</si>
  <si>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</si>
  <si>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</si>
  <si>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</si>
  <si>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</si>
  <si>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</si>
  <si>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</si>
  <si>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</si>
  <si>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</si>
  <si>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</si>
  <si>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</si>
  <si>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</si>
  <si>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</si>
  <si>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</si>
  <si>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</si>
  <si>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</si>
  <si>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</si>
  <si>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</si>
  <si>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</si>
  <si>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</si>
  <si>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</si>
  <si>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</si>
  <si>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</si>
  <si>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</si>
  <si>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</si>
  <si>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</si>
  <si>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</si>
  <si>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</si>
  <si>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</si>
  <si>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</si>
  <si>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</si>
  <si>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</si>
  <si>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</si>
  <si>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</si>
  <si>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</si>
  <si>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</si>
  <si>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</si>
  <si>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</si>
  <si>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</si>
  <si>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</si>
  <si>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</si>
  <si>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</si>
  <si>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</si>
  <si>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</si>
  <si>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</si>
  <si>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</si>
  <si>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</si>
  <si>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</si>
  <si>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</si>
  <si>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</si>
  <si>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</si>
  <si>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</si>
  <si>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</si>
  <si>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</si>
  <si>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</si>
  <si>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</si>
  <si>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</si>
  <si>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</si>
  <si>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</si>
  <si>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</si>
  <si>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</si>
  <si>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</si>
  <si>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</si>
  <si>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</si>
  <si>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</si>
  <si>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</si>
  <si>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</si>
  <si>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</si>
  <si>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</si>
  <si>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</si>
  <si>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</si>
  <si>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</si>
  <si>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</si>
  <si>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</si>
  <si>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</si>
  <si>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</si>
  <si>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</si>
  <si>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</si>
  <si>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</si>
  <si>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</si>
  <si>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</si>
  <si>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</si>
  <si>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</si>
  <si>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</si>
  <si>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</si>
  <si>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</si>
  <si>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</si>
  <si>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</si>
  <si>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</si>
  <si>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</si>
  <si>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</si>
  <si>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</si>
  <si>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</si>
  <si>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</si>
  <si>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</si>
  <si>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</si>
  <si>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</si>
  <si>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</si>
  <si>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</si>
  <si>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</si>
  <si>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</si>
  <si>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</si>
  <si>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</si>
  <si>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</si>
  <si>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</si>
  <si>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</si>
  <si>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</si>
  <si>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</si>
  <si>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</si>
  <si>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</si>
  <si>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</si>
  <si>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</si>
  <si>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</si>
  <si>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</si>
  <si>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</si>
  <si>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</si>
  <si>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</si>
  <si>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</si>
  <si>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</si>
  <si>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</si>
  <si>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</si>
  <si>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</si>
  <si>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</si>
  <si>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</si>
  <si>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</si>
  <si>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</si>
  <si>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</si>
  <si>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</si>
  <si>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</si>
  <si>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</si>
  <si>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</si>
  <si>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</si>
  <si>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</si>
  <si>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</si>
  <si>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</si>
  <si>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</si>
  <si>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</si>
  <si>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</si>
  <si>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</si>
  <si>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</si>
  <si>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</si>
  <si>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</si>
  <si>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</si>
  <si>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</si>
  <si>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</si>
  <si>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</si>
  <si>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</si>
  <si>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</si>
  <si>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</si>
  <si>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</si>
  <si>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</si>
  <si>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</si>
  <si>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</si>
  <si>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</si>
  <si>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</si>
  <si>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</si>
  <si>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</si>
  <si>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</si>
  <si>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</si>
  <si>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</si>
  <si>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</si>
  <si>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</si>
  <si>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</si>
  <si>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</si>
  <si>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</si>
  <si>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</si>
  <si>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</si>
  <si>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</si>
  <si>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</si>
  <si>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</si>
  <si>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</si>
  <si>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</si>
  <si>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</si>
  <si>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</si>
  <si>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</si>
  <si>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</si>
  <si>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</si>
  <si>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</si>
  <si>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</si>
  <si>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</si>
  <si>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</si>
  <si>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</si>
  <si>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</si>
  <si>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</si>
  <si>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</si>
  <si>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</si>
  <si>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</si>
  <si>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</si>
  <si>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</si>
  <si>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</si>
  <si>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</si>
  <si>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</si>
  <si>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</si>
  <si>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</si>
  <si>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</si>
  <si>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</si>
  <si>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</si>
  <si>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</si>
  <si>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</si>
  <si>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</si>
  <si>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</si>
  <si>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</si>
  <si>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</si>
  <si>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</si>
  <si>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</si>
  <si>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</si>
  <si>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</si>
  <si>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</si>
  <si>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</si>
  <si>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</si>
  <si>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</si>
  <si>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</si>
  <si>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</si>
  <si>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</si>
  <si>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</si>
  <si>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</si>
  <si>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</si>
  <si>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</si>
  <si>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</si>
  <si>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</si>
  <si>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</si>
  <si>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</si>
  <si>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</si>
  <si>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</si>
  <si>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</si>
  <si>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</si>
  <si>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</si>
  <si>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</si>
  <si>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</si>
  <si>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</si>
  <si>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</si>
  <si>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</si>
  <si>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</si>
  <si>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</si>
  <si>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</si>
  <si>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</si>
  <si>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</si>
  <si>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</si>
  <si>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</si>
  <si>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</si>
  <si>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</si>
  <si>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</si>
  <si>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</si>
  <si>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</si>
  <si>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</si>
  <si>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</si>
  <si>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</si>
  <si>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</si>
  <si>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</si>
  <si>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</si>
  <si>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</si>
  <si>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</si>
  <si>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</si>
  <si>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</si>
  <si>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</si>
  <si>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</si>
  <si>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</si>
  <si>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</si>
  <si>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</si>
  <si>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</si>
  <si>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</si>
  <si>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</si>
  <si>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</si>
  <si>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</si>
  <si>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</si>
  <si>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</si>
  <si>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</si>
  <si>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</si>
  <si>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</si>
  <si>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</si>
  <si>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</si>
  <si>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</si>
  <si>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</si>
  <si>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</si>
  <si>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</si>
  <si>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</si>
  <si>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</si>
  <si>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</si>
  <si>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</si>
  <si>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</si>
  <si>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</si>
  <si>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</si>
  <si>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</si>
  <si>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</si>
  <si>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</si>
  <si>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</si>
  <si>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</si>
  <si>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</si>
  <si>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</si>
  <si>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</si>
  <si>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</si>
  <si>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</si>
  <si>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</si>
  <si>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</si>
  <si>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</si>
  <si>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</si>
  <si>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</si>
  <si>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</si>
  <si>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</si>
  <si>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</si>
  <si>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</si>
  <si>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</si>
  <si>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</si>
  <si>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</si>
  <si>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</si>
  <si>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</si>
  <si>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</si>
  <si>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</si>
  <si>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</si>
  <si>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</si>
  <si>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</si>
  <si>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</si>
  <si>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</si>
  <si>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</si>
  <si>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</si>
  <si>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</si>
  <si>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</si>
  <si>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</si>
  <si>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</si>
  <si>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</si>
  <si>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</si>
  <si>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</si>
  <si>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</si>
  <si>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</si>
  <si>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</si>
  <si>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</si>
  <si>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</si>
  <si>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</si>
  <si>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</si>
  <si>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</si>
  <si>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</si>
  <si>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</si>
  <si>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</si>
  <si>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</si>
  <si>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</si>
  <si>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</si>
  <si>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</si>
  <si>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</si>
  <si>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</si>
  <si>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</si>
  <si>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</si>
  <si>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</si>
  <si>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</si>
  <si>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</si>
  <si>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</si>
  <si>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</si>
  <si>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</si>
  <si>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</si>
  <si>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</si>
  <si>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</si>
  <si>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</si>
  <si>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</si>
  <si>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</si>
  <si>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</si>
  <si>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</si>
  <si>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</si>
  <si>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</si>
  <si>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</si>
  <si>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</si>
  <si>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</si>
  <si>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</si>
  <si>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</si>
  <si>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</si>
  <si>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</si>
  <si>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</si>
  <si>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</si>
  <si>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</si>
  <si>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</si>
  <si>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</si>
  <si>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</si>
  <si>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</si>
  <si>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</si>
  <si>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</si>
  <si>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</si>
  <si>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</si>
  <si>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</si>
  <si>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</si>
  <si>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</si>
  <si>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</si>
  <si>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</si>
  <si>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</si>
  <si>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</si>
  <si>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</si>
  <si>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</si>
  <si>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</si>
  <si>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</si>
  <si>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</si>
  <si>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</si>
  <si>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</si>
  <si>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</si>
  <si>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</si>
  <si>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</si>
  <si>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</si>
  <si>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</si>
  <si>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</si>
  <si>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</si>
  <si>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</si>
  <si>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</si>
  <si>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</si>
  <si>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</si>
  <si>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</si>
  <si>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</si>
  <si>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</si>
  <si>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</si>
  <si>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</si>
  <si>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</si>
  <si>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</si>
  <si>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</si>
  <si>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</si>
  <si>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</si>
  <si>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</si>
  <si>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</si>
  <si>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</si>
  <si>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</si>
  <si>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</si>
  <si>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</si>
  <si>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</si>
  <si>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</si>
  <si>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</si>
  <si>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</si>
  <si>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</si>
  <si>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</si>
  <si>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</si>
  <si>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</si>
  <si>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</si>
  <si>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</si>
  <si>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</si>
  <si>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</si>
  <si>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</si>
  <si>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</si>
  <si>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</si>
  <si>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</si>
  <si>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</si>
  <si>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</si>
  <si>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</si>
  <si>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</si>
  <si>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</si>
  <si>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</si>
  <si>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</si>
  <si>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</si>
  <si>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</si>
  <si>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</si>
  <si>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</si>
  <si>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</si>
  <si>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</si>
  <si>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</si>
  <si>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</si>
  <si>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</si>
  <si>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</si>
  <si>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</si>
  <si>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</si>
  <si>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</si>
  <si>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</si>
  <si>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</si>
  <si>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</si>
  <si>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</si>
  <si>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</si>
  <si>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</si>
  <si>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</si>
  <si>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</si>
  <si>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</si>
  <si>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</si>
  <si>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</si>
  <si>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</si>
  <si>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</si>
  <si>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</si>
  <si>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</si>
  <si>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</si>
  <si>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</si>
  <si>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</si>
  <si>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</si>
  <si>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</si>
  <si>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</si>
  <si>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</si>
  <si>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</si>
  <si>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</si>
  <si>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</si>
  <si>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</si>
  <si>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</si>
  <si>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</si>
  <si>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</si>
  <si>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</si>
  <si>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</si>
  <si>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</si>
  <si>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</si>
  <si>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</si>
  <si>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</si>
  <si>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</si>
  <si>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</si>
  <si>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</si>
  <si>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</si>
  <si>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</si>
  <si>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</si>
  <si>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</si>
  <si>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</si>
  <si>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</si>
  <si>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</si>
  <si>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</si>
  <si>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</si>
  <si>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</si>
  <si>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</si>
  <si>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</si>
  <si>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</si>
  <si>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</si>
  <si>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</si>
  <si>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</si>
  <si>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</si>
  <si>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</si>
  <si>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</si>
  <si>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</si>
  <si>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</si>
  <si>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</si>
  <si>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</si>
  <si>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</si>
  <si>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</si>
  <si>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</si>
  <si>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</si>
  <si>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</si>
  <si>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</si>
  <si>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</si>
  <si>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</si>
  <si>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</si>
  <si>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</si>
  <si>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</si>
  <si>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</si>
  <si>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</si>
  <si>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</si>
  <si>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</si>
  <si>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</si>
  <si>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</si>
  <si>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</si>
  <si>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</si>
  <si>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</si>
  <si>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</si>
  <si>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</si>
  <si>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</si>
  <si>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</si>
  <si>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</si>
  <si>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</si>
  <si>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</si>
  <si>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</si>
  <si>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</si>
  <si>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</si>
  <si>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</si>
  <si>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</si>
  <si>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</si>
  <si>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</si>
  <si>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</si>
  <si>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</si>
  <si>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</si>
  <si>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</si>
  <si>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</si>
  <si>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</si>
  <si>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</si>
  <si>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</si>
  <si>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</si>
  <si>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</si>
  <si>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</si>
  <si>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</si>
  <si>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</si>
  <si>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</si>
  <si>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</si>
  <si>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</si>
  <si>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</si>
  <si>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</si>
  <si>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</si>
  <si>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</si>
  <si>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</si>
  <si>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</si>
  <si>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</si>
  <si>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</si>
  <si>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</si>
  <si>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</si>
  <si>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</si>
  <si>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</si>
  <si>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</si>
  <si>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</si>
  <si>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</si>
  <si>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</si>
  <si>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</si>
  <si>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</si>
  <si>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</si>
  <si>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</si>
  <si>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</si>
  <si>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</si>
  <si>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</si>
  <si>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</si>
  <si>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</si>
  <si>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</si>
  <si>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</si>
  <si>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</si>
  <si>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</si>
  <si>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</si>
  <si>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</si>
  <si>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</si>
  <si>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</si>
  <si>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</si>
  <si>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</si>
  <si>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</si>
  <si>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</si>
  <si>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</si>
  <si>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</si>
  <si>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</si>
  <si>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</si>
  <si>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</si>
  <si>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</si>
  <si>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</si>
  <si>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</si>
  <si>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</si>
  <si>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</si>
  <si>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</si>
  <si>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</si>
  <si>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</si>
  <si>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</si>
  <si>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</si>
  <si>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</si>
  <si>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</si>
  <si>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</si>
  <si>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</si>
  <si>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</si>
  <si>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</si>
  <si>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</si>
  <si>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</si>
  <si>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</si>
  <si>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</si>
  <si>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</si>
  <si>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</si>
  <si>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</si>
  <si>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</si>
  <si>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</si>
  <si>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</si>
  <si>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</si>
  <si>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</si>
  <si>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</si>
  <si>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</si>
  <si>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</si>
  <si>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</si>
  <si>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</si>
  <si>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</si>
  <si>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</si>
  <si>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</si>
  <si>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</si>
  <si>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</si>
  <si>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</si>
  <si>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</si>
  <si>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</si>
  <si>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</si>
  <si>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</si>
  <si>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</si>
  <si>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</si>
  <si>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</si>
  <si>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</si>
  <si>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</si>
  <si>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</si>
  <si>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</si>
  <si>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</si>
  <si>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</si>
  <si>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</si>
  <si>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</si>
  <si>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</si>
  <si>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</si>
  <si>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</si>
  <si>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</si>
  <si>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</si>
  <si>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</si>
  <si>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</si>
  <si>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</si>
  <si>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</si>
  <si>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</si>
  <si>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</si>
  <si>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</si>
  <si>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</si>
  <si>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</si>
  <si>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</si>
  <si>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</si>
  <si>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</si>
  <si>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</si>
  <si>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</si>
  <si>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</si>
  <si>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</si>
  <si>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</si>
  <si>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</si>
  <si>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</si>
  <si>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</si>
  <si>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</si>
  <si>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</si>
  <si>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</si>
  <si>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</si>
  <si>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</si>
  <si>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</si>
  <si>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</si>
  <si>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</si>
  <si>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</si>
  <si>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</si>
  <si>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</si>
  <si>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</si>
  <si>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</si>
  <si>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</si>
  <si>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</si>
  <si>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</si>
  <si>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</si>
  <si>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</si>
  <si>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</si>
  <si>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</si>
  <si>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</si>
  <si>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</si>
  <si>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</si>
  <si>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</si>
  <si>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</si>
  <si>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</si>
  <si>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</si>
  <si>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</si>
  <si>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</si>
  <si>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</si>
  <si>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</si>
  <si>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</si>
  <si>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</si>
  <si>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</si>
  <si>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</si>
  <si>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</si>
  <si>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</si>
  <si>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</si>
  <si>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</si>
  <si>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</si>
  <si>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</si>
  <si>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</si>
  <si>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</si>
  <si>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</si>
  <si>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</si>
  <si>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</si>
  <si>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</si>
  <si>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</si>
  <si>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</si>
  <si>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</si>
  <si>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</si>
  <si>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</si>
  <si>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</si>
  <si>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</si>
  <si>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</si>
  <si>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</si>
  <si>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</si>
  <si>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</si>
  <si>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</si>
  <si>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</si>
  <si>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</si>
  <si>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</si>
  <si>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</si>
  <si>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</si>
  <si>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</si>
  <si>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</si>
  <si>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</si>
  <si>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</si>
  <si>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</si>
  <si>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</si>
  <si>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</si>
  <si>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</si>
  <si>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</si>
  <si>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</si>
  <si>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</si>
  <si>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</si>
  <si>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</si>
  <si>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</si>
  <si>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</si>
  <si>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</si>
  <si>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</si>
  <si>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</si>
  <si>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</si>
  <si>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</si>
  <si>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</si>
  <si>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</si>
  <si>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</si>
  <si>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</si>
  <si>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</si>
  <si>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</si>
  <si>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</si>
  <si>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</si>
  <si>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</si>
  <si>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</si>
  <si>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</si>
  <si>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</si>
  <si>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</si>
  <si>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</si>
  <si>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</si>
  <si>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</si>
  <si>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</si>
  <si>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</si>
  <si>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</si>
  <si>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</si>
  <si>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</si>
  <si>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</si>
  <si>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</si>
  <si>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</si>
  <si>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</si>
  <si>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</si>
  <si>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</si>
  <si>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</si>
  <si>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</si>
  <si>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</si>
  <si>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</si>
  <si>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</si>
  <si>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</si>
  <si>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</si>
  <si>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</si>
  <si>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</si>
  <si>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</si>
  <si>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</si>
  <si>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</si>
  <si>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</si>
  <si>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</si>
  <si>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</si>
  <si>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</si>
  <si>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</si>
  <si>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</si>
  <si>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</si>
  <si>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</si>
  <si>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</si>
  <si>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</si>
  <si>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</si>
  <si>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</si>
  <si>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</si>
  <si>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</si>
  <si>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</si>
  <si>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</si>
  <si>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</si>
  <si>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</si>
  <si>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</si>
  <si>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</si>
  <si>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</si>
  <si>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</si>
  <si>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</si>
  <si>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</si>
  <si>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</si>
  <si>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</si>
  <si>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</si>
  <si>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</si>
  <si>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</si>
  <si>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</si>
  <si>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</si>
  <si>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</si>
  <si>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</si>
  <si>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</si>
  <si>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</si>
  <si>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</si>
  <si>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</si>
  <si>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</si>
  <si>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</si>
  <si>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</si>
  <si>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</si>
  <si>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</si>
  <si>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</si>
  <si>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</si>
  <si>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</si>
  <si>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</si>
  <si>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</si>
  <si>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</si>
  <si>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</si>
  <si>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</si>
  <si>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</si>
  <si>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</si>
  <si>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</si>
  <si>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</si>
  <si>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</si>
  <si>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</si>
  <si>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</si>
  <si>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</si>
  <si>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</si>
  <si>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</si>
  <si>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</si>
  <si>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</si>
  <si>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</si>
  <si>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</si>
  <si>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</si>
  <si>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</si>
  <si>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</si>
  <si>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</si>
  <si>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</si>
  <si>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</si>
  <si>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</si>
  <si>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</si>
  <si>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</si>
  <si>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</si>
  <si>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</si>
  <si>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</si>
  <si>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</si>
  <si>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</si>
  <si>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</si>
  <si>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</si>
  <si>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</si>
  <si>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</si>
  <si>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</si>
  <si>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</si>
  <si>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</si>
  <si>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</si>
  <si>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</si>
  <si>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</si>
  <si>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</si>
  <si>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</si>
  <si>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</si>
  <si>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</si>
  <si>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</si>
  <si>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</si>
  <si>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</si>
  <si>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</si>
  <si>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</si>
  <si>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</si>
  <si>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</si>
  <si>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</si>
  <si>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</si>
  <si>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</si>
  <si>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</si>
  <si>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</si>
  <si>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</si>
  <si>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</si>
  <si>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</si>
  <si>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</si>
  <si>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</si>
  <si>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</si>
  <si>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</si>
  <si>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</si>
  <si>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</si>
  <si>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</si>
  <si>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</si>
  <si>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</si>
  <si>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</si>
  <si>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</si>
  <si>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</si>
  <si>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</si>
  <si>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</si>
  <si>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</si>
  <si>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</si>
  <si>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</si>
  <si>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</si>
  <si>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</si>
  <si>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</si>
  <si>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</si>
  <si>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</si>
  <si>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</si>
  <si>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</si>
  <si>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</si>
  <si>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</si>
  <si>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</si>
  <si>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</si>
  <si>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</si>
  <si>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</si>
  <si>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</si>
  <si>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</si>
  <si>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</si>
  <si>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</si>
  <si>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</si>
  <si>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</si>
  <si>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</si>
  <si>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</si>
  <si>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</si>
  <si>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</si>
  <si>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</si>
  <si>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</si>
  <si>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</si>
  <si>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</si>
  <si>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</si>
  <si>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</si>
  <si>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</si>
  <si>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</si>
  <si>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</si>
  <si>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</si>
  <si>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</si>
  <si>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</si>
  <si>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</si>
  <si>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</si>
  <si>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</si>
  <si>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</si>
  <si>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</si>
  <si>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</si>
  <si>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</si>
  <si>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</si>
  <si>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</si>
  <si>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</si>
  <si>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</si>
  <si>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</si>
  <si>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</si>
  <si>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</si>
  <si>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</si>
  <si>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</si>
  <si>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</si>
  <si>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</si>
  <si>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</si>
  <si>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</si>
  <si>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</si>
  <si>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</si>
  <si>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</si>
  <si>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</si>
  <si>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</si>
  <si>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</si>
  <si>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</si>
  <si>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</si>
  <si>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</si>
  <si>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</si>
  <si>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</si>
  <si>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</si>
  <si>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</si>
  <si>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</si>
  <si>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</si>
  <si>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</si>
  <si>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</si>
  <si>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</si>
  <si>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</si>
  <si>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</si>
  <si>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</si>
  <si>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</si>
  <si>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</si>
  <si>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</si>
  <si>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</si>
  <si>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</si>
  <si>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</si>
  <si>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</si>
  <si>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</si>
  <si>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</si>
  <si>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</si>
  <si>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</si>
  <si>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</si>
  <si>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</si>
  <si>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</si>
  <si>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</si>
  <si>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</si>
  <si>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</si>
  <si>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</si>
  <si>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</si>
  <si>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</si>
  <si>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</si>
  <si>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</si>
  <si>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</si>
  <si>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</si>
  <si>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</si>
  <si>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</si>
  <si>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</si>
  <si>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</si>
  <si>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</si>
  <si>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</si>
  <si>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</si>
  <si>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</si>
  <si>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</si>
  <si>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</si>
  <si>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</si>
  <si>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</si>
  <si>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</si>
  <si>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</si>
  <si>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</si>
  <si>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</si>
  <si>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</si>
  <si>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</si>
  <si>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</si>
  <si>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</si>
  <si>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</si>
  <si>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</si>
  <si>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</si>
  <si>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</si>
  <si>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</si>
  <si>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</si>
  <si>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</si>
  <si>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</si>
  <si>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</si>
  <si>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</si>
  <si>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</si>
  <si>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</si>
  <si>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</si>
  <si>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</si>
  <si>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</si>
  <si>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</si>
  <si>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</si>
  <si>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</si>
  <si>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</si>
  <si>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</si>
  <si>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</si>
  <si>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</si>
  <si>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</si>
  <si>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</si>
  <si>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</si>
  <si>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</si>
  <si>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</si>
  <si>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</si>
  <si>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</si>
  <si>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</si>
  <si>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</si>
  <si>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</si>
  <si>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</si>
  <si>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</si>
  <si>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</si>
  <si>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</si>
  <si>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</si>
  <si>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</si>
  <si>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</si>
  <si>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</si>
  <si>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</si>
  <si>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</si>
  <si>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</si>
  <si>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</si>
  <si>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</si>
  <si>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</si>
  <si>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</si>
  <si>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</si>
  <si>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</si>
  <si>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</si>
  <si>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</si>
  <si>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</si>
  <si>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</si>
  <si>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</si>
  <si>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</si>
  <si>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</si>
  <si>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</si>
  <si>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</si>
  <si>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</si>
  <si>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</si>
  <si>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</si>
  <si>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</si>
  <si>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</si>
  <si>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</si>
  <si>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</si>
  <si>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</si>
  <si>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</si>
  <si>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</si>
  <si>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</si>
  <si>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</si>
  <si>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</si>
  <si>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</si>
  <si>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</si>
  <si>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</si>
  <si>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</si>
  <si>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</si>
  <si>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</si>
  <si>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</si>
  <si>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</si>
  <si>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</si>
  <si>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</si>
  <si>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</si>
  <si>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</si>
  <si>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</si>
  <si>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</si>
  <si>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</si>
  <si>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</si>
  <si>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</si>
  <si>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</si>
  <si>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</si>
  <si>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</si>
  <si>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</si>
  <si>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</si>
  <si>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</si>
  <si>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</si>
  <si>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</si>
  <si>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</si>
  <si>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</si>
  <si>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</si>
  <si>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</si>
  <si>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</si>
  <si>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</si>
  <si>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</si>
  <si>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</si>
  <si>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</si>
  <si>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</si>
  <si>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</si>
  <si>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</si>
  <si>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</si>
  <si>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</si>
  <si>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</si>
  <si>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</si>
  <si>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</si>
  <si>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</si>
  <si>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</si>
  <si>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</si>
  <si>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</si>
  <si>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</si>
  <si>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</si>
  <si>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</si>
  <si>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</si>
  <si>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</si>
  <si>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</si>
  <si>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</si>
  <si>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</si>
  <si>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</si>
  <si>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</si>
  <si>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</si>
  <si>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</si>
  <si>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</si>
  <si>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</si>
  <si>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</si>
  <si>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</si>
  <si>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</si>
  <si>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</si>
  <si>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</si>
  <si>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</si>
  <si>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</si>
  <si>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</si>
  <si>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</si>
  <si>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</si>
  <si>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</si>
  <si>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</si>
  <si>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</si>
  <si>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</si>
  <si>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</si>
  <si>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</si>
  <si>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</si>
  <si>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</si>
  <si>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</si>
  <si>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</si>
  <si>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</si>
  <si>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</si>
  <si>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</si>
  <si>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</si>
  <si>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</si>
  <si>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</si>
  <si>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</si>
  <si>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</si>
  <si>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</si>
  <si>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</si>
  <si>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</si>
  <si>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</si>
  <si>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</si>
  <si>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</si>
  <si>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</si>
  <si>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</si>
  <si>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</si>
  <si>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</si>
  <si>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</si>
  <si>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</si>
  <si>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</si>
  <si>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</si>
  <si>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</si>
  <si>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</si>
  <si>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</si>
  <si>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</si>
  <si>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</si>
  <si>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</si>
  <si>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</si>
  <si>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</si>
  <si>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</si>
  <si>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</si>
  <si>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</si>
  <si>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</si>
  <si>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</si>
  <si>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</si>
  <si>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</si>
  <si>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</si>
  <si>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</si>
  <si>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</si>
  <si>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</si>
  <si>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</si>
  <si>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</si>
  <si>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</si>
  <si>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</si>
  <si>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</si>
  <si>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</si>
  <si>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</si>
  <si>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</si>
  <si>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</si>
  <si>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</si>
  <si>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</si>
  <si>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</si>
  <si>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</si>
  <si>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</si>
  <si>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</si>
  <si>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</si>
  <si>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</si>
  <si>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</si>
  <si>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</si>
  <si>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</si>
  <si>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</si>
  <si>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</si>
  <si>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</si>
  <si>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</si>
  <si>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</si>
  <si>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</si>
  <si>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</si>
  <si>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</si>
  <si>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</si>
  <si>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</si>
  <si>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</si>
  <si>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</si>
  <si>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</si>
  <si>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</si>
  <si>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</si>
  <si>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</si>
  <si>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</si>
  <si>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</si>
  <si>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</si>
  <si>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</si>
  <si>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</si>
  <si>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</si>
  <si>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</si>
  <si>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</si>
  <si>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</si>
  <si>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</si>
  <si>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</si>
  <si>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</si>
  <si>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</si>
  <si>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</si>
  <si>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</si>
  <si>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</si>
  <si>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</si>
  <si>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</si>
  <si>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</si>
  <si>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</si>
  <si>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</si>
  <si>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</si>
  <si>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</si>
  <si>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</si>
  <si>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</si>
  <si>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</si>
  <si>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</si>
  <si>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</si>
  <si>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</si>
  <si>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</si>
  <si>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</si>
  <si>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</si>
  <si>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</si>
  <si>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</si>
  <si>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</si>
  <si>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</si>
  <si>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</si>
  <si>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</si>
  <si>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</si>
  <si>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</si>
  <si>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</si>
  <si>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</si>
  <si>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</si>
  <si>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</si>
  <si>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</si>
  <si>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</si>
  <si>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</si>
  <si>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</si>
  <si>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</si>
  <si>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</si>
  <si>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</si>
  <si>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</si>
  <si>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</si>
  <si>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</si>
  <si>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</si>
  <si>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</si>
  <si>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</si>
  <si>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</si>
  <si>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</si>
  <si>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</si>
  <si>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</si>
  <si>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</si>
  <si>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</si>
  <si>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</si>
  <si>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</si>
  <si>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</si>
  <si>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</si>
  <si>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</si>
  <si>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</si>
  <si>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</si>
  <si>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</si>
  <si>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</si>
  <si>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</si>
  <si>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</si>
  <si>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</si>
  <si>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</si>
  <si>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</si>
  <si>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</si>
  <si>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</si>
  <si>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</si>
  <si>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</si>
  <si>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</si>
  <si>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</si>
  <si>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</si>
  <si>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</si>
  <si>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</si>
  <si>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</si>
  <si>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</si>
  <si>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</si>
  <si>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</si>
  <si>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</si>
  <si>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</si>
  <si>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</si>
  <si>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</si>
  <si>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</si>
  <si>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</si>
  <si>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</si>
  <si>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</si>
  <si>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</si>
  <si>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</si>
  <si>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</si>
  <si>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</si>
  <si>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</si>
  <si>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</si>
  <si>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</si>
  <si>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</si>
  <si>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</si>
  <si>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</si>
  <si>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</si>
  <si>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</si>
  <si>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</si>
  <si>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</si>
  <si>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</si>
  <si>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</si>
  <si>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</si>
  <si>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</si>
  <si>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</si>
  <si>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</si>
  <si>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</si>
  <si>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</si>
  <si>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</si>
  <si>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</si>
  <si>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</si>
  <si>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</si>
  <si>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</si>
  <si>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</si>
  <si>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</si>
  <si>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</si>
  <si>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</si>
  <si>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</si>
  <si>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</si>
  <si>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</si>
  <si>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</si>
  <si>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</si>
  <si>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</si>
  <si>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</si>
  <si>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</si>
  <si>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</si>
  <si>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</si>
  <si>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</si>
  <si>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</si>
  <si>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</si>
  <si>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</si>
  <si>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</si>
  <si>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</si>
  <si>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</si>
  <si>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</si>
  <si>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</si>
  <si>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</si>
  <si>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</si>
  <si>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</si>
  <si>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</si>
  <si>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</si>
  <si>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</si>
  <si>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</si>
  <si>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</si>
  <si>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</si>
  <si>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</si>
  <si>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</si>
  <si>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</si>
  <si>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</si>
  <si>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</si>
  <si>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</si>
  <si>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</si>
  <si>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</si>
  <si>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</si>
  <si>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</si>
  <si>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</si>
  <si>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</si>
  <si>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</si>
  <si>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</si>
  <si>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</si>
  <si>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</si>
  <si>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</si>
  <si>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</si>
  <si>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</si>
  <si>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</si>
  <si>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</si>
  <si>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</si>
  <si>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</si>
  <si>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</si>
  <si>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</si>
  <si>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</si>
  <si>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</si>
  <si>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</si>
  <si>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</si>
  <si>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</si>
  <si>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</si>
  <si>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</si>
  <si>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</si>
  <si>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</si>
  <si>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</si>
  <si>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</si>
  <si>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</si>
  <si>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</si>
  <si>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</si>
  <si>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</si>
  <si>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</si>
  <si>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</si>
  <si>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</si>
  <si>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</si>
  <si>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</si>
  <si>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</si>
  <si>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</si>
  <si>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</si>
  <si>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</si>
  <si>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</si>
  <si>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</si>
  <si>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</si>
  <si>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</si>
  <si>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</si>
  <si>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</si>
  <si>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</si>
  <si>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</si>
  <si>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</si>
  <si>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</si>
  <si>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</si>
  <si>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</si>
  <si>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</si>
  <si>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</si>
  <si>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</si>
  <si>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</si>
  <si>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</si>
  <si>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</si>
  <si>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</si>
  <si>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</si>
  <si>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</si>
  <si>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</si>
  <si>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</si>
  <si>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</si>
  <si>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</si>
  <si>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</si>
  <si>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</si>
  <si>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</si>
  <si>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</si>
  <si>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</si>
  <si>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</si>
  <si>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</si>
  <si>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</si>
  <si>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</si>
  <si>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</si>
  <si>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</si>
  <si>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</si>
  <si>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</si>
  <si>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</si>
  <si>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</si>
  <si>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</si>
  <si>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</si>
  <si>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</si>
  <si>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</si>
  <si>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</si>
  <si>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</si>
  <si>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</si>
  <si>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</si>
  <si>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</si>
  <si>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</si>
  <si>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</si>
  <si>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</si>
  <si>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</si>
  <si>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</si>
  <si>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</si>
  <si>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</si>
  <si>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</si>
  <si>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</si>
  <si>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</si>
  <si>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</si>
  <si>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</si>
  <si>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</si>
  <si>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</si>
  <si>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</si>
  <si>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</si>
  <si>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</si>
  <si>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</si>
  <si>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</si>
  <si>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</si>
  <si>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</si>
  <si>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</si>
  <si>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</si>
  <si>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</si>
  <si>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</si>
  <si>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</si>
  <si>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</si>
  <si>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</si>
  <si>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</si>
  <si>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</si>
  <si>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</si>
  <si>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</si>
  <si>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</si>
  <si>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</si>
  <si>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</si>
  <si>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</si>
  <si>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</si>
  <si>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</si>
  <si>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</si>
  <si>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</si>
  <si>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</si>
  <si>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</si>
  <si>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</si>
  <si>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</si>
  <si>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</si>
  <si>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</si>
  <si>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</si>
  <si>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</si>
  <si>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</si>
  <si>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</si>
  <si>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</si>
  <si>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</si>
  <si>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</si>
  <si>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</si>
  <si>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</si>
  <si>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</si>
  <si>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</si>
  <si>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</si>
  <si>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</si>
  <si>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</si>
  <si>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</si>
  <si>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</si>
  <si>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</si>
  <si>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</si>
  <si>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</si>
  <si>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</si>
  <si>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</si>
  <si>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</si>
  <si>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</si>
  <si>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</si>
  <si>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</si>
  <si>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</si>
  <si>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</si>
  <si>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</si>
  <si>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</si>
  <si>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</si>
  <si>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</si>
  <si>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</si>
  <si>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</si>
  <si>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</si>
  <si>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</si>
  <si>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</si>
  <si>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</si>
  <si>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</si>
  <si>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</si>
  <si>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</si>
  <si>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</si>
  <si>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</si>
  <si>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</si>
  <si>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</si>
  <si>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</si>
  <si>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</si>
  <si>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</si>
  <si>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</si>
  <si>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</si>
  <si>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</si>
  <si>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</si>
  <si>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</si>
  <si>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</si>
  <si>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</si>
  <si>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</si>
  <si>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</si>
  <si>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</si>
  <si>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</si>
  <si>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</si>
  <si>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</si>
  <si>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</si>
  <si>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</si>
  <si>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</si>
  <si>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</si>
  <si>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</si>
  <si>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</si>
  <si>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</si>
  <si>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</si>
  <si>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</si>
  <si>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</si>
  <si>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</si>
  <si>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</si>
  <si>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</si>
  <si>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</si>
  <si>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</si>
  <si>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</si>
  <si>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</si>
  <si>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</si>
  <si>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</si>
  <si>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</si>
  <si>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</si>
  <si>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</si>
  <si>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</si>
  <si>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</si>
  <si>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</si>
  <si>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</si>
  <si>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</si>
  <si>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</si>
  <si>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</si>
  <si>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</si>
  <si>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</si>
  <si>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</si>
  <si>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</si>
  <si>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</si>
  <si>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</si>
  <si>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</si>
  <si>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</si>
  <si>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</si>
  <si>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</si>
  <si>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</si>
  <si>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</si>
  <si>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</si>
  <si>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</si>
  <si>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</si>
  <si>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</si>
  <si>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</si>
  <si>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</si>
  <si>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</si>
  <si>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</si>
  <si>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</si>
  <si>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</si>
  <si>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</si>
  <si>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</si>
  <si>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</si>
  <si>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</si>
  <si>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</si>
  <si>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</si>
  <si>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</si>
  <si>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</si>
  <si>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</si>
  <si>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</si>
  <si>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</si>
  <si>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</si>
  <si>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</si>
  <si>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</si>
  <si>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</si>
  <si>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</si>
  <si>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</si>
  <si>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</si>
  <si>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</si>
  <si>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</si>
  <si>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</si>
  <si>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</si>
  <si>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</si>
  <si>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</si>
  <si>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</si>
  <si>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</si>
  <si>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</si>
  <si>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</si>
  <si>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</si>
  <si>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</si>
  <si>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</si>
  <si>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</si>
  <si>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</si>
  <si>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</si>
  <si>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</si>
  <si>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</si>
  <si>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</si>
  <si>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</si>
  <si>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</si>
  <si>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</si>
  <si>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</si>
  <si>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</si>
  <si>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</si>
  <si>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</si>
  <si>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</si>
  <si>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</si>
  <si>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</si>
  <si>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</si>
  <si>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</si>
  <si>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</si>
  <si>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</si>
  <si>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</si>
  <si>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</si>
  <si>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</si>
  <si>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</si>
  <si>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</si>
  <si>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</si>
  <si>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</si>
  <si>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</si>
  <si>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</si>
  <si>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</si>
  <si>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</si>
  <si>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</si>
  <si>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</si>
  <si>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</si>
  <si>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</si>
  <si>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</si>
  <si>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</si>
  <si>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</si>
  <si>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</si>
  <si>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</si>
  <si>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</si>
  <si>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</si>
  <si>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</si>
  <si>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</si>
  <si>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</si>
  <si>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</si>
  <si>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</si>
  <si>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</si>
  <si>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</si>
  <si>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</si>
  <si>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</si>
  <si>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</si>
  <si>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</si>
  <si>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</si>
  <si>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</si>
  <si>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</si>
  <si>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</si>
  <si>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</si>
  <si>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</si>
  <si>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</si>
  <si>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</si>
  <si>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</si>
  <si>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</si>
  <si>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</si>
  <si>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</si>
  <si>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</si>
  <si>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</si>
  <si>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</si>
  <si>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</si>
  <si>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</si>
  <si>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</si>
  <si>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</si>
  <si>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</si>
  <si>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</si>
  <si>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</si>
  <si>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</si>
  <si>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</si>
  <si>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</si>
  <si>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</si>
  <si>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</si>
  <si>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</si>
  <si>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</si>
  <si>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</si>
  <si>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</si>
  <si>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</si>
  <si>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</si>
  <si>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</si>
  <si>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</si>
  <si>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</si>
  <si>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</si>
  <si>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</si>
  <si>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</si>
  <si>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</si>
  <si>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</si>
  <si>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</si>
  <si>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</si>
  <si>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</si>
  <si>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</si>
  <si>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</si>
  <si>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</si>
  <si>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</si>
  <si>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</si>
  <si>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</si>
  <si>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</si>
  <si>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</si>
  <si>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</si>
  <si>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</si>
  <si>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</si>
  <si>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</si>
  <si>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</si>
  <si>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</si>
  <si>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</si>
  <si>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</si>
  <si>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</si>
  <si>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</si>
  <si>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</si>
  <si>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</si>
  <si>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</si>
  <si>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</si>
  <si>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</si>
  <si>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</si>
  <si>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</si>
  <si>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</si>
  <si>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</si>
  <si>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</si>
  <si>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</si>
  <si>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</si>
  <si>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</si>
  <si>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</si>
  <si>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</si>
  <si>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</si>
  <si>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</si>
  <si>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</si>
  <si>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</si>
  <si>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</si>
  <si>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</si>
  <si>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</si>
  <si>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</si>
  <si>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</si>
  <si>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</si>
  <si>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</si>
  <si>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</si>
  <si>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</si>
  <si>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</si>
  <si>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</si>
  <si>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</si>
  <si>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</si>
  <si>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</si>
  <si>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</si>
  <si>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</si>
  <si>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</si>
  <si>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</si>
  <si>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</si>
  <si>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</si>
  <si>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</si>
  <si>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</si>
  <si>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</si>
  <si>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</si>
  <si>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</si>
  <si>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</si>
  <si>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</si>
  <si>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</si>
  <si>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</si>
  <si>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</si>
  <si>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</si>
  <si>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</si>
  <si>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</si>
  <si>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</si>
  <si>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</si>
  <si>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</si>
  <si>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</si>
  <si>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</si>
  <si>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</si>
  <si>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</si>
  <si>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</si>
  <si>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</si>
  <si>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</si>
  <si>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</si>
  <si>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</si>
  <si>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</si>
  <si>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</si>
  <si>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</si>
  <si>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</si>
  <si>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</si>
  <si>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</si>
  <si>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</si>
  <si>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</si>
  <si>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</si>
  <si>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</si>
  <si>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</si>
  <si>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</si>
  <si>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</si>
  <si>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</si>
  <si>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</si>
  <si>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</si>
  <si>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</si>
  <si>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</si>
  <si>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</si>
  <si>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</si>
  <si>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</si>
  <si>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</si>
  <si>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</si>
  <si>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</si>
  <si>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</si>
  <si>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</si>
  <si>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</si>
  <si>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</si>
  <si>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</si>
  <si>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</si>
  <si>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</si>
  <si>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</si>
  <si>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</si>
  <si>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</si>
  <si>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</si>
  <si>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</si>
  <si>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</si>
  <si>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</si>
  <si>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</si>
  <si>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</si>
  <si>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</si>
  <si>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</si>
  <si>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</si>
  <si>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</si>
  <si>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</si>
  <si>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</si>
  <si>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</si>
  <si>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</si>
  <si>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</si>
  <si>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</si>
  <si>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</si>
  <si>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</si>
  <si>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</si>
  <si>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</si>
  <si>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</si>
  <si>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</si>
  <si>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</si>
  <si>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</si>
  <si>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</si>
  <si>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</si>
  <si>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</si>
  <si>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</si>
  <si>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</si>
  <si>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</si>
  <si>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</si>
  <si>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</si>
  <si>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</si>
  <si>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</si>
  <si>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</si>
  <si>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</si>
  <si>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</si>
  <si>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</si>
  <si>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</si>
  <si>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</si>
  <si>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</si>
  <si>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</si>
  <si>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</si>
  <si>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</si>
  <si>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</si>
  <si>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</si>
  <si>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</si>
  <si>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</si>
  <si>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</si>
  <si>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</si>
  <si>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</si>
  <si>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</si>
  <si>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</si>
  <si>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</si>
  <si>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</si>
  <si>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</si>
  <si>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</si>
  <si>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</si>
  <si>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</si>
  <si>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</si>
  <si>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</si>
  <si>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</si>
  <si>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</si>
  <si>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</si>
  <si>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</si>
  <si>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</si>
  <si>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</si>
  <si>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</si>
  <si>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</si>
  <si>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</si>
  <si>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</si>
  <si>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</si>
  <si>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</si>
  <si>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</si>
  <si>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</si>
  <si>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</si>
  <si>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</si>
  <si>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</si>
  <si>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</si>
  <si>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</si>
  <si>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</si>
  <si>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</si>
  <si>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</si>
  <si>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</si>
  <si>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</si>
  <si>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</si>
  <si>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</si>
  <si>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</si>
  <si>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</si>
  <si>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</si>
  <si>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</si>
  <si>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</si>
  <si>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</si>
  <si>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</si>
  <si>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</si>
  <si>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</si>
  <si>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</si>
  <si>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</si>
  <si>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</si>
  <si>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</si>
  <si>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</si>
  <si>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</si>
  <si>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</si>
  <si>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</si>
  <si>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</si>
  <si>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</si>
  <si>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</si>
  <si>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</si>
  <si>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</si>
  <si>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</si>
  <si>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</si>
  <si>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</si>
  <si>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</si>
  <si>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</si>
  <si>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</si>
  <si>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</si>
  <si>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</si>
  <si>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</si>
  <si>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</si>
  <si>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</si>
  <si>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</si>
  <si>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</si>
  <si>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</si>
  <si>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</si>
  <si>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</si>
  <si>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</si>
  <si>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</si>
  <si>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</si>
  <si>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</si>
  <si>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</si>
  <si>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</si>
  <si>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</si>
  <si>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</si>
  <si>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</si>
  <si>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</si>
  <si>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</si>
  <si>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</si>
  <si>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</si>
  <si>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</si>
  <si>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</si>
  <si>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</si>
  <si>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</si>
  <si>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</si>
  <si>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</si>
  <si>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</si>
  <si>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</si>
  <si>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</si>
  <si>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</si>
  <si>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</si>
  <si>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</si>
  <si>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</si>
  <si>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</si>
  <si>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</si>
  <si>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</si>
  <si>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</si>
  <si>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</si>
  <si>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</si>
  <si>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</si>
  <si>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</si>
  <si>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</si>
  <si>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</si>
  <si>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</si>
  <si>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</si>
  <si>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</si>
  <si>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</si>
  <si>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</si>
  <si>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</si>
  <si>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</si>
  <si>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</si>
  <si>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</si>
  <si>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</si>
  <si>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</si>
  <si>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</si>
  <si>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</si>
  <si>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</si>
  <si>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</si>
  <si>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</si>
  <si>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</si>
  <si>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</si>
  <si>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</si>
  <si>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</si>
  <si>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</si>
  <si>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</si>
  <si>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</si>
  <si>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</si>
  <si>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</si>
  <si>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</si>
  <si>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</si>
  <si>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</si>
  <si>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</si>
  <si>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</si>
  <si>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</si>
  <si>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</si>
  <si>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</si>
  <si>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</si>
  <si>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</si>
  <si>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</si>
  <si>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</si>
  <si>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</si>
  <si>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</si>
  <si>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</si>
  <si>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</si>
  <si>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</si>
  <si>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</si>
  <si>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</si>
  <si>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</si>
  <si>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</si>
  <si>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</si>
  <si>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</si>
  <si>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</si>
  <si>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</si>
  <si>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</si>
  <si>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</si>
  <si>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</si>
  <si>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</si>
  <si>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</si>
  <si>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</si>
  <si>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</si>
  <si>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</si>
  <si>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</si>
  <si>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</si>
  <si>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</si>
  <si>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</si>
  <si>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</si>
  <si>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</si>
  <si>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</si>
  <si>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</si>
  <si>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</si>
  <si>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</si>
  <si>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</si>
  <si>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</si>
  <si>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</si>
  <si>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</si>
  <si>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</si>
  <si>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</si>
  <si>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</si>
  <si>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</si>
  <si>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</si>
  <si>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</si>
  <si>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</si>
  <si>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</si>
  <si>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</si>
  <si>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</si>
  <si>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</si>
  <si>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</si>
  <si>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</si>
  <si>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</si>
  <si>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</si>
  <si>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</si>
  <si>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</si>
  <si>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</si>
  <si>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</si>
  <si>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</si>
  <si>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</si>
  <si>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</si>
  <si>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</si>
  <si>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</si>
  <si>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</si>
  <si>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</si>
  <si>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</si>
  <si>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</si>
  <si>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</si>
  <si>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</si>
  <si>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</si>
  <si>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</si>
  <si>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</si>
  <si>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</si>
  <si>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</si>
  <si>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</si>
  <si>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</si>
  <si>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</si>
  <si>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</si>
  <si>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</si>
  <si>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</si>
  <si>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</si>
  <si>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</si>
  <si>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</si>
  <si>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</si>
  <si>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</si>
  <si>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</si>
  <si>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</si>
  <si>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</si>
  <si>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</si>
  <si>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</si>
  <si>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</si>
  <si>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</si>
  <si>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</si>
  <si>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</si>
  <si>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</si>
  <si>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</si>
  <si>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</si>
  <si>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</si>
  <si>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</si>
  <si>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</si>
  <si>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</si>
  <si>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</si>
  <si>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</si>
  <si>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</si>
  <si>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</si>
  <si>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</si>
  <si>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</si>
  <si>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</si>
  <si>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</si>
  <si>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</si>
  <si>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</si>
  <si>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</si>
  <si>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</si>
  <si>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</si>
  <si>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</si>
  <si>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</si>
  <si>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</si>
  <si>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</si>
  <si>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</si>
  <si>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</si>
  <si>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</si>
  <si>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</si>
  <si>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</si>
  <si>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</si>
  <si>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</si>
  <si>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</si>
  <si>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</si>
  <si>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t>抵押</t>
  </si>
  <si>
    <t>房地产抵押价值</t>
  </si>
  <si>
    <t>北京市</t>
  </si>
  <si>
    <t>企业</t>
  </si>
  <si>
    <t>序号</t>
    <phoneticPr fontId="134" type="noConversion"/>
  </si>
  <si>
    <t>楼号</t>
    <phoneticPr fontId="134" type="noConversion"/>
  </si>
  <si>
    <t>3#倒班宿舍</t>
    <phoneticPr fontId="134" type="noConversion"/>
  </si>
  <si>
    <t>4#地下车库</t>
    <phoneticPr fontId="134" type="noConversion"/>
  </si>
  <si>
    <t>5#化学品库</t>
    <phoneticPr fontId="134" type="noConversion"/>
  </si>
  <si>
    <t>总建筑面积</t>
    <phoneticPr fontId="134" type="noConversion"/>
  </si>
  <si>
    <t>地上建筑面积</t>
    <phoneticPr fontId="134" type="noConversion"/>
  </si>
  <si>
    <t>地下建筑面</t>
    <phoneticPr fontId="134" type="noConversion"/>
  </si>
  <si>
    <t>地上人防</t>
    <phoneticPr fontId="134" type="noConversion"/>
  </si>
  <si>
    <t>工业（不含人防）</t>
    <phoneticPr fontId="134" type="noConversion"/>
  </si>
  <si>
    <t>1#生产厂房</t>
    <phoneticPr fontId="134" type="noConversion"/>
  </si>
  <si>
    <t>2#研发试验厂房</t>
    <phoneticPr fontId="134" type="noConversion"/>
  </si>
  <si>
    <t>地下人防</t>
    <phoneticPr fontId="134" type="noConversion"/>
  </si>
  <si>
    <t>地下车库</t>
    <phoneticPr fontId="134" type="noConversion"/>
  </si>
  <si>
    <t>工业</t>
    <phoneticPr fontId="3" type="noConversion"/>
  </si>
  <si>
    <t>是</t>
  </si>
  <si>
    <t>地上</t>
  </si>
  <si>
    <t>地下</t>
  </si>
  <si>
    <t>未包含在土地购买价格中</t>
  </si>
  <si>
    <t>已包含在土地取得成本中</t>
  </si>
  <si>
    <t>面积</t>
    <phoneticPr fontId="3" type="noConversion"/>
  </si>
  <si>
    <t>总楼层</t>
    <phoneticPr fontId="3" type="noConversion"/>
  </si>
  <si>
    <t>建安</t>
    <phoneticPr fontId="3" type="noConversion"/>
  </si>
  <si>
    <t>工程进度</t>
  </si>
  <si>
    <t>收益法</t>
  </si>
  <si>
    <t>在建（套用方法）</t>
  </si>
  <si>
    <t>押一</t>
  </si>
  <si>
    <t>钢混</t>
  </si>
  <si>
    <t>生产用房</t>
  </si>
  <si>
    <t>成本法</t>
  </si>
  <si>
    <t>假设开发法</t>
  </si>
  <si>
    <t>在建</t>
  </si>
  <si>
    <t>项目全部</t>
  </si>
  <si>
    <t>总价</t>
  </si>
  <si>
    <t>楼面地价</t>
  </si>
  <si>
    <t>地块名称</t>
  </si>
  <si>
    <t>城市</t>
  </si>
  <si>
    <t>地块编号</t>
  </si>
  <si>
    <t>建设用地面积(㎡)</t>
  </si>
  <si>
    <t>规划建筑面积(㎡)</t>
  </si>
  <si>
    <t>用地性质</t>
  </si>
  <si>
    <t>详细规划</t>
  </si>
  <si>
    <t>容积率</t>
  </si>
  <si>
    <t>出让方式</t>
  </si>
  <si>
    <t>成交时间</t>
  </si>
  <si>
    <t>受让单位</t>
  </si>
  <si>
    <t>成交价(万元)</t>
  </si>
  <si>
    <t>成交土地单价(元/㎡)</t>
  </si>
  <si>
    <t>成交楼面价(元/㎡)</t>
  </si>
  <si>
    <t>小于等于1.5</t>
  </si>
  <si>
    <t>挂牌</t>
  </si>
  <si>
    <t>2</t>
  </si>
  <si>
    <t>一类工业用地(M1)</t>
  </si>
  <si>
    <t>亦庄新城YZ00-0106街区15M1地块工业项目</t>
  </si>
  <si>
    <t>京开国土挂[2023]14号</t>
  </si>
  <si>
    <t>一类工业用地 (M1)</t>
  </si>
  <si>
    <t>≤2.0</t>
  </si>
  <si>
    <t>2023-12-19</t>
  </si>
  <si>
    <t>艾美疫苗股份有限公司</t>
  </si>
  <si>
    <t>亦庄新城YZ00-0206街区X44M1地块M1/M4混合用地项目</t>
  </si>
  <si>
    <t>京开国土挂[2023]12号</t>
  </si>
  <si>
    <t>M1/M4混合</t>
  </si>
  <si>
    <t>≤2.5</t>
  </si>
  <si>
    <t>2023-10-11</t>
  </si>
  <si>
    <t>北京国科天迅科技股份有限公司</t>
  </si>
  <si>
    <t>亦庄新城0205街区X18-1M1地块工业项目</t>
  </si>
  <si>
    <t>京开国土挂[2023]08号</t>
  </si>
  <si>
    <t>2023-07-05</t>
  </si>
  <si>
    <t>北京英创汇智科技有限公司</t>
  </si>
  <si>
    <t>亦庄新城0302街区B11M3地块工业项目</t>
  </si>
  <si>
    <t>京开国土挂[2023]01号</t>
  </si>
  <si>
    <t>工业M1</t>
  </si>
  <si>
    <t>≤0.8</t>
  </si>
  <si>
    <t>2023-02-23</t>
  </si>
  <si>
    <t>广钢气体(北京)有限公司</t>
  </si>
  <si>
    <t>亦庄新城0104街区48M4地块工业项目</t>
  </si>
  <si>
    <t>京开国土挂[2022]15号</t>
  </si>
  <si>
    <t>工业研发用地(M4)</t>
  </si>
  <si>
    <t>小于等于2.35</t>
  </si>
  <si>
    <t>2023-01-29</t>
  </si>
  <si>
    <t>北京北方华创微电子装备有限公司</t>
  </si>
  <si>
    <t>北京经济技术开发区42M2地块工业项目</t>
  </si>
  <si>
    <t>京开国土挂[2022]14号</t>
  </si>
  <si>
    <t>北京屹唐科技有限公司</t>
  </si>
  <si>
    <t>亦庄新城0104街区34M4地块工业项目</t>
  </si>
  <si>
    <t>京开国土挂[2022]13号</t>
  </si>
  <si>
    <t>小于等于1.07</t>
  </si>
  <si>
    <t>正常</t>
  </si>
  <si>
    <t>工业</t>
    <phoneticPr fontId="32" type="noConversion"/>
  </si>
  <si>
    <t>较好</t>
  </si>
  <si>
    <t>一般</t>
  </si>
  <si>
    <t>七通</t>
  </si>
  <si>
    <t>较规则</t>
    <phoneticPr fontId="32" type="noConversion"/>
  </si>
  <si>
    <t>七通</t>
    <phoneticPr fontId="32" type="noConversion"/>
  </si>
  <si>
    <t>较好</t>
    <phoneticPr fontId="32" type="noConversion"/>
  </si>
  <si>
    <t>Ⅵ-BDA东</t>
  </si>
  <si>
    <t>估价对象容积率</t>
  </si>
  <si>
    <t>不临65条商业街</t>
  </si>
  <si>
    <t>与级别开发程度一致</t>
  </si>
  <si>
    <t>租金</t>
    <phoneticPr fontId="3" type="noConversion"/>
  </si>
  <si>
    <t>亦庄新城0107街区72M1地块工业项目</t>
  </si>
  <si>
    <t>京开国土挂[2022]6号</t>
  </si>
  <si>
    <t>工业(M1)</t>
  </si>
  <si>
    <t>≤1.5</t>
  </si>
  <si>
    <t>萨姆森控制设备(中国)有限公司</t>
  </si>
  <si>
    <t>成本比率</t>
  </si>
  <si>
    <t>已部分缴纳</t>
  </si>
  <si>
    <t>序号</t>
    <phoneticPr fontId="134" type="noConversion"/>
  </si>
  <si>
    <t>地上规划建筑面积</t>
    <phoneticPr fontId="134" type="noConversion"/>
  </si>
  <si>
    <t>地下规划建筑面</t>
    <phoneticPr fontId="134" type="noConversion"/>
  </si>
  <si>
    <t>总层数</t>
    <phoneticPr fontId="134" type="noConversion"/>
  </si>
  <si>
    <t>1（-1）</t>
    <phoneticPr fontId="134" type="noConversion"/>
  </si>
  <si>
    <t>总规划建筑面积（不含人防）</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</si>
</sst>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2"/>
      <color theme="1"/>
      <name val="宋体"/>
      <family val="2"/>
      <scheme val="minor"/>
    </font>
    <font>
      <sz val="10"/>
      <color theme="1"/>
      <name val="宋体"/>
      <family val="2"/>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0" fillId="0" borderId="0"/>
  </cellStyleXfs>
  <cellXfs count="349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107" fillId="0" borderId="0" xfId="0" applyFont="1">
      <alignment vertical="center"/>
    </xf>
    <xf numFmtId="0" fontId="77" fillId="0" borderId="1" xfId="0" applyFont="1" applyBorder="1" applyAlignment="1" applyProtection="1">
      <alignment horizontal="center" vertical="center" wrapText="1"/>
      <protection locked="0"/>
    </xf>
    <xf numFmtId="0" fontId="107" fillId="0" borderId="0" xfId="0" applyFont="1" applyProtection="1">
      <alignment vertical="center"/>
      <protection locked="0"/>
    </xf>
    <xf numFmtId="0" fontId="77" fillId="12" borderId="0" xfId="0" applyFont="1" applyFill="1" applyProtection="1">
      <alignment vertical="center"/>
      <protection locked="0"/>
    </xf>
    <xf numFmtId="0" fontId="107" fillId="5" borderId="0" xfId="0" applyFont="1" applyFill="1">
      <alignment vertical="center"/>
    </xf>
    <xf numFmtId="0" fontId="128" fillId="2" borderId="51" xfId="0" applyFont="1" applyFill="1" applyBorder="1" applyAlignment="1" applyProtection="1">
      <alignment horizontal="center" vertical="center" wrapText="1"/>
      <protection locked="0"/>
    </xf>
    <xf numFmtId="49" fontId="94" fillId="2" borderId="23" xfId="0" applyNumberFormat="1" applyFont="1" applyFill="1" applyBorder="1" applyAlignment="1" applyProtection="1">
      <alignment horizontal="center" vertical="center" wrapText="1"/>
      <protection locked="0"/>
    </xf>
    <xf numFmtId="9" fontId="128" fillId="2" borderId="37" xfId="0" applyNumberFormat="1" applyFont="1" applyFill="1" applyBorder="1" applyAlignment="1" applyProtection="1">
      <alignment horizontal="center"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51" fillId="6" borderId="6"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44" fillId="6" borderId="54" xfId="0" applyFont="1" applyFill="1" applyBorder="1" applyAlignment="1">
      <alignment horizontal="center" vertical="center"/>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5" xfId="0" applyFont="1" applyFill="1" applyBorder="1" applyAlignment="1">
      <alignment horizontal="center" vertical="center" textRotation="255"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13" xfId="0" applyFont="1" applyFill="1" applyBorder="1" applyAlignment="1">
      <alignment horizontal="center" vertical="center" textRotation="255" wrapText="1"/>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185" fontId="50" fillId="18" borderId="1" xfId="0" applyNumberFormat="1" applyFont="1" applyFill="1" applyBorder="1" applyAlignment="1">
      <alignment horizontal="center" vertical="center"/>
    </xf>
    <xf numFmtId="185" fontId="51" fillId="6" borderId="1" xfId="0" applyNumberFormat="1" applyFont="1" applyFill="1" applyBorder="1" applyAlignment="1">
      <alignment horizontal="center" vertical="center"/>
    </xf>
    <xf numFmtId="0" fontId="107" fillId="0" borderId="0" xfId="19" applyFont="1"/>
    <xf numFmtId="0" fontId="271" fillId="5" borderId="0" xfId="19" applyFont="1" applyFill="1"/>
    <xf numFmtId="0" fontId="107" fillId="5" borderId="0" xfId="19" applyFont="1" applyFill="1"/>
    <xf numFmtId="0" fontId="271" fillId="0" borderId="0" xfId="19" applyFont="1"/>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0" fillId="18" borderId="1" xfId="0" applyFont="1" applyFill="1" applyBorder="1" applyAlignment="1">
      <alignment horizontal="center" vertical="center"/>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0" fillId="6" borderId="1" xfId="0" applyFont="1" applyFill="1" applyBorder="1" applyAlignment="1">
      <alignment horizontal="center" vertical="center"/>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14" fontId="271" fillId="5" borderId="0" xfId="19" applyNumberFormat="1" applyFont="1" applyFill="1"/>
    <xf numFmtId="14" fontId="271" fillId="5" borderId="0" xfId="19" applyNumberFormat="1" applyFont="1" applyFill="1"/>
  </cellXfs>
  <cellStyles count="20">
    <cellStyle name="百分比" xfId="17" builtinId="5"/>
    <cellStyle name="百分比 2" xfId="14" xr:uid="{00000000-0005-0000-0000-000001000000}"/>
    <cellStyle name="常规" xfId="0" builtinId="0"/>
    <cellStyle name="常规 10" xfId="19" xr:uid="{D4E30541-FE1D-476A-A992-7CDD962CE34A}"/>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123825</xdr:colOff>
      <xdr:row>0</xdr:row>
      <xdr:rowOff>0</xdr:rowOff>
    </xdr:from>
    <xdr:to>
      <xdr:col>20</xdr:col>
      <xdr:colOff>380025</xdr:colOff>
      <xdr:row>37</xdr:row>
      <xdr:rowOff>94445</xdr:rowOff>
    </xdr:to>
    <xdr:pic>
      <xdr:nvPicPr>
        <xdr:cNvPr id="2" name="图片 1">
          <a:extLst>
            <a:ext uri="{FF2B5EF4-FFF2-40B4-BE49-F238E27FC236}">
              <a16:creationId xmlns:a16="http://schemas.microsoft.com/office/drawing/2014/main" id="{C5021D9A-FC27-FB54-DFF6-5F664C642D52}"/>
            </a:ext>
          </a:extLst>
        </xdr:cNvPr>
        <xdr:cNvPicPr>
          <a:picLocks noChangeAspect="1"/>
        </xdr:cNvPicPr>
      </xdr:nvPicPr>
      <xdr:blipFill>
        <a:blip xmlns:r="http://schemas.openxmlformats.org/officeDocument/2006/relationships" r:embed="rId1"/>
        <a:stretch>
          <a:fillRect/>
        </a:stretch>
      </xdr:blipFill>
      <xdr:spPr>
        <a:xfrm>
          <a:off x="6962775" y="0"/>
          <a:ext cx="7800000" cy="6438095"/>
        </a:xfrm>
        <a:prstGeom prst="rect">
          <a:avLst/>
        </a:prstGeom>
      </xdr:spPr>
    </xdr:pic>
    <xdr:clientData/>
  </xdr:twoCellAnchor>
  <xdr:twoCellAnchor editAs="oneCell">
    <xdr:from>
      <xdr:col>8</xdr:col>
      <xdr:colOff>360588</xdr:colOff>
      <xdr:row>37</xdr:row>
      <xdr:rowOff>93890</xdr:rowOff>
    </xdr:from>
    <xdr:to>
      <xdr:col>20</xdr:col>
      <xdr:colOff>355481</xdr:colOff>
      <xdr:row>47</xdr:row>
      <xdr:rowOff>112723</xdr:rowOff>
    </xdr:to>
    <xdr:pic>
      <xdr:nvPicPr>
        <xdr:cNvPr id="3" name="图片 2">
          <a:extLst>
            <a:ext uri="{FF2B5EF4-FFF2-40B4-BE49-F238E27FC236}">
              <a16:creationId xmlns:a16="http://schemas.microsoft.com/office/drawing/2014/main" id="{905F07A1-455A-8051-6990-0CA1462B1AC4}"/>
            </a:ext>
          </a:extLst>
        </xdr:cNvPr>
        <xdr:cNvPicPr>
          <a:picLocks noChangeAspect="1"/>
        </xdr:cNvPicPr>
      </xdr:nvPicPr>
      <xdr:blipFill>
        <a:blip xmlns:r="http://schemas.openxmlformats.org/officeDocument/2006/relationships" r:embed="rId2"/>
        <a:stretch>
          <a:fillRect/>
        </a:stretch>
      </xdr:blipFill>
      <xdr:spPr>
        <a:xfrm>
          <a:off x="6524624" y="6638926"/>
          <a:ext cx="8159178" cy="1787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723900</xdr:colOff>
      <xdr:row>14</xdr:row>
      <xdr:rowOff>114300</xdr:rowOff>
    </xdr:from>
    <xdr:to>
      <xdr:col>14</xdr:col>
      <xdr:colOff>345200</xdr:colOff>
      <xdr:row>34</xdr:row>
      <xdr:rowOff>66267</xdr:rowOff>
    </xdr:to>
    <xdr:pic>
      <xdr:nvPicPr>
        <xdr:cNvPr id="3" name="图片 2">
          <a:extLst>
            <a:ext uri="{FF2B5EF4-FFF2-40B4-BE49-F238E27FC236}">
              <a16:creationId xmlns:a16="http://schemas.microsoft.com/office/drawing/2014/main" id="{B01F5DB5-1704-0004-1C35-CAB43A0F6BE5}"/>
            </a:ext>
          </a:extLst>
        </xdr:cNvPr>
        <xdr:cNvPicPr>
          <a:picLocks noChangeAspect="1"/>
        </xdr:cNvPicPr>
      </xdr:nvPicPr>
      <xdr:blipFill>
        <a:blip xmlns:r="http://schemas.openxmlformats.org/officeDocument/2006/relationships" r:embed="rId1"/>
        <a:stretch>
          <a:fillRect/>
        </a:stretch>
      </xdr:blipFill>
      <xdr:spPr>
        <a:xfrm>
          <a:off x="8724900" y="2247900"/>
          <a:ext cx="4019048" cy="3266667"/>
        </a:xfrm>
        <a:prstGeom prst="rect">
          <a:avLst/>
        </a:prstGeom>
      </xdr:spPr>
    </xdr:pic>
    <xdr:clientData/>
  </xdr:twoCellAnchor>
  <xdr:twoCellAnchor editAs="oneCell">
    <xdr:from>
      <xdr:col>0</xdr:col>
      <xdr:colOff>0</xdr:colOff>
      <xdr:row>10</xdr:row>
      <xdr:rowOff>0</xdr:rowOff>
    </xdr:from>
    <xdr:to>
      <xdr:col>7</xdr:col>
      <xdr:colOff>446730</xdr:colOff>
      <xdr:row>38</xdr:row>
      <xdr:rowOff>66090</xdr:rowOff>
    </xdr:to>
    <xdr:pic>
      <xdr:nvPicPr>
        <xdr:cNvPr id="4" name="图片 3">
          <a:extLst>
            <a:ext uri="{FF2B5EF4-FFF2-40B4-BE49-F238E27FC236}">
              <a16:creationId xmlns:a16="http://schemas.microsoft.com/office/drawing/2014/main" id="{9552011F-5495-D4CE-6E31-A716550FB899}"/>
            </a:ext>
          </a:extLst>
        </xdr:cNvPr>
        <xdr:cNvPicPr>
          <a:picLocks noChangeAspect="1"/>
        </xdr:cNvPicPr>
      </xdr:nvPicPr>
      <xdr:blipFill>
        <a:blip xmlns:r="http://schemas.openxmlformats.org/officeDocument/2006/relationships" r:embed="rId2"/>
        <a:stretch>
          <a:fillRect/>
        </a:stretch>
      </xdr:blipFill>
      <xdr:spPr>
        <a:xfrm>
          <a:off x="0" y="1524000"/>
          <a:ext cx="7561905" cy="4676190"/>
        </a:xfrm>
        <a:prstGeom prst="rect">
          <a:avLst/>
        </a:prstGeom>
      </xdr:spPr>
    </xdr:pic>
    <xdr:clientData/>
  </xdr:twoCellAnchor>
  <xdr:twoCellAnchor editAs="oneCell">
    <xdr:from>
      <xdr:col>14</xdr:col>
      <xdr:colOff>610962</xdr:colOff>
      <xdr:row>12</xdr:row>
      <xdr:rowOff>81642</xdr:rowOff>
    </xdr:from>
    <xdr:to>
      <xdr:col>30</xdr:col>
      <xdr:colOff>419114</xdr:colOff>
      <xdr:row>54</xdr:row>
      <xdr:rowOff>7280</xdr:rowOff>
    </xdr:to>
    <xdr:pic>
      <xdr:nvPicPr>
        <xdr:cNvPr id="5" name="图片 4">
          <a:extLst>
            <a:ext uri="{FF2B5EF4-FFF2-40B4-BE49-F238E27FC236}">
              <a16:creationId xmlns:a16="http://schemas.microsoft.com/office/drawing/2014/main" id="{087E2813-2943-ABCC-F840-288A6970E5C9}"/>
            </a:ext>
          </a:extLst>
        </xdr:cNvPr>
        <xdr:cNvPicPr>
          <a:picLocks noChangeAspect="1"/>
        </xdr:cNvPicPr>
      </xdr:nvPicPr>
      <xdr:blipFill>
        <a:blip xmlns:r="http://schemas.openxmlformats.org/officeDocument/2006/relationships" r:embed="rId3"/>
        <a:stretch>
          <a:fillRect/>
        </a:stretch>
      </xdr:blipFill>
      <xdr:spPr>
        <a:xfrm>
          <a:off x="12911819" y="1877785"/>
          <a:ext cx="10693866" cy="7137424"/>
        </a:xfrm>
        <a:prstGeom prst="rect">
          <a:avLst/>
        </a:prstGeom>
      </xdr:spPr>
    </xdr:pic>
    <xdr:clientData/>
  </xdr:twoCellAnchor>
  <xdr:twoCellAnchor editAs="oneCell">
    <xdr:from>
      <xdr:col>14</xdr:col>
      <xdr:colOff>612321</xdr:colOff>
      <xdr:row>0</xdr:row>
      <xdr:rowOff>0</xdr:rowOff>
    </xdr:from>
    <xdr:to>
      <xdr:col>22</xdr:col>
      <xdr:colOff>550415</xdr:colOff>
      <xdr:row>12</xdr:row>
      <xdr:rowOff>13381</xdr:rowOff>
    </xdr:to>
    <xdr:pic>
      <xdr:nvPicPr>
        <xdr:cNvPr id="7" name="图片 6">
          <a:extLst>
            <a:ext uri="{FF2B5EF4-FFF2-40B4-BE49-F238E27FC236}">
              <a16:creationId xmlns:a16="http://schemas.microsoft.com/office/drawing/2014/main" id="{1ED9C9B7-EEE7-1A38-46D9-4C193137E3AD}"/>
            </a:ext>
          </a:extLst>
        </xdr:cNvPr>
        <xdr:cNvPicPr>
          <a:picLocks noChangeAspect="1"/>
        </xdr:cNvPicPr>
      </xdr:nvPicPr>
      <xdr:blipFill>
        <a:blip xmlns:r="http://schemas.openxmlformats.org/officeDocument/2006/relationships" r:embed="rId4"/>
        <a:stretch>
          <a:fillRect/>
        </a:stretch>
      </xdr:blipFill>
      <xdr:spPr>
        <a:xfrm>
          <a:off x="12913178" y="0"/>
          <a:ext cx="5380952" cy="1809524"/>
        </a:xfrm>
        <a:prstGeom prst="rect">
          <a:avLst/>
        </a:prstGeom>
      </xdr:spPr>
    </xdr:pic>
    <xdr:clientData/>
  </xdr:twoCellAnchor>
  <xdr:twoCellAnchor editAs="oneCell">
    <xdr:from>
      <xdr:col>15</xdr:col>
      <xdr:colOff>0</xdr:colOff>
      <xdr:row>55</xdr:row>
      <xdr:rowOff>0</xdr:rowOff>
    </xdr:from>
    <xdr:to>
      <xdr:col>22</xdr:col>
      <xdr:colOff>256548</xdr:colOff>
      <xdr:row>64</xdr:row>
      <xdr:rowOff>150821</xdr:rowOff>
    </xdr:to>
    <xdr:pic>
      <xdr:nvPicPr>
        <xdr:cNvPr id="8" name="图片 7">
          <a:extLst>
            <a:ext uri="{FF2B5EF4-FFF2-40B4-BE49-F238E27FC236}">
              <a16:creationId xmlns:a16="http://schemas.microsoft.com/office/drawing/2014/main" id="{B250BC58-E019-AEDC-A586-BCBE5BD955F4}"/>
            </a:ext>
          </a:extLst>
        </xdr:cNvPr>
        <xdr:cNvPicPr>
          <a:picLocks noChangeAspect="1"/>
        </xdr:cNvPicPr>
      </xdr:nvPicPr>
      <xdr:blipFill>
        <a:blip xmlns:r="http://schemas.openxmlformats.org/officeDocument/2006/relationships" r:embed="rId5"/>
        <a:stretch>
          <a:fillRect/>
        </a:stretch>
      </xdr:blipFill>
      <xdr:spPr>
        <a:xfrm>
          <a:off x="12981214" y="9184821"/>
          <a:ext cx="5019048" cy="1742857"/>
        </a:xfrm>
        <a:prstGeom prst="rect">
          <a:avLst/>
        </a:prstGeom>
      </xdr:spPr>
    </xdr:pic>
    <xdr:clientData/>
  </xdr:twoCellAnchor>
  <xdr:twoCellAnchor editAs="oneCell">
    <xdr:from>
      <xdr:col>15</xdr:col>
      <xdr:colOff>0</xdr:colOff>
      <xdr:row>66</xdr:row>
      <xdr:rowOff>0</xdr:rowOff>
    </xdr:from>
    <xdr:to>
      <xdr:col>30</xdr:col>
      <xdr:colOff>61311</xdr:colOff>
      <xdr:row>106</xdr:row>
      <xdr:rowOff>57619</xdr:rowOff>
    </xdr:to>
    <xdr:pic>
      <xdr:nvPicPr>
        <xdr:cNvPr id="9" name="图片 8">
          <a:extLst>
            <a:ext uri="{FF2B5EF4-FFF2-40B4-BE49-F238E27FC236}">
              <a16:creationId xmlns:a16="http://schemas.microsoft.com/office/drawing/2014/main" id="{37F5A682-0788-B7EE-6010-2ED8EEB4082F}"/>
            </a:ext>
          </a:extLst>
        </xdr:cNvPr>
        <xdr:cNvPicPr>
          <a:picLocks noChangeAspect="1"/>
        </xdr:cNvPicPr>
      </xdr:nvPicPr>
      <xdr:blipFill>
        <a:blip xmlns:r="http://schemas.openxmlformats.org/officeDocument/2006/relationships" r:embed="rId6"/>
        <a:stretch>
          <a:fillRect/>
        </a:stretch>
      </xdr:blipFill>
      <xdr:spPr>
        <a:xfrm>
          <a:off x="12981214" y="11130643"/>
          <a:ext cx="10266667" cy="7133333"/>
        </a:xfrm>
        <a:prstGeom prst="rect">
          <a:avLst/>
        </a:prstGeom>
      </xdr:spPr>
    </xdr:pic>
    <xdr:clientData/>
  </xdr:twoCellAnchor>
  <xdr:twoCellAnchor editAs="oneCell">
    <xdr:from>
      <xdr:col>15</xdr:col>
      <xdr:colOff>0</xdr:colOff>
      <xdr:row>107</xdr:row>
      <xdr:rowOff>0</xdr:rowOff>
    </xdr:from>
    <xdr:to>
      <xdr:col>22</xdr:col>
      <xdr:colOff>504167</xdr:colOff>
      <xdr:row>117</xdr:row>
      <xdr:rowOff>31071</xdr:rowOff>
    </xdr:to>
    <xdr:pic>
      <xdr:nvPicPr>
        <xdr:cNvPr id="10" name="图片 9">
          <a:extLst>
            <a:ext uri="{FF2B5EF4-FFF2-40B4-BE49-F238E27FC236}">
              <a16:creationId xmlns:a16="http://schemas.microsoft.com/office/drawing/2014/main" id="{D56B1DAF-6EB2-1BFE-9465-B6CDBC607176}"/>
            </a:ext>
          </a:extLst>
        </xdr:cNvPr>
        <xdr:cNvPicPr>
          <a:picLocks noChangeAspect="1"/>
        </xdr:cNvPicPr>
      </xdr:nvPicPr>
      <xdr:blipFill>
        <a:blip xmlns:r="http://schemas.openxmlformats.org/officeDocument/2006/relationships" r:embed="rId7"/>
        <a:stretch>
          <a:fillRect/>
        </a:stretch>
      </xdr:blipFill>
      <xdr:spPr>
        <a:xfrm>
          <a:off x="12981214" y="18383250"/>
          <a:ext cx="5266667" cy="1800000"/>
        </a:xfrm>
        <a:prstGeom prst="rect">
          <a:avLst/>
        </a:prstGeom>
      </xdr:spPr>
    </xdr:pic>
    <xdr:clientData/>
  </xdr:twoCellAnchor>
  <xdr:twoCellAnchor editAs="oneCell">
    <xdr:from>
      <xdr:col>15</xdr:col>
      <xdr:colOff>0</xdr:colOff>
      <xdr:row>118</xdr:row>
      <xdr:rowOff>0</xdr:rowOff>
    </xdr:from>
    <xdr:to>
      <xdr:col>30</xdr:col>
      <xdr:colOff>327977</xdr:colOff>
      <xdr:row>157</xdr:row>
      <xdr:rowOff>148797</xdr:rowOff>
    </xdr:to>
    <xdr:pic>
      <xdr:nvPicPr>
        <xdr:cNvPr id="11" name="图片 10">
          <a:extLst>
            <a:ext uri="{FF2B5EF4-FFF2-40B4-BE49-F238E27FC236}">
              <a16:creationId xmlns:a16="http://schemas.microsoft.com/office/drawing/2014/main" id="{8D54A1FC-A927-C1D2-E24F-73A3EBB8DBC4}"/>
            </a:ext>
          </a:extLst>
        </xdr:cNvPr>
        <xdr:cNvPicPr>
          <a:picLocks noChangeAspect="1"/>
        </xdr:cNvPicPr>
      </xdr:nvPicPr>
      <xdr:blipFill>
        <a:blip xmlns:r="http://schemas.openxmlformats.org/officeDocument/2006/relationships" r:embed="rId8"/>
        <a:stretch>
          <a:fillRect/>
        </a:stretch>
      </xdr:blipFill>
      <xdr:spPr>
        <a:xfrm>
          <a:off x="12981214" y="20329071"/>
          <a:ext cx="10533333" cy="7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649941</xdr:colOff>
      <xdr:row>34</xdr:row>
      <xdr:rowOff>158133</xdr:rowOff>
    </xdr:to>
    <xdr:pic>
      <xdr:nvPicPr>
        <xdr:cNvPr id="2" name="图片 1">
          <a:extLst>
            <a:ext uri="{FF2B5EF4-FFF2-40B4-BE49-F238E27FC236}">
              <a16:creationId xmlns:a16="http://schemas.microsoft.com/office/drawing/2014/main" id="{F7BE7007-E807-CE98-2A49-312E517DB1C8}"/>
            </a:ext>
          </a:extLst>
        </xdr:cNvPr>
        <xdr:cNvPicPr>
          <a:picLocks noChangeAspect="1"/>
        </xdr:cNvPicPr>
      </xdr:nvPicPr>
      <xdr:blipFill>
        <a:blip xmlns:r="http://schemas.openxmlformats.org/officeDocument/2006/relationships" r:embed="rId1"/>
        <a:stretch>
          <a:fillRect/>
        </a:stretch>
      </xdr:blipFill>
      <xdr:spPr>
        <a:xfrm>
          <a:off x="0" y="0"/>
          <a:ext cx="9536206" cy="5873133"/>
        </a:xfrm>
        <a:prstGeom prst="rect">
          <a:avLst/>
        </a:prstGeom>
      </xdr:spPr>
    </xdr:pic>
    <xdr:clientData/>
  </xdr:twoCellAnchor>
  <xdr:twoCellAnchor editAs="oneCell">
    <xdr:from>
      <xdr:col>0</xdr:col>
      <xdr:colOff>0</xdr:colOff>
      <xdr:row>36</xdr:row>
      <xdr:rowOff>0</xdr:rowOff>
    </xdr:from>
    <xdr:to>
      <xdr:col>5</xdr:col>
      <xdr:colOff>553635</xdr:colOff>
      <xdr:row>78</xdr:row>
      <xdr:rowOff>16484</xdr:rowOff>
    </xdr:to>
    <xdr:pic>
      <xdr:nvPicPr>
        <xdr:cNvPr id="3" name="图片 2">
          <a:extLst>
            <a:ext uri="{FF2B5EF4-FFF2-40B4-BE49-F238E27FC236}">
              <a16:creationId xmlns:a16="http://schemas.microsoft.com/office/drawing/2014/main" id="{5A935CFF-D739-838F-7111-BD20658EB1BB}"/>
            </a:ext>
          </a:extLst>
        </xdr:cNvPr>
        <xdr:cNvPicPr>
          <a:picLocks noChangeAspect="1"/>
        </xdr:cNvPicPr>
      </xdr:nvPicPr>
      <xdr:blipFill>
        <a:blip xmlns:r="http://schemas.openxmlformats.org/officeDocument/2006/relationships" r:embed="rId2"/>
        <a:stretch>
          <a:fillRect/>
        </a:stretch>
      </xdr:blipFill>
      <xdr:spPr>
        <a:xfrm>
          <a:off x="0" y="6051176"/>
          <a:ext cx="3971429" cy="7076190"/>
        </a:xfrm>
        <a:prstGeom prst="rect">
          <a:avLst/>
        </a:prstGeom>
      </xdr:spPr>
    </xdr:pic>
    <xdr:clientData/>
  </xdr:twoCellAnchor>
  <xdr:twoCellAnchor editAs="oneCell">
    <xdr:from>
      <xdr:col>6</xdr:col>
      <xdr:colOff>0</xdr:colOff>
      <xdr:row>36</xdr:row>
      <xdr:rowOff>0</xdr:rowOff>
    </xdr:from>
    <xdr:to>
      <xdr:col>11</xdr:col>
      <xdr:colOff>220301</xdr:colOff>
      <xdr:row>66</xdr:row>
      <xdr:rowOff>4971</xdr:rowOff>
    </xdr:to>
    <xdr:pic>
      <xdr:nvPicPr>
        <xdr:cNvPr id="5" name="图片 4">
          <a:extLst>
            <a:ext uri="{FF2B5EF4-FFF2-40B4-BE49-F238E27FC236}">
              <a16:creationId xmlns:a16="http://schemas.microsoft.com/office/drawing/2014/main" id="{D8B73C55-918F-5CAB-B8E6-1D2E72C9A00D}"/>
            </a:ext>
          </a:extLst>
        </xdr:cNvPr>
        <xdr:cNvPicPr>
          <a:picLocks noChangeAspect="1"/>
        </xdr:cNvPicPr>
      </xdr:nvPicPr>
      <xdr:blipFill>
        <a:blip xmlns:r="http://schemas.openxmlformats.org/officeDocument/2006/relationships" r:embed="rId3"/>
        <a:stretch>
          <a:fillRect/>
        </a:stretch>
      </xdr:blipFill>
      <xdr:spPr>
        <a:xfrm>
          <a:off x="4101353" y="6051176"/>
          <a:ext cx="3638095" cy="5047619"/>
        </a:xfrm>
        <a:prstGeom prst="rect">
          <a:avLst/>
        </a:prstGeom>
      </xdr:spPr>
    </xdr:pic>
    <xdr:clientData/>
  </xdr:twoCellAnchor>
  <xdr:twoCellAnchor editAs="oneCell">
    <xdr:from>
      <xdr:col>12</xdr:col>
      <xdr:colOff>0</xdr:colOff>
      <xdr:row>36</xdr:row>
      <xdr:rowOff>0</xdr:rowOff>
    </xdr:from>
    <xdr:to>
      <xdr:col>16</xdr:col>
      <xdr:colOff>656241</xdr:colOff>
      <xdr:row>65</xdr:row>
      <xdr:rowOff>134965</xdr:rowOff>
    </xdr:to>
    <xdr:pic>
      <xdr:nvPicPr>
        <xdr:cNvPr id="6" name="图片 5">
          <a:extLst>
            <a:ext uri="{FF2B5EF4-FFF2-40B4-BE49-F238E27FC236}">
              <a16:creationId xmlns:a16="http://schemas.microsoft.com/office/drawing/2014/main" id="{F1E73639-0769-1543-BB8F-7B0564A944CD}"/>
            </a:ext>
          </a:extLst>
        </xdr:cNvPr>
        <xdr:cNvPicPr>
          <a:picLocks noChangeAspect="1"/>
        </xdr:cNvPicPr>
      </xdr:nvPicPr>
      <xdr:blipFill>
        <a:blip xmlns:r="http://schemas.openxmlformats.org/officeDocument/2006/relationships" r:embed="rId4"/>
        <a:stretch>
          <a:fillRect/>
        </a:stretch>
      </xdr:blipFill>
      <xdr:spPr>
        <a:xfrm>
          <a:off x="8202706" y="6051176"/>
          <a:ext cx="3390476" cy="5009524"/>
        </a:xfrm>
        <a:prstGeom prst="rect">
          <a:avLst/>
        </a:prstGeom>
      </xdr:spPr>
    </xdr:pic>
    <xdr:clientData/>
  </xdr:twoCellAnchor>
  <xdr:twoCellAnchor editAs="oneCell">
    <xdr:from>
      <xdr:col>17</xdr:col>
      <xdr:colOff>257735</xdr:colOff>
      <xdr:row>36</xdr:row>
      <xdr:rowOff>78441</xdr:rowOff>
    </xdr:from>
    <xdr:to>
      <xdr:col>22</xdr:col>
      <xdr:colOff>601846</xdr:colOff>
      <xdr:row>80</xdr:row>
      <xdr:rowOff>82558</xdr:rowOff>
    </xdr:to>
    <xdr:pic>
      <xdr:nvPicPr>
        <xdr:cNvPr id="7" name="图片 6">
          <a:extLst>
            <a:ext uri="{FF2B5EF4-FFF2-40B4-BE49-F238E27FC236}">
              <a16:creationId xmlns:a16="http://schemas.microsoft.com/office/drawing/2014/main" id="{C5291C29-A3F6-315E-4682-E948A2140EF0}"/>
            </a:ext>
          </a:extLst>
        </xdr:cNvPr>
        <xdr:cNvPicPr>
          <a:picLocks noChangeAspect="1"/>
        </xdr:cNvPicPr>
      </xdr:nvPicPr>
      <xdr:blipFill>
        <a:blip xmlns:r="http://schemas.openxmlformats.org/officeDocument/2006/relationships" r:embed="rId5"/>
        <a:stretch>
          <a:fillRect/>
        </a:stretch>
      </xdr:blipFill>
      <xdr:spPr>
        <a:xfrm>
          <a:off x="11878235" y="6129617"/>
          <a:ext cx="3761905" cy="7400000"/>
        </a:xfrm>
        <a:prstGeom prst="rect">
          <a:avLst/>
        </a:prstGeom>
      </xdr:spPr>
    </xdr:pic>
    <xdr:clientData/>
  </xdr:twoCellAnchor>
  <xdr:twoCellAnchor editAs="oneCell">
    <xdr:from>
      <xdr:col>0</xdr:col>
      <xdr:colOff>0</xdr:colOff>
      <xdr:row>80</xdr:row>
      <xdr:rowOff>0</xdr:rowOff>
    </xdr:from>
    <xdr:to>
      <xdr:col>5</xdr:col>
      <xdr:colOff>77444</xdr:colOff>
      <xdr:row>124</xdr:row>
      <xdr:rowOff>70785</xdr:rowOff>
    </xdr:to>
    <xdr:pic>
      <xdr:nvPicPr>
        <xdr:cNvPr id="8" name="图片 7">
          <a:extLst>
            <a:ext uri="{FF2B5EF4-FFF2-40B4-BE49-F238E27FC236}">
              <a16:creationId xmlns:a16="http://schemas.microsoft.com/office/drawing/2014/main" id="{AB5EA333-4B44-2AC7-4BC0-0327953DA964}"/>
            </a:ext>
          </a:extLst>
        </xdr:cNvPr>
        <xdr:cNvPicPr>
          <a:picLocks noChangeAspect="1"/>
        </xdr:cNvPicPr>
      </xdr:nvPicPr>
      <xdr:blipFill>
        <a:blip xmlns:r="http://schemas.openxmlformats.org/officeDocument/2006/relationships" r:embed="rId6"/>
        <a:stretch>
          <a:fillRect/>
        </a:stretch>
      </xdr:blipFill>
      <xdr:spPr>
        <a:xfrm>
          <a:off x="0" y="13447059"/>
          <a:ext cx="3495238" cy="7466667"/>
        </a:xfrm>
        <a:prstGeom prst="rect">
          <a:avLst/>
        </a:prstGeom>
      </xdr:spPr>
    </xdr:pic>
    <xdr:clientData/>
  </xdr:twoCellAnchor>
  <xdr:twoCellAnchor editAs="oneCell">
    <xdr:from>
      <xdr:col>5</xdr:col>
      <xdr:colOff>179294</xdr:colOff>
      <xdr:row>79</xdr:row>
      <xdr:rowOff>11206</xdr:rowOff>
    </xdr:from>
    <xdr:to>
      <xdr:col>10</xdr:col>
      <xdr:colOff>237690</xdr:colOff>
      <xdr:row>123</xdr:row>
      <xdr:rowOff>15324</xdr:rowOff>
    </xdr:to>
    <xdr:pic>
      <xdr:nvPicPr>
        <xdr:cNvPr id="9" name="图片 8">
          <a:extLst>
            <a:ext uri="{FF2B5EF4-FFF2-40B4-BE49-F238E27FC236}">
              <a16:creationId xmlns:a16="http://schemas.microsoft.com/office/drawing/2014/main" id="{5FDA4EDF-6180-CF1F-1267-F18A0E80F5C0}"/>
            </a:ext>
          </a:extLst>
        </xdr:cNvPr>
        <xdr:cNvPicPr>
          <a:picLocks noChangeAspect="1"/>
        </xdr:cNvPicPr>
      </xdr:nvPicPr>
      <xdr:blipFill>
        <a:blip xmlns:r="http://schemas.openxmlformats.org/officeDocument/2006/relationships" r:embed="rId7"/>
        <a:stretch>
          <a:fillRect/>
        </a:stretch>
      </xdr:blipFill>
      <xdr:spPr>
        <a:xfrm>
          <a:off x="3597088" y="13290177"/>
          <a:ext cx="3476190" cy="7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北京市出让国有建设用地使用权及在建建筑物房地产抵押价值预评估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受贵公司委托，我公司对北京市出让国有建设用地使用权及在建建筑物房地产抵押价值进行了预评估。</v>
      </c>
    </row>
    <row r="7" spans="1:2">
      <c r="A7" s="1119" t="s">
        <v>566</v>
      </c>
      <c r="B7" s="1120" t="str">
        <f>'预评函-1'!A7</f>
        <v>估价对象为北京市出让国有建设用地使用权及在建建筑物房地产，为所有。根据《国有土地使用证》[]，估价对象（分摊）出让国有建设用地使用权面积为29724.79平方米，建筑面积为66288.1平方米。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出让国有建设用地使用权及在建建筑物房地产,为开发建设的，该项目尚在开发建设中。根据《国有土地使用证》[]，估价对象（分摊）出让国有建设用地使用权面积为29724.79平方米，规划建筑面积为66288.1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2024年12月6日（评估专业人员实地查勘之日）</v>
      </c>
    </row>
    <row r="13" spans="1:2">
      <c r="A13" s="1119" t="s">
        <v>529</v>
      </c>
      <c r="B13" s="1120" t="str">
        <f>'预评函-1'!A18</f>
        <v>本次估价的“房地产价值”是指在正常市场情况下，在价值时点2024年12月6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
      </c>
    </row>
    <row r="18" spans="1:2" s="1115" customFormat="1" ht="15" thickBot="1">
      <c r="A18" s="1122" t="s">
        <v>534</v>
      </c>
      <c r="B18" s="1123" t="str">
        <f>'预评函-1'!A24</f>
        <v>本次评估采用的主估价方法为成本法和假设开发法。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33687</v>
      </c>
    </row>
    <row r="21" spans="1:2">
      <c r="A21" s="1119" t="s">
        <v>537</v>
      </c>
      <c r="B21" s="1120">
        <f ca="1">'预评函-2'!D7</f>
        <v>5082</v>
      </c>
    </row>
    <row r="22" spans="1:2">
      <c r="A22" s="1119" t="s">
        <v>538</v>
      </c>
      <c r="B22" s="1120" t="str">
        <f ca="1">'预评函-2'!D6</f>
        <v>叁亿叁仟陆佰捌拾柒万元整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33687</v>
      </c>
    </row>
    <row r="31" spans="1:2">
      <c r="A31" s="1119" t="s">
        <v>576</v>
      </c>
      <c r="B31" s="1120">
        <f ca="1">'预评函-2'!D15</f>
        <v>5082</v>
      </c>
    </row>
    <row r="32" spans="1:2">
      <c r="A32" s="1119" t="s">
        <v>543</v>
      </c>
      <c r="B32" s="1120" t="str">
        <f ca="1">'预评函-2'!D14</f>
        <v>叁亿叁仟陆佰捌拾柒万元整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北京市出让国有建设用地使用权及在建建筑物房地产</v>
      </c>
    </row>
    <row r="42" spans="1:2">
      <c r="A42" s="1119" t="s">
        <v>590</v>
      </c>
      <c r="B42" s="1120" t="str">
        <f>'预评函-3'!B2</f>
        <v>建筑面积</v>
      </c>
    </row>
    <row r="43" spans="1:2">
      <c r="A43" s="1119" t="s">
        <v>591</v>
      </c>
      <c r="B43" s="1120">
        <f>'预评函-3'!B4</f>
        <v>66288.099999999991</v>
      </c>
    </row>
    <row r="44" spans="1:2">
      <c r="A44" s="1119" t="s">
        <v>575</v>
      </c>
      <c r="B44" s="1120" t="str">
        <f>'预评函-3'!C2</f>
        <v>(分摊)土地面积</v>
      </c>
    </row>
    <row r="45" spans="1:2">
      <c r="A45" s="1119" t="s">
        <v>547</v>
      </c>
      <c r="B45" s="1120">
        <f>'预评函-3'!C4</f>
        <v>29724.79</v>
      </c>
    </row>
    <row r="46" spans="1:2">
      <c r="A46" s="1119" t="s">
        <v>573</v>
      </c>
      <c r="B46" s="1120" t="str">
        <f>'预评函-3'!D2</f>
        <v>出让国有建设用地使用权价值</v>
      </c>
    </row>
    <row r="47" spans="1:2">
      <c r="A47" s="1119" t="s">
        <v>548</v>
      </c>
      <c r="B47" s="1120">
        <f ca="1">'预评函-3'!D4</f>
        <v>5356</v>
      </c>
    </row>
    <row r="48" spans="1:2">
      <c r="A48" s="1119" t="s">
        <v>549</v>
      </c>
      <c r="B48" s="1120">
        <f ca="1">'预评函-3'!E4</f>
        <v>808</v>
      </c>
    </row>
    <row r="49" spans="1:2">
      <c r="A49" s="1119" t="s">
        <v>550</v>
      </c>
      <c r="B49" s="1120" t="str">
        <f ca="1">'预评函-3'!D5</f>
        <v>伍仟叁佰伍拾陆万元整</v>
      </c>
    </row>
    <row r="50" spans="1:2">
      <c r="A50" s="1119" t="s">
        <v>574</v>
      </c>
      <c r="B50" s="1120" t="str">
        <f>'预评函-3'!F2</f>
        <v>在建建筑物价值</v>
      </c>
    </row>
    <row r="51" spans="1:2">
      <c r="A51" s="1119" t="s">
        <v>551</v>
      </c>
      <c r="B51" s="1120">
        <f ca="1">'预评函-3'!F4</f>
        <v>28331</v>
      </c>
    </row>
    <row r="52" spans="1:2">
      <c r="A52" s="1119" t="s">
        <v>552</v>
      </c>
      <c r="B52" s="1120">
        <f ca="1">'预评函-3'!G4</f>
        <v>4274</v>
      </c>
    </row>
    <row r="53" spans="1:2">
      <c r="A53" s="1119" t="s">
        <v>580</v>
      </c>
      <c r="B53" s="1120" t="str">
        <f ca="1">'预评函-3'!F5</f>
        <v>贰亿捌仟叁佰叁拾壹万元整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3342</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3328</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3329</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3330</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3331</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3332</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3333</v>
      </c>
    </row>
    <row r="8" spans="1:23">
      <c r="A8" s="1441" t="s">
        <v>1026</v>
      </c>
      <c r="B8" s="1441" t="s">
        <v>1027</v>
      </c>
      <c r="C8" s="1442" t="s">
        <v>319</v>
      </c>
      <c r="F8" s="1443" t="s">
        <v>1028</v>
      </c>
      <c r="H8" s="1443" t="s">
        <v>2568</v>
      </c>
      <c r="I8" s="1443" t="s">
        <v>3334</v>
      </c>
    </row>
    <row r="9" spans="1:23">
      <c r="A9" s="1441" t="s">
        <v>1029</v>
      </c>
      <c r="B9" s="1441" t="s">
        <v>1030</v>
      </c>
      <c r="C9" s="1442" t="s">
        <v>320</v>
      </c>
      <c r="F9" s="1443" t="s">
        <v>1031</v>
      </c>
      <c r="H9" s="1443"/>
      <c r="I9" s="1445" t="s">
        <v>3335</v>
      </c>
    </row>
    <row r="10" spans="1:23">
      <c r="A10" s="1441" t="s">
        <v>1032</v>
      </c>
      <c r="B10" s="1441" t="s">
        <v>1033</v>
      </c>
      <c r="C10" s="1442" t="s">
        <v>321</v>
      </c>
      <c r="F10" s="1443" t="s">
        <v>2569</v>
      </c>
      <c r="I10" s="1445" t="s">
        <v>3336</v>
      </c>
    </row>
    <row r="11" spans="1:23">
      <c r="A11" s="1441" t="s">
        <v>1034</v>
      </c>
      <c r="B11" s="1441" t="s">
        <v>1035</v>
      </c>
      <c r="C11" s="1442" t="s">
        <v>322</v>
      </c>
      <c r="F11" s="1443" t="s">
        <v>13</v>
      </c>
      <c r="I11" s="1445" t="s">
        <v>3337</v>
      </c>
    </row>
    <row r="12" spans="1:23">
      <c r="A12" s="1441" t="s">
        <v>1036</v>
      </c>
      <c r="B12" s="1441" t="s">
        <v>1037</v>
      </c>
      <c r="C12" s="1442" t="s">
        <v>323</v>
      </c>
      <c r="I12" s="1445" t="s">
        <v>3338</v>
      </c>
    </row>
    <row r="13" spans="1:23">
      <c r="A13" s="1441" t="s">
        <v>1038</v>
      </c>
      <c r="B13" s="1441" t="s">
        <v>1039</v>
      </c>
      <c r="C13" s="1442" t="s">
        <v>324</v>
      </c>
      <c r="I13" s="1445" t="s">
        <v>3339</v>
      </c>
    </row>
    <row r="14" spans="1:23">
      <c r="A14" s="1441" t="s">
        <v>1040</v>
      </c>
      <c r="B14" s="1441" t="s">
        <v>1041</v>
      </c>
      <c r="C14" s="1443" t="s">
        <v>13</v>
      </c>
      <c r="I14" s="1445" t="s">
        <v>3340</v>
      </c>
    </row>
    <row r="15" spans="1:23">
      <c r="A15" s="1441" t="s">
        <v>1042</v>
      </c>
      <c r="B15" s="1441" t="s">
        <v>1043</v>
      </c>
      <c r="C15" s="1442"/>
      <c r="I15" s="1445" t="s">
        <v>3341</v>
      </c>
    </row>
    <row r="16" spans="1:23">
      <c r="A16" s="1441" t="s">
        <v>1044</v>
      </c>
      <c r="B16" s="1441" t="s">
        <v>312</v>
      </c>
      <c r="C16" s="1442"/>
    </row>
    <row r="17" spans="1:3">
      <c r="A17" s="1441" t="s">
        <v>1045</v>
      </c>
      <c r="B17" s="1441" t="s">
        <v>2282</v>
      </c>
      <c r="C17" s="1442"/>
    </row>
    <row r="18" spans="1:3">
      <c r="A18" s="1441" t="s">
        <v>1046</v>
      </c>
      <c r="B18" s="1441" t="s">
        <v>2424</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193"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12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93"/>
      <c r="B54" s="1447" t="s">
        <v>385</v>
      </c>
      <c r="C54" s="1445" t="s">
        <v>583</v>
      </c>
    </row>
    <row r="55" spans="1:4">
      <c r="A55" s="3193"/>
      <c r="B55" s="1447" t="s">
        <v>386</v>
      </c>
      <c r="C55" s="1445" t="s">
        <v>584</v>
      </c>
    </row>
    <row r="56" spans="1:4">
      <c r="A56" s="3193"/>
      <c r="B56" s="1447" t="s">
        <v>387</v>
      </c>
      <c r="C56" s="1445" t="s">
        <v>588</v>
      </c>
    </row>
    <row r="57" spans="1:4">
      <c r="A57" s="3193"/>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workbookViewId="0">
      <selection activeCell="D11" sqref="D11"/>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2491</v>
      </c>
      <c r="B1" s="2757"/>
      <c r="C1" s="2757"/>
      <c r="D1" s="2757"/>
      <c r="E1" s="2757"/>
      <c r="F1" s="2758"/>
      <c r="I1" s="3135" t="s">
        <v>2584</v>
      </c>
      <c r="J1" s="2783"/>
      <c r="K1" s="2783"/>
      <c r="L1" s="2783"/>
      <c r="M1" s="2783"/>
      <c r="N1" s="2968"/>
      <c r="O1" s="2968"/>
      <c r="P1" s="2968"/>
      <c r="Q1" s="2968"/>
      <c r="R1" s="2968"/>
    </row>
    <row r="2" spans="1:18">
      <c r="A2" s="2760"/>
      <c r="B2" s="2761"/>
      <c r="C2" s="2761"/>
      <c r="D2" s="2761"/>
      <c r="E2" s="2761"/>
      <c r="F2" s="2762"/>
      <c r="I2" s="3194" t="s">
        <v>2571</v>
      </c>
      <c r="J2" s="3194"/>
      <c r="K2" s="3194"/>
      <c r="L2" s="3194"/>
      <c r="M2" s="3194"/>
      <c r="N2" s="3194"/>
      <c r="O2" s="3194"/>
      <c r="P2" s="3194"/>
      <c r="Q2" s="3194"/>
      <c r="R2" s="3194"/>
    </row>
    <row r="3" spans="1:18">
      <c r="A3" s="2763" t="s">
        <v>2492</v>
      </c>
      <c r="B3" s="2764">
        <f>项目基本情况!D3</f>
        <v>45632</v>
      </c>
      <c r="C3" s="2766"/>
      <c r="D3" s="2766"/>
      <c r="E3" s="2766"/>
      <c r="F3" s="2762"/>
      <c r="I3" s="2778"/>
      <c r="J3" s="2778" t="s">
        <v>2575</v>
      </c>
      <c r="K3" s="2778" t="s">
        <v>2576</v>
      </c>
      <c r="L3" s="2778" t="s">
        <v>2577</v>
      </c>
      <c r="M3" s="2778" t="s">
        <v>2578</v>
      </c>
      <c r="N3" s="3136" t="s">
        <v>2579</v>
      </c>
      <c r="O3" s="3136" t="s">
        <v>2580</v>
      </c>
      <c r="P3" s="3136" t="s">
        <v>2581</v>
      </c>
      <c r="Q3" s="3136" t="s">
        <v>2582</v>
      </c>
      <c r="R3" s="3136" t="s">
        <v>2583</v>
      </c>
    </row>
    <row r="4" spans="1:18">
      <c r="A4" s="2763" t="s">
        <v>2493</v>
      </c>
      <c r="B4" s="2766" t="s">
        <v>2494</v>
      </c>
      <c r="C4" s="2766" t="s">
        <v>2495</v>
      </c>
      <c r="D4" s="2766" t="s">
        <v>2496</v>
      </c>
      <c r="E4" s="2766" t="s">
        <v>2497</v>
      </c>
      <c r="F4" s="2762"/>
      <c r="I4" s="2778" t="s">
        <v>2572</v>
      </c>
      <c r="J4" s="2778">
        <v>80</v>
      </c>
      <c r="K4" s="2778">
        <v>70</v>
      </c>
      <c r="L4" s="2778">
        <v>20</v>
      </c>
      <c r="M4" s="2778">
        <v>30</v>
      </c>
      <c r="N4" s="2766">
        <v>45</v>
      </c>
      <c r="O4" s="2766">
        <v>60</v>
      </c>
      <c r="P4" s="2766">
        <v>50</v>
      </c>
      <c r="Q4" s="2766">
        <v>20</v>
      </c>
      <c r="R4" s="2766">
        <v>375</v>
      </c>
    </row>
    <row r="5" spans="1:18">
      <c r="A5" s="2767">
        <v>40</v>
      </c>
      <c r="B5" s="2764">
        <v>46375</v>
      </c>
      <c r="C5" s="2766">
        <f>ROUNDDOWN(MIN((B5-B3)/365,A5),2)</f>
        <v>2.0299999999999998</v>
      </c>
      <c r="D5" s="2768">
        <f>IF(ISERROR(ROUND(POWER(1+E5,A5-C5)*(POWER(1+E5,C5)-1)/(POWER(1+E5,A5)-1),3)),0,ROUND(POWER(1+E5,A5-C5)*(POWER(1+E5,C5)-1)/(POWER(1+E5,A5)-1),4))</f>
        <v>9.6699999999999994E-2</v>
      </c>
      <c r="E5" s="2769">
        <v>0.04</v>
      </c>
      <c r="F5" s="2762"/>
      <c r="I5" s="2778" t="s">
        <v>2573</v>
      </c>
      <c r="J5" s="2778">
        <v>70</v>
      </c>
      <c r="K5" s="2778">
        <v>60</v>
      </c>
      <c r="L5" s="2778">
        <v>15</v>
      </c>
      <c r="M5" s="2778">
        <v>25</v>
      </c>
      <c r="N5" s="2766">
        <v>40</v>
      </c>
      <c r="O5" s="2766">
        <v>50</v>
      </c>
      <c r="P5" s="2766">
        <v>40</v>
      </c>
      <c r="Q5" s="2766">
        <v>15</v>
      </c>
      <c r="R5" s="2766">
        <v>315</v>
      </c>
    </row>
    <row r="6" spans="1:18">
      <c r="A6" s="2767">
        <v>50</v>
      </c>
      <c r="B6" s="2764">
        <v>50028</v>
      </c>
      <c r="C6" s="2766">
        <f>ROUNDDOWN(MIN((B6-B3)/365,A6),2)</f>
        <v>12.04</v>
      </c>
      <c r="D6" s="2768">
        <f>IF(ISERROR(ROUND(POWER(1+E6,A6-C6)*(POWER(1+E6,C6)-1)/(POWER(1+E6,A6)-1),3)),0,ROUND(POWER(1+E6,A6-C6)*(POWER(1+E6,C6)-1)/(POWER(1+E6,A6)-1),4))</f>
        <v>0.438</v>
      </c>
      <c r="E6" s="2769">
        <v>0.04</v>
      </c>
      <c r="F6" s="2762"/>
      <c r="I6" s="2778" t="s">
        <v>2574</v>
      </c>
      <c r="J6" s="2778">
        <v>60</v>
      </c>
      <c r="K6" s="2778">
        <v>50</v>
      </c>
      <c r="L6" s="2778">
        <v>10</v>
      </c>
      <c r="M6" s="2778">
        <v>20</v>
      </c>
      <c r="N6" s="2766">
        <v>35</v>
      </c>
      <c r="O6" s="2766">
        <v>40</v>
      </c>
      <c r="P6" s="2766">
        <v>30</v>
      </c>
      <c r="Q6" s="2766">
        <v>10</v>
      </c>
      <c r="R6" s="2766">
        <v>255</v>
      </c>
    </row>
    <row r="7" spans="1:18">
      <c r="A7" s="2767">
        <v>70</v>
      </c>
      <c r="B7" s="2764">
        <v>57333</v>
      </c>
      <c r="C7" s="2766">
        <f>ROUNDDOWN(MIN((B7-B3)/365,A7),2)</f>
        <v>32.049999999999997</v>
      </c>
      <c r="D7" s="2768">
        <f>IF(ISERROR(ROUND(POWER(1+E7,A7-C7)*(POWER(1+E7,C7)-1)/(POWER(1+E7,A7)-1),3)),0,ROUND(POWER(1+E7,A7-C7)*(POWER(1+E7,C7)-1)/(POWER(1+E7,A7)-1),4))</f>
        <v>0.76459999999999995</v>
      </c>
      <c r="E7" s="2769">
        <v>0.04</v>
      </c>
      <c r="F7" s="2762"/>
    </row>
    <row r="8" spans="1:18">
      <c r="A8" s="2760"/>
      <c r="B8" s="2761"/>
      <c r="C8" s="2761"/>
      <c r="D8" s="2761"/>
      <c r="E8" s="2761"/>
      <c r="F8" s="2762"/>
    </row>
    <row r="9" spans="1:18">
      <c r="A9" s="2763" t="s">
        <v>2498</v>
      </c>
      <c r="B9" s="2766"/>
      <c r="C9" s="2766"/>
      <c r="D9" s="2766"/>
      <c r="E9" s="2766"/>
      <c r="F9" s="2770"/>
    </row>
    <row r="10" spans="1:18">
      <c r="A10" s="2763" t="s">
        <v>2499</v>
      </c>
      <c r="B10" s="2766"/>
      <c r="C10" s="2766"/>
      <c r="D10" s="2766" t="s">
        <v>2497</v>
      </c>
      <c r="E10" s="2766"/>
      <c r="F10" s="2770" t="s">
        <v>2496</v>
      </c>
    </row>
    <row r="11" spans="1:18">
      <c r="A11" s="2763" t="s">
        <v>2500</v>
      </c>
      <c r="B11" s="2771">
        <v>50</v>
      </c>
      <c r="C11" s="2766" t="s">
        <v>2501</v>
      </c>
      <c r="D11" s="2771">
        <v>4.4999999999999998E-2</v>
      </c>
      <c r="E11" s="2766" t="s">
        <v>2502</v>
      </c>
      <c r="F11" s="2772">
        <f>ROUND(1-(1/(POWER(1+D11,B11))),4)</f>
        <v>0.88929999999999998</v>
      </c>
    </row>
    <row r="12" spans="1:18">
      <c r="A12" s="2763" t="s">
        <v>2503</v>
      </c>
      <c r="B12" s="2771">
        <v>20</v>
      </c>
      <c r="C12" s="2766" t="s">
        <v>2504</v>
      </c>
      <c r="D12" s="2771">
        <v>4.4999999999999998E-2</v>
      </c>
      <c r="E12" s="2766" t="s">
        <v>2505</v>
      </c>
      <c r="F12" s="2772">
        <f>ROUND(1-(1/(POWER(1+D12,B12))),4)</f>
        <v>0.58540000000000003</v>
      </c>
    </row>
    <row r="13" spans="1:18">
      <c r="A13" s="2763" t="s">
        <v>2506</v>
      </c>
      <c r="B13" s="2766"/>
      <c r="C13" s="2766"/>
      <c r="D13" s="2761"/>
      <c r="E13" s="2761"/>
      <c r="F13" s="2762"/>
    </row>
    <row r="14" spans="1:18">
      <c r="A14" s="2763" t="s">
        <v>2507</v>
      </c>
      <c r="B14" s="2771">
        <v>5000</v>
      </c>
      <c r="C14" s="2765"/>
      <c r="D14" s="2761"/>
      <c r="E14" s="2761"/>
      <c r="F14" s="2762"/>
    </row>
    <row r="15" spans="1:18">
      <c r="A15" s="2763" t="s">
        <v>2508</v>
      </c>
      <c r="B15" s="2766">
        <f>ROUND(B14*F12/F11,2)</f>
        <v>3291.35</v>
      </c>
      <c r="C15" s="2766">
        <f>ROUND(F12/F11,4)</f>
        <v>0.6583</v>
      </c>
      <c r="D15" s="2761"/>
      <c r="E15" s="2761"/>
      <c r="F15" s="2762"/>
    </row>
    <row r="16" spans="1:18">
      <c r="A16" s="2763" t="s">
        <v>2509</v>
      </c>
      <c r="B16" s="2766"/>
      <c r="C16" s="2766"/>
      <c r="D16" s="2761"/>
      <c r="E16" s="2761"/>
      <c r="F16" s="2762"/>
    </row>
    <row r="17" spans="1:13">
      <c r="A17" s="2763" t="s">
        <v>2508</v>
      </c>
      <c r="B17" s="2771">
        <v>4810</v>
      </c>
      <c r="C17" s="2765"/>
      <c r="D17" s="2761"/>
      <c r="E17" s="2761"/>
      <c r="F17" s="2762"/>
    </row>
    <row r="18" spans="1:13" ht="14.25" thickBot="1">
      <c r="A18" s="2773" t="s">
        <v>2507</v>
      </c>
      <c r="B18" s="2774">
        <f>ROUND(B17*F11/F12,2)</f>
        <v>7307.03</v>
      </c>
      <c r="C18" s="2774">
        <f>ROUND(F11/F12,4)</f>
        <v>1.5190999999999999</v>
      </c>
      <c r="D18" s="2775"/>
      <c r="E18" s="2775"/>
      <c r="F18" s="2776"/>
    </row>
    <row r="19" spans="1:13" ht="14.25" thickBot="1"/>
    <row r="20" spans="1:13" s="2809" customFormat="1" ht="14.25" thickTop="1">
      <c r="A20" s="2806" t="s">
        <v>2510</v>
      </c>
      <c r="B20" s="2807"/>
      <c r="C20" s="2807"/>
      <c r="D20" s="2807"/>
      <c r="E20" s="2807"/>
      <c r="F20" s="2807"/>
      <c r="G20" s="2808"/>
      <c r="I20" s="2810" t="s">
        <v>2555</v>
      </c>
      <c r="J20" s="2810" t="s">
        <v>2560</v>
      </c>
      <c r="K20" s="2810"/>
      <c r="L20" s="2810"/>
      <c r="M20" s="2810"/>
    </row>
    <row r="21" spans="1:13">
      <c r="A21" s="2777"/>
      <c r="B21" s="2778" t="s">
        <v>2511</v>
      </c>
      <c r="C21" s="2778" t="s">
        <v>2512</v>
      </c>
      <c r="D21" s="2778" t="s">
        <v>2513</v>
      </c>
      <c r="E21" s="2778" t="s">
        <v>2514</v>
      </c>
      <c r="F21" s="2778" t="s">
        <v>2515</v>
      </c>
      <c r="G21" s="2779" t="s">
        <v>2516</v>
      </c>
      <c r="I21" s="2800">
        <v>5</v>
      </c>
      <c r="J21" s="2800">
        <v>54.2</v>
      </c>
    </row>
    <row r="22" spans="1:13">
      <c r="A22" s="2777" t="s">
        <v>2517</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3">
      <c r="A23" s="2777" t="s">
        <v>2518</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2558</v>
      </c>
      <c r="M23" s="2800" t="s">
        <v>2559</v>
      </c>
    </row>
    <row r="24" spans="1:13">
      <c r="A24" s="2777" t="s">
        <v>2519</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2557</v>
      </c>
      <c r="M24" s="2800">
        <v>10</v>
      </c>
    </row>
    <row r="25" spans="1:13">
      <c r="A25" s="2777" t="s">
        <v>2520</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2561</v>
      </c>
      <c r="M25" s="2800">
        <v>8</v>
      </c>
    </row>
    <row r="26" spans="1:13">
      <c r="A26" s="2782"/>
      <c r="B26" s="2783"/>
      <c r="C26" s="2783"/>
      <c r="D26" s="2783"/>
      <c r="E26" s="2783"/>
      <c r="F26" s="2783"/>
      <c r="G26" s="2784"/>
      <c r="I26" s="2800">
        <v>30</v>
      </c>
      <c r="J26" s="2800">
        <v>90.5</v>
      </c>
      <c r="K26" s="2800">
        <f t="shared" si="2"/>
        <v>4.2000000000000028</v>
      </c>
      <c r="L26" s="2800" t="s">
        <v>2562</v>
      </c>
      <c r="M26" s="2800">
        <v>5</v>
      </c>
    </row>
    <row r="27" spans="1:13">
      <c r="A27" s="2782" t="s">
        <v>2521</v>
      </c>
      <c r="B27" s="2783"/>
      <c r="C27" s="2783"/>
      <c r="D27" s="2783"/>
      <c r="E27" s="2783"/>
      <c r="F27" s="2783"/>
      <c r="G27" s="2784"/>
      <c r="I27" s="2800">
        <v>35</v>
      </c>
      <c r="J27" s="2800">
        <v>93.8</v>
      </c>
      <c r="K27" s="2800">
        <f t="shared" si="2"/>
        <v>3.2999999999999972</v>
      </c>
      <c r="L27" s="2800" t="s">
        <v>2563</v>
      </c>
      <c r="M27" s="2800">
        <v>3</v>
      </c>
    </row>
    <row r="28" spans="1:13">
      <c r="A28" s="2782" t="s">
        <v>2522</v>
      </c>
      <c r="B28" s="2783"/>
      <c r="C28" s="2783"/>
      <c r="D28" s="2783"/>
      <c r="E28" s="2783"/>
      <c r="F28" s="2783"/>
      <c r="G28" s="2784"/>
      <c r="I28" s="2800">
        <v>40</v>
      </c>
      <c r="J28" s="2800">
        <v>96.4</v>
      </c>
      <c r="K28" s="2800">
        <f t="shared" si="2"/>
        <v>2.6000000000000085</v>
      </c>
      <c r="L28" s="2800" t="s">
        <v>2564</v>
      </c>
      <c r="M28" s="2800">
        <v>2</v>
      </c>
    </row>
    <row r="29" spans="1:13">
      <c r="A29" s="2782" t="s">
        <v>2523</v>
      </c>
      <c r="B29" s="2783"/>
      <c r="C29" s="2783"/>
      <c r="D29" s="2783"/>
      <c r="E29" s="2783"/>
      <c r="F29" s="2783"/>
      <c r="G29" s="2784"/>
      <c r="I29" s="2800">
        <v>45</v>
      </c>
      <c r="J29" s="2800">
        <v>98.4</v>
      </c>
      <c r="K29" s="2800">
        <f t="shared" si="2"/>
        <v>2</v>
      </c>
    </row>
    <row r="30" spans="1:13">
      <c r="A30" s="2782" t="s">
        <v>2524</v>
      </c>
      <c r="B30" s="2783"/>
      <c r="C30" s="2783"/>
      <c r="D30" s="2783"/>
      <c r="E30" s="2783"/>
      <c r="F30" s="2783"/>
      <c r="G30" s="2784"/>
      <c r="I30" s="2800">
        <v>50</v>
      </c>
      <c r="J30" s="2800">
        <v>100</v>
      </c>
      <c r="K30" s="2800">
        <f t="shared" si="2"/>
        <v>1.5999999999999943</v>
      </c>
    </row>
    <row r="31" spans="1:13">
      <c r="A31" s="2782" t="s">
        <v>2525</v>
      </c>
      <c r="B31" s="2783"/>
      <c r="C31" s="2783"/>
      <c r="D31" s="2783"/>
      <c r="E31" s="2783"/>
      <c r="F31" s="2783"/>
      <c r="G31" s="2784"/>
      <c r="I31" s="2800" t="s">
        <v>2556</v>
      </c>
    </row>
    <row r="32" spans="1:13">
      <c r="A32" s="2782" t="s">
        <v>2526</v>
      </c>
      <c r="B32" s="2783"/>
      <c r="C32" s="2783"/>
      <c r="D32" s="2783"/>
      <c r="E32" s="2783"/>
      <c r="F32" s="2783"/>
      <c r="G32" s="2784"/>
    </row>
    <row r="33" spans="1:13">
      <c r="A33" s="2782" t="s">
        <v>2527</v>
      </c>
      <c r="B33" s="2783"/>
      <c r="C33" s="2783"/>
      <c r="D33" s="2783"/>
      <c r="E33" s="2783"/>
      <c r="F33" s="2783"/>
      <c r="G33" s="2784"/>
      <c r="I33" s="2800" t="s">
        <v>2555</v>
      </c>
      <c r="J33" s="2800" t="s">
        <v>2565</v>
      </c>
    </row>
    <row r="34" spans="1:13">
      <c r="A34" s="2782" t="s">
        <v>2528</v>
      </c>
      <c r="B34" s="2783"/>
      <c r="C34" s="2783"/>
      <c r="D34" s="2783"/>
      <c r="E34" s="2783"/>
      <c r="F34" s="2783"/>
      <c r="G34" s="2784"/>
      <c r="I34" s="2800">
        <v>5</v>
      </c>
      <c r="J34" s="2800">
        <v>55.1</v>
      </c>
    </row>
    <row r="35" spans="1:13">
      <c r="A35" s="2782" t="s">
        <v>2529</v>
      </c>
      <c r="B35" s="2783"/>
      <c r="C35" s="2783"/>
      <c r="D35" s="2783"/>
      <c r="E35" s="2783"/>
      <c r="F35" s="2783"/>
      <c r="G35" s="2784"/>
      <c r="I35" s="2800">
        <v>10</v>
      </c>
      <c r="J35" s="2800">
        <v>67</v>
      </c>
      <c r="K35" s="2800">
        <f>J35-J34</f>
        <v>11.899999999999999</v>
      </c>
    </row>
    <row r="36" spans="1:13">
      <c r="A36" s="2782" t="s">
        <v>2530</v>
      </c>
      <c r="B36" s="2783"/>
      <c r="C36" s="2783"/>
      <c r="D36" s="2783"/>
      <c r="E36" s="2783"/>
      <c r="F36" s="2783"/>
      <c r="G36" s="2784"/>
      <c r="I36" s="2800">
        <v>15</v>
      </c>
      <c r="J36" s="2800">
        <v>76.3</v>
      </c>
      <c r="K36" s="2800">
        <f t="shared" ref="K36:K41" si="3">J36-J35</f>
        <v>9.2999999999999972</v>
      </c>
      <c r="L36" s="2800" t="s">
        <v>2558</v>
      </c>
      <c r="M36" s="2800" t="s">
        <v>2559</v>
      </c>
    </row>
    <row r="37" spans="1:13">
      <c r="A37" s="2782" t="s">
        <v>2531</v>
      </c>
      <c r="B37" s="2783"/>
      <c r="C37" s="2783"/>
      <c r="D37" s="2783"/>
      <c r="E37" s="2783"/>
      <c r="F37" s="2783"/>
      <c r="G37" s="2784"/>
      <c r="I37" s="2800">
        <v>20</v>
      </c>
      <c r="J37" s="2800">
        <v>83.6</v>
      </c>
      <c r="K37" s="2800">
        <f t="shared" si="3"/>
        <v>7.2999999999999972</v>
      </c>
      <c r="L37" s="2800" t="s">
        <v>2557</v>
      </c>
      <c r="M37" s="2800">
        <v>10</v>
      </c>
    </row>
    <row r="38" spans="1:13">
      <c r="A38" s="2782" t="s">
        <v>2532</v>
      </c>
      <c r="B38" s="2783"/>
      <c r="C38" s="2783"/>
      <c r="D38" s="2783"/>
      <c r="E38" s="2783"/>
      <c r="F38" s="2783"/>
      <c r="G38" s="2784"/>
      <c r="I38" s="2800">
        <v>25</v>
      </c>
      <c r="J38" s="2800">
        <v>89.3</v>
      </c>
      <c r="K38" s="2800">
        <f t="shared" si="3"/>
        <v>5.7000000000000028</v>
      </c>
      <c r="L38" s="2800" t="s">
        <v>2561</v>
      </c>
      <c r="M38" s="2800">
        <v>8</v>
      </c>
    </row>
    <row r="39" spans="1:13">
      <c r="A39" s="2782"/>
      <c r="B39" s="2783"/>
      <c r="C39" s="2783"/>
      <c r="D39" s="2783"/>
      <c r="E39" s="2783"/>
      <c r="F39" s="2783"/>
      <c r="G39" s="2784"/>
      <c r="I39" s="2800">
        <v>30</v>
      </c>
      <c r="J39" s="2800">
        <v>93.8</v>
      </c>
      <c r="K39" s="2800">
        <f t="shared" si="3"/>
        <v>4.5</v>
      </c>
      <c r="L39" s="2800" t="s">
        <v>2562</v>
      </c>
      <c r="M39" s="2800">
        <v>6</v>
      </c>
    </row>
    <row r="40" spans="1:13">
      <c r="A40" s="2785" t="s">
        <v>2533</v>
      </c>
      <c r="B40" s="2786"/>
      <c r="C40" s="2786"/>
      <c r="D40" s="2786"/>
      <c r="E40" s="2786"/>
      <c r="F40" s="2786"/>
      <c r="G40" s="2787"/>
      <c r="I40" s="2800">
        <v>35</v>
      </c>
      <c r="J40" s="2800">
        <v>97.2</v>
      </c>
      <c r="K40" s="2800">
        <f t="shared" si="3"/>
        <v>3.4000000000000057</v>
      </c>
      <c r="L40" s="2800" t="s">
        <v>2563</v>
      </c>
      <c r="M40" s="2800">
        <v>3</v>
      </c>
    </row>
    <row r="41" spans="1:13">
      <c r="A41" s="2788" t="s">
        <v>2534</v>
      </c>
      <c r="B41" s="2789" t="s">
        <v>2535</v>
      </c>
      <c r="C41" s="2790" t="s">
        <v>2536</v>
      </c>
      <c r="D41" s="2790" t="s">
        <v>2537</v>
      </c>
      <c r="E41" s="2791"/>
      <c r="F41" s="2792"/>
      <c r="G41" s="2793"/>
      <c r="I41" s="2800">
        <v>40</v>
      </c>
      <c r="J41" s="2800">
        <v>100</v>
      </c>
      <c r="K41" s="2800">
        <f t="shared" si="3"/>
        <v>2.7999999999999972</v>
      </c>
    </row>
    <row r="42" spans="1:13">
      <c r="A42" s="2788" t="s">
        <v>2538</v>
      </c>
      <c r="B42" s="2789" t="s">
        <v>2539</v>
      </c>
      <c r="C42" s="2790" t="s">
        <v>2540</v>
      </c>
      <c r="D42" s="2794" t="s">
        <v>2541</v>
      </c>
      <c r="E42" s="2786" t="s">
        <v>2542</v>
      </c>
      <c r="F42" s="2786"/>
      <c r="G42" s="2787"/>
    </row>
    <row r="43" spans="1:13">
      <c r="A43" s="2788" t="s">
        <v>2543</v>
      </c>
      <c r="B43" s="2789" t="s">
        <v>2544</v>
      </c>
      <c r="C43" s="2790" t="s">
        <v>2545</v>
      </c>
      <c r="D43" s="2790" t="s">
        <v>2546</v>
      </c>
      <c r="E43" s="2791" t="s">
        <v>2547</v>
      </c>
      <c r="F43" s="2792"/>
      <c r="G43" s="2793"/>
      <c r="I43" s="2800" t="s">
        <v>2555</v>
      </c>
      <c r="J43" s="2800" t="s">
        <v>2566</v>
      </c>
    </row>
    <row r="44" spans="1:13">
      <c r="A44" s="2788" t="s">
        <v>2548</v>
      </c>
      <c r="B44" s="2789" t="s">
        <v>2549</v>
      </c>
      <c r="C44" s="2790" t="s">
        <v>2550</v>
      </c>
      <c r="D44" s="2794">
        <v>0.5</v>
      </c>
      <c r="E44" s="2791" t="s">
        <v>2551</v>
      </c>
      <c r="F44" s="2792"/>
      <c r="G44" s="2793"/>
      <c r="I44" s="2800">
        <v>30</v>
      </c>
      <c r="J44" s="2800">
        <v>81.7</v>
      </c>
    </row>
    <row r="45" spans="1:13" ht="14.25" thickBot="1">
      <c r="A45" s="2795" t="s">
        <v>2552</v>
      </c>
      <c r="B45" s="2796" t="s">
        <v>2539</v>
      </c>
      <c r="C45" s="2797" t="s">
        <v>2539</v>
      </c>
      <c r="D45" s="2797" t="s">
        <v>2553</v>
      </c>
      <c r="E45" s="2798" t="s">
        <v>2554</v>
      </c>
      <c r="F45" s="2798"/>
      <c r="G45" s="2799"/>
      <c r="I45" s="2800">
        <v>40</v>
      </c>
      <c r="J45" s="2800">
        <v>89.2</v>
      </c>
      <c r="K45" s="2800">
        <f>J45-J44</f>
        <v>7.5</v>
      </c>
    </row>
    <row r="46" spans="1:13">
      <c r="I46" s="2800">
        <v>50</v>
      </c>
      <c r="J46" s="2800">
        <v>94.3</v>
      </c>
      <c r="K46" s="2800">
        <f t="shared" ref="K46:K47" si="4">J46-J45</f>
        <v>5.0999999999999943</v>
      </c>
    </row>
    <row r="47" spans="1:13">
      <c r="I47" s="2800">
        <v>60</v>
      </c>
      <c r="J47" s="2800">
        <v>97.7</v>
      </c>
      <c r="K47" s="2800">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80" zoomScaleNormal="100" zoomScaleSheetLayoutView="80" workbookViewId="0">
      <selection activeCell="E18" sqref="E18:I18"/>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2166</v>
      </c>
      <c r="B1" s="3202"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203"/>
      <c r="D1" s="3203"/>
      <c r="E1" s="3203"/>
      <c r="F1" s="3203"/>
      <c r="G1" s="3203"/>
      <c r="H1" s="3203"/>
      <c r="I1" s="3204"/>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c r="T1" s="1618"/>
      <c r="U1" s="1618"/>
      <c r="V1" s="1618"/>
      <c r="W1" s="1618"/>
      <c r="X1" s="1618"/>
      <c r="Y1" s="1618"/>
      <c r="Z1" s="1618"/>
      <c r="AA1" s="1618"/>
      <c r="AB1" s="1618"/>
    </row>
    <row r="2" spans="1:30">
      <c r="A2" s="2182" t="s">
        <v>2167</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北京市出让国有建设用地使用权及在建建筑物房地产</v>
      </c>
      <c r="T2" s="1618"/>
      <c r="U2" s="1618"/>
      <c r="V2" s="1618"/>
      <c r="W2" s="1618"/>
      <c r="X2" s="1618"/>
      <c r="Y2" s="1618"/>
      <c r="Z2" s="1618"/>
      <c r="AA2" s="1618"/>
      <c r="AB2" s="1618"/>
    </row>
    <row r="3" spans="1:30">
      <c r="A3" s="294" t="s">
        <v>2168</v>
      </c>
      <c r="B3" s="2185">
        <v>45632</v>
      </c>
      <c r="C3" s="2186" t="s">
        <v>2169</v>
      </c>
      <c r="D3" s="2185">
        <v>45632</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2170</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2171</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2172</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2173</v>
      </c>
      <c r="B7" s="2198"/>
      <c r="C7" s="2196"/>
      <c r="D7" s="2197"/>
      <c r="E7" s="2441"/>
      <c r="F7" s="2442"/>
      <c r="G7" s="2442"/>
      <c r="H7" s="2442"/>
      <c r="I7" s="2442"/>
      <c r="J7" s="2245"/>
      <c r="K7" s="2402"/>
      <c r="L7" s="2399"/>
      <c r="M7" s="2399"/>
      <c r="N7" s="2245"/>
      <c r="O7" s="1670"/>
      <c r="P7" s="2245"/>
      <c r="Q7" s="2245"/>
      <c r="R7" s="2245"/>
    </row>
    <row r="8" spans="1:30">
      <c r="A8" s="2199" t="s">
        <v>2174</v>
      </c>
      <c r="B8" s="2200" t="s">
        <v>3379</v>
      </c>
      <c r="C8" s="2201"/>
      <c r="D8" s="3205" t="s">
        <v>2175</v>
      </c>
      <c r="E8" s="2202" t="s">
        <v>3380</v>
      </c>
      <c r="F8" s="2203"/>
      <c r="G8" s="2442"/>
      <c r="H8" s="2442"/>
      <c r="I8" s="2442"/>
      <c r="J8" s="2245"/>
      <c r="K8" s="2400"/>
      <c r="L8" s="2399"/>
      <c r="M8" s="2399"/>
      <c r="N8" s="2245"/>
      <c r="O8" s="1670"/>
      <c r="P8" s="2245"/>
      <c r="Q8" s="2245"/>
      <c r="R8" s="2245"/>
    </row>
    <row r="9" spans="1:30" ht="13.5" thickBot="1">
      <c r="A9" s="2204" t="s">
        <v>2176</v>
      </c>
      <c r="B9" s="2205" t="s">
        <v>3380</v>
      </c>
      <c r="C9" s="2206"/>
      <c r="D9" s="3206"/>
      <c r="E9" s="2205" t="s">
        <v>43</v>
      </c>
      <c r="F9" s="2207"/>
      <c r="G9" s="2443"/>
      <c r="H9" s="2443"/>
      <c r="I9" s="2443"/>
      <c r="J9" s="2245"/>
      <c r="K9" s="2402"/>
      <c r="L9" s="2399"/>
      <c r="M9" s="2399"/>
      <c r="N9" s="2245"/>
      <c r="O9" s="1670"/>
      <c r="P9" s="2245"/>
      <c r="Q9" s="2245"/>
      <c r="R9" s="2245"/>
    </row>
    <row r="10" spans="1:30" ht="13.5" thickTop="1">
      <c r="A10" s="2208" t="s">
        <v>2177</v>
      </c>
      <c r="B10" s="2209" t="s">
        <v>3381</v>
      </c>
      <c r="C10" s="2210"/>
      <c r="D10" s="2193"/>
      <c r="E10" s="2211" t="s">
        <v>2178</v>
      </c>
      <c r="F10" s="2444"/>
      <c r="G10" s="2445"/>
      <c r="H10" s="2446"/>
      <c r="I10" s="2447"/>
      <c r="J10" s="2245"/>
      <c r="K10" s="2402"/>
      <c r="L10" s="2399"/>
      <c r="M10" s="2399"/>
      <c r="N10" s="2245"/>
      <c r="O10" s="1670"/>
      <c r="P10" s="2245"/>
      <c r="Q10" s="2245"/>
      <c r="R10" s="2245"/>
    </row>
    <row r="11" spans="1:30">
      <c r="A11" s="2212" t="s">
        <v>2179</v>
      </c>
      <c r="B11" s="2213" t="s">
        <v>3382</v>
      </c>
      <c r="C11" s="2214"/>
      <c r="D11" s="2215"/>
      <c r="E11" s="2182"/>
      <c r="F11" s="2182"/>
      <c r="G11" s="2182"/>
      <c r="H11" s="2182"/>
      <c r="I11" s="2182"/>
      <c r="J11" s="2802"/>
      <c r="K11" s="2399"/>
      <c r="L11" s="2399"/>
      <c r="M11" s="2399"/>
      <c r="N11" s="2245"/>
      <c r="O11" s="1670"/>
      <c r="P11" s="2245"/>
      <c r="Q11" s="2245"/>
      <c r="R11" s="2245"/>
    </row>
    <row r="12" spans="1:30">
      <c r="A12" s="2216" t="s">
        <v>2180</v>
      </c>
      <c r="B12" s="315" t="s">
        <v>2181</v>
      </c>
      <c r="C12" s="2217" t="s">
        <v>2182</v>
      </c>
      <c r="D12" s="2217" t="s">
        <v>2183</v>
      </c>
      <c r="E12" s="2217" t="s">
        <v>2184</v>
      </c>
      <c r="F12" s="2217" t="s">
        <v>2185</v>
      </c>
      <c r="G12" s="2217" t="s">
        <v>2186</v>
      </c>
      <c r="H12" s="2217" t="s">
        <v>2187</v>
      </c>
      <c r="I12" s="2801" t="s">
        <v>2567</v>
      </c>
      <c r="J12" s="2803"/>
      <c r="K12" s="2399"/>
      <c r="L12" s="2399"/>
      <c r="M12" s="2245"/>
      <c r="N12" s="1670"/>
      <c r="O12" s="2245"/>
      <c r="P12" s="2245"/>
      <c r="Q12" s="2245"/>
      <c r="AD12" s="1618"/>
    </row>
    <row r="13" spans="1:30">
      <c r="A13" s="3122" t="s">
        <v>3323</v>
      </c>
      <c r="B13" s="2218" t="s">
        <v>2188</v>
      </c>
      <c r="C13" s="803"/>
      <c r="D13" s="803"/>
      <c r="E13" s="803"/>
      <c r="F13" s="803"/>
      <c r="G13" s="803"/>
      <c r="H13" s="803">
        <v>51347</v>
      </c>
      <c r="I13" s="803"/>
      <c r="J13" s="2803"/>
      <c r="K13" s="2399"/>
      <c r="L13" s="2399"/>
      <c r="M13" s="2245"/>
      <c r="N13" s="1670"/>
      <c r="O13" s="2245"/>
      <c r="P13" s="2245"/>
      <c r="Q13" s="2245"/>
      <c r="AD13" s="1618"/>
    </row>
    <row r="14" spans="1:30">
      <c r="A14" s="1018"/>
      <c r="B14" s="2218" t="s">
        <v>2189</v>
      </c>
      <c r="C14" s="2219"/>
      <c r="D14" s="2219"/>
      <c r="E14" s="2219"/>
      <c r="F14" s="2219"/>
      <c r="G14" s="2219"/>
      <c r="H14" s="2219">
        <v>20</v>
      </c>
      <c r="I14" s="2219"/>
      <c r="J14" s="2804"/>
      <c r="K14" s="2399"/>
      <c r="L14" s="2399"/>
      <c r="M14" s="2245"/>
      <c r="N14" s="1670"/>
      <c r="O14" s="2245"/>
      <c r="P14" s="2245"/>
      <c r="Q14" s="2245"/>
      <c r="AD14" s="1618"/>
    </row>
    <row r="15" spans="1:30">
      <c r="A15" s="312"/>
      <c r="B15" s="2220" t="s">
        <v>2190</v>
      </c>
      <c r="C15" s="2221" t="str">
        <f>IF(A13="出让",IF(C13="","",ROUNDDOWN(MIN((C13-$D$3)/365,C14),2)),C14)</f>
        <v/>
      </c>
      <c r="D15" s="2221" t="str">
        <f>IF(A13="出让",IF(D13="","",ROUNDDOWN(MIN((D13-$D$3)/365,D14),2)),D14)</f>
        <v/>
      </c>
      <c r="E15" s="2221" t="str">
        <f>IF(A13="出让",IF(E13="","",ROUNDDOWN(MIN((E13-$D$3)/365,E14),2)),E14)</f>
        <v/>
      </c>
      <c r="F15" s="2221" t="str">
        <f>IF(A13="出让",IF(F13="","",ROUNDDOWN(MIN((F13-$D$3)/365,F14),2)),F14)</f>
        <v/>
      </c>
      <c r="G15" s="2221" t="str">
        <f>IF(A13="出让",IF(G13="","",ROUNDDOWN(MIN((G13-$D$3)/365,G14),2)),G14)</f>
        <v/>
      </c>
      <c r="H15" s="2221">
        <f>IF(A13="出让",IF(H13="","",ROUNDDOWN(MIN((H13-$D$3)/365,H14),2)),H14)</f>
        <v>15.65</v>
      </c>
      <c r="I15" s="2221" t="str">
        <f>IF(A13="出让",IF(I13="","",ROUNDDOWN(MIN((I13-$D$3)/365,I14),2)),I14)</f>
        <v/>
      </c>
      <c r="J15" s="2805"/>
      <c r="K15" s="1670"/>
      <c r="L15" s="1670"/>
      <c r="M15" s="2245"/>
      <c r="N15" s="1670"/>
      <c r="O15" s="2245"/>
      <c r="P15" s="2245"/>
      <c r="Q15" s="2245"/>
      <c r="AD15" s="1618"/>
    </row>
    <row r="16" spans="1:30">
      <c r="A16" s="2211" t="s">
        <v>2191</v>
      </c>
      <c r="B16" s="3212"/>
      <c r="C16" s="3213"/>
      <c r="D16" s="3214"/>
      <c r="E16" s="2222" t="s">
        <v>2192</v>
      </c>
      <c r="F16" s="3215"/>
      <c r="G16" s="3216"/>
      <c r="H16" s="3216"/>
      <c r="I16" s="3217"/>
      <c r="J16" s="2245"/>
      <c r="K16" s="2403"/>
      <c r="L16" s="1670"/>
      <c r="M16" s="1670"/>
      <c r="N16" s="2245"/>
      <c r="O16" s="1670"/>
      <c r="P16" s="2245"/>
      <c r="Q16" s="2245"/>
      <c r="R16" s="2245"/>
    </row>
    <row r="17" spans="1:28">
      <c r="A17" s="305" t="s">
        <v>2193</v>
      </c>
      <c r="B17" s="294" t="s">
        <v>2194</v>
      </c>
      <c r="C17" s="8">
        <f>'数据-汇总表'!E3</f>
        <v>66288.099999999991</v>
      </c>
      <c r="D17" s="1256" t="s">
        <v>2195</v>
      </c>
      <c r="E17" s="3218" t="s">
        <v>2196</v>
      </c>
      <c r="F17" s="3219"/>
      <c r="G17" s="3219"/>
      <c r="H17" s="3219"/>
      <c r="I17" s="3220"/>
      <c r="J17" s="2245"/>
      <c r="K17" s="2404"/>
      <c r="L17" s="1670"/>
      <c r="M17" s="1670"/>
      <c r="N17" s="2245"/>
      <c r="O17" s="1670"/>
      <c r="P17" s="2245"/>
      <c r="Q17" s="2245"/>
      <c r="R17" s="2245"/>
      <c r="S17" s="2245"/>
      <c r="T17" s="2245"/>
      <c r="U17" s="2245"/>
      <c r="V17" s="2245"/>
    </row>
    <row r="18" spans="1:28" ht="24.75" thickBot="1">
      <c r="A18" s="2223" t="s">
        <v>2197</v>
      </c>
      <c r="B18" s="1027" t="s">
        <v>2198</v>
      </c>
      <c r="C18" s="2224">
        <f>'数据-汇总表'!D3</f>
        <v>29724.79</v>
      </c>
      <c r="D18" s="1029" t="s">
        <v>2199</v>
      </c>
      <c r="E18" s="3221" t="s">
        <v>2200</v>
      </c>
      <c r="F18" s="3222"/>
      <c r="G18" s="3222"/>
      <c r="H18" s="3222"/>
      <c r="I18" s="3223"/>
      <c r="J18" s="2245"/>
      <c r="K18" s="2404"/>
      <c r="L18" s="1670"/>
      <c r="M18" s="1670"/>
      <c r="N18" s="2245"/>
      <c r="O18" s="1670"/>
      <c r="P18" s="2245"/>
      <c r="Q18" s="2245"/>
      <c r="R18" s="2245"/>
      <c r="S18" s="2245"/>
      <c r="T18" s="2245"/>
      <c r="U18" s="2245"/>
      <c r="V18" s="2245"/>
    </row>
    <row r="19" spans="1:28" ht="37.5" thickTop="1" thickBot="1">
      <c r="A19" s="319" t="s">
        <v>1055</v>
      </c>
      <c r="B19" s="299" t="s">
        <v>2201</v>
      </c>
      <c r="C19" s="1455"/>
      <c r="D19" s="1456" t="s">
        <v>2202</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2203</v>
      </c>
      <c r="B20" s="3208" t="s">
        <v>2204</v>
      </c>
      <c r="C20" s="3209"/>
      <c r="D20" s="3210" t="s">
        <v>2205</v>
      </c>
      <c r="E20" s="3211"/>
      <c r="F20" s="2430" t="s">
        <v>1056</v>
      </c>
      <c r="G20" s="2442"/>
      <c r="H20" s="2442"/>
      <c r="I20" s="2442"/>
      <c r="J20" s="2245"/>
      <c r="K20" s="3207" t="s">
        <v>2206</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2207</v>
      </c>
      <c r="C21" s="2296" t="s">
        <v>1057</v>
      </c>
      <c r="D21" s="1460" t="s">
        <v>2208</v>
      </c>
      <c r="E21" s="2419" t="s">
        <v>1057</v>
      </c>
      <c r="F21" s="2431"/>
      <c r="G21" s="2442"/>
      <c r="H21" s="2442"/>
      <c r="I21" s="2442"/>
      <c r="J21" s="2245"/>
      <c r="K21" s="3207"/>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2209</v>
      </c>
      <c r="C22" s="2296" t="s">
        <v>1058</v>
      </c>
      <c r="D22" s="2442"/>
      <c r="E22" s="2442"/>
      <c r="F22" s="2442"/>
      <c r="G22" s="2442"/>
      <c r="H22" s="2442"/>
      <c r="I22" s="2442"/>
      <c r="J22" s="2245"/>
      <c r="K22" s="3207"/>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2210</v>
      </c>
      <c r="B23" s="2293" t="s">
        <v>2211</v>
      </c>
      <c r="C23" s="2422"/>
      <c r="D23" s="2423" t="s">
        <v>2211</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196" t="s">
        <v>2212</v>
      </c>
      <c r="B27" s="312" t="s">
        <v>2213</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196"/>
      <c r="B28" s="294" t="s">
        <v>2214</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196"/>
      <c r="B29" s="294" t="s">
        <v>2215</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197"/>
      <c r="B30" s="294" t="s">
        <v>2216</v>
      </c>
      <c r="C30" s="3198"/>
      <c r="D30" s="3199"/>
      <c r="E30" s="2442"/>
      <c r="F30" s="2442"/>
      <c r="G30" s="2442"/>
      <c r="H30" s="2442"/>
      <c r="I30" s="2442"/>
      <c r="J30" s="2245"/>
      <c r="K30" s="2402"/>
      <c r="L30" s="2399"/>
      <c r="M30" s="2399"/>
      <c r="N30" s="2245"/>
      <c r="O30" s="1670"/>
      <c r="P30" s="2245"/>
      <c r="Q30" s="2245"/>
      <c r="R30" s="2245"/>
      <c r="S30" s="2245"/>
      <c r="T30" s="2245"/>
      <c r="U30" s="2245"/>
      <c r="V30" s="2245"/>
    </row>
    <row r="31" spans="1:28">
      <c r="A31" s="3200" t="s">
        <v>2217</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01"/>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01"/>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2218</v>
      </c>
      <c r="B34" s="1870"/>
      <c r="C34" s="1870"/>
      <c r="D34" s="1870"/>
      <c r="E34" s="1870"/>
      <c r="F34" s="1870"/>
      <c r="G34" s="1870"/>
      <c r="H34" s="1870"/>
      <c r="I34" s="2442"/>
      <c r="J34" s="2245"/>
      <c r="K34" s="8">
        <f>COUNTIF(B34:H34,"——")</f>
        <v>0</v>
      </c>
      <c r="L34" s="315" t="s">
        <v>2219</v>
      </c>
      <c r="M34" s="315" t="s">
        <v>2220</v>
      </c>
      <c r="N34" s="315" t="s">
        <v>2221</v>
      </c>
      <c r="O34" s="315" t="s">
        <v>2222</v>
      </c>
      <c r="P34" s="315" t="s">
        <v>2223</v>
      </c>
      <c r="Q34" s="315" t="s">
        <v>2224</v>
      </c>
      <c r="R34" s="315" t="s">
        <v>2225</v>
      </c>
      <c r="S34" s="3195" t="s">
        <v>2226</v>
      </c>
      <c r="T34" s="315" t="str">
        <f>NUMBERSTRING(7-K34,1)&amp;"通"</f>
        <v>七通</v>
      </c>
      <c r="U34" s="2245"/>
      <c r="V34" s="2245"/>
    </row>
    <row r="35" spans="1:30">
      <c r="A35" s="2236"/>
      <c r="B35" s="3195" t="s">
        <v>2227</v>
      </c>
      <c r="C35" s="3195"/>
      <c r="D35" s="3195"/>
      <c r="E35" s="3195"/>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195"/>
      <c r="T35" s="138" t="str">
        <f>IF(T34="一通",L35,IF(T34="二通",M35,IF(T34="三通",N35,IF(T34="四通",O35,IF(T34="五通",P35,IF(T34="六通",Q35,R35))))))</f>
        <v>、、、、、、</v>
      </c>
      <c r="U35" s="2245"/>
      <c r="V35" s="2245"/>
    </row>
    <row r="36" spans="1:30">
      <c r="A36" s="2183"/>
      <c r="B36" s="8" t="s">
        <v>2183</v>
      </c>
      <c r="C36" s="8" t="s">
        <v>2184</v>
      </c>
      <c r="D36" s="8" t="s">
        <v>2182</v>
      </c>
      <c r="E36" s="8" t="s">
        <v>2187</v>
      </c>
      <c r="F36" s="2801" t="s">
        <v>2570</v>
      </c>
      <c r="G36" s="2442"/>
      <c r="H36" s="2442"/>
      <c r="I36" s="2442"/>
      <c r="J36" s="2245"/>
      <c r="K36" s="2402"/>
      <c r="L36" s="2399"/>
      <c r="M36" s="2399"/>
      <c r="N36" s="2245"/>
      <c r="O36" s="1670"/>
      <c r="P36" s="2245"/>
      <c r="Q36" s="2245"/>
      <c r="R36" s="2245"/>
      <c r="S36" s="2245"/>
      <c r="T36" s="2245"/>
      <c r="U36" s="2245"/>
      <c r="V36" s="2245"/>
    </row>
    <row r="37" spans="1:30">
      <c r="A37" s="2415" t="s">
        <v>2228</v>
      </c>
      <c r="B37" s="2237"/>
      <c r="C37" s="2237"/>
      <c r="D37" s="2237"/>
      <c r="E37" s="2237" t="s">
        <v>29</v>
      </c>
      <c r="F37" s="2237"/>
      <c r="G37" s="2442"/>
      <c r="H37" s="2442"/>
      <c r="I37" s="2442"/>
      <c r="J37" s="2245"/>
      <c r="K37" s="2402"/>
      <c r="L37" s="2399"/>
      <c r="M37" s="2399"/>
      <c r="N37" s="2245"/>
      <c r="O37" s="1670"/>
      <c r="P37" s="2245"/>
      <c r="Q37" s="2245"/>
      <c r="R37" s="2245"/>
      <c r="S37" s="2245"/>
      <c r="T37" s="2245"/>
      <c r="U37" s="2245"/>
      <c r="V37" s="2245"/>
    </row>
    <row r="38" spans="1:30" ht="13.5" thickBot="1">
      <c r="A38" s="2416" t="s">
        <v>2229</v>
      </c>
      <c r="B38" s="2238"/>
      <c r="C38" s="2238"/>
      <c r="D38" s="2238"/>
      <c r="E38" s="2238" t="s">
        <v>3478</v>
      </c>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2230</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2231</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2232</v>
      </c>
      <c r="B42" s="8" t="s">
        <v>2233</v>
      </c>
      <c r="C42" s="8" t="s">
        <v>2234</v>
      </c>
      <c r="D42" s="8" t="s">
        <v>2235</v>
      </c>
      <c r="E42" s="8" t="s">
        <v>2236</v>
      </c>
      <c r="F42" s="8" t="s">
        <v>2237</v>
      </c>
      <c r="G42" s="8" t="s">
        <v>2238</v>
      </c>
      <c r="H42" s="8" t="s">
        <v>2239</v>
      </c>
      <c r="I42" s="8" t="s">
        <v>2240</v>
      </c>
      <c r="J42" s="2411" t="s">
        <v>2241</v>
      </c>
      <c r="K42" s="2412" t="s">
        <v>2242</v>
      </c>
      <c r="L42" s="2412" t="s">
        <v>2243</v>
      </c>
      <c r="M42" s="2412" t="s">
        <v>2244</v>
      </c>
      <c r="N42" s="2405" t="s">
        <v>2245</v>
      </c>
      <c r="O42" s="2405" t="s">
        <v>2246</v>
      </c>
      <c r="P42" s="2405" t="s">
        <v>2247</v>
      </c>
      <c r="Q42" s="2406" t="s">
        <v>2248</v>
      </c>
      <c r="R42" s="2406" t="s">
        <v>2249</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I13" activePane="bottomRight" state="frozen"/>
      <selection activeCell="C50" sqref="C50"/>
      <selection pane="topRight" activeCell="C50" sqref="C50"/>
      <selection pane="bottomLeft" activeCell="C50" sqref="C50"/>
      <selection pane="bottomRight" activeCell="AC27" sqref="AC27"/>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2" width="9.5" style="1463" customWidth="1"/>
    <col min="13" max="14" width="9.5" style="1463" hidden="1" customWidth="1"/>
    <col min="15" max="15" width="9.875" style="1463" hidden="1" customWidth="1"/>
    <col min="16" max="16" width="9.75" style="1463" hidden="1" customWidth="1"/>
    <col min="17" max="17" width="9.375" style="1463" hidden="1" customWidth="1"/>
    <col min="18" max="18" width="9.25" style="1463" hidden="1" customWidth="1"/>
    <col min="19" max="19" width="10.875" style="1463" hidden="1" customWidth="1"/>
    <col min="20" max="21" width="10.75" style="1463" hidden="1" customWidth="1"/>
    <col min="22" max="22" width="10.875" style="1463" hidden="1" customWidth="1"/>
    <col min="23" max="27" width="10.75" style="1463" hidden="1" customWidth="1"/>
    <col min="28" max="28" width="10.875" style="1463" hidden="1" customWidth="1"/>
    <col min="29" max="29" width="11" style="1463" bestFit="1" customWidth="1"/>
    <col min="30" max="30" width="10" style="1463" hidden="1" customWidth="1"/>
    <col min="31" max="31" width="9.75" style="1463" hidden="1" customWidth="1"/>
    <col min="32" max="45" width="9.5" style="1463" hidden="1" customWidth="1"/>
    <col min="46"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v>30911.9</v>
      </c>
      <c r="B3" s="11">
        <f>IF(C3="否",G5-AT5,G5)</f>
        <v>68935.429999999993</v>
      </c>
      <c r="C3" s="1469" t="s">
        <v>3398</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1070</v>
      </c>
      <c r="B5" s="1259"/>
      <c r="C5" s="1259"/>
      <c r="D5" s="1260"/>
      <c r="E5" s="13" t="s">
        <v>0</v>
      </c>
      <c r="F5" s="13">
        <f>SUM(F13:F587)</f>
        <v>0</v>
      </c>
      <c r="G5" s="13">
        <f>SUM(G13:G587)</f>
        <v>68935.429999999993</v>
      </c>
      <c r="H5" s="13">
        <f t="shared" ref="H5:AT5" si="0">SUM(H13:H656)</f>
        <v>66288.099999999991</v>
      </c>
      <c r="I5" s="13">
        <f t="shared" si="0"/>
        <v>51170.55999999999</v>
      </c>
      <c r="J5" s="13">
        <f t="shared" si="0"/>
        <v>0</v>
      </c>
      <c r="K5" s="13">
        <f t="shared" si="0"/>
        <v>15117.54</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2647.33</v>
      </c>
      <c r="AU5" s="1258"/>
      <c r="AV5" s="12" t="s">
        <v>1070</v>
      </c>
      <c r="AW5" s="1259"/>
      <c r="AX5" s="1259"/>
      <c r="AY5" s="14" t="s">
        <v>2</v>
      </c>
      <c r="AZ5" s="15">
        <f t="shared" ref="AZ5:BT5" si="1">SUM(AZ13:AZ656)</f>
        <v>66288.099999999991</v>
      </c>
      <c r="BA5" s="15">
        <f t="shared" si="1"/>
        <v>66288.099999999991</v>
      </c>
      <c r="BB5" s="15">
        <f t="shared" si="1"/>
        <v>51170.55999999999</v>
      </c>
      <c r="BC5" s="15">
        <f t="shared" si="1"/>
        <v>15117.54</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1071</v>
      </c>
      <c r="B6" s="1474"/>
      <c r="C6" s="1474"/>
      <c r="D6" s="1475"/>
      <c r="E6" s="13">
        <f>H6+AC6+AT6</f>
        <v>30911.9</v>
      </c>
      <c r="F6" s="13" t="s">
        <v>0</v>
      </c>
      <c r="G6" s="13" t="s">
        <v>1</v>
      </c>
      <c r="H6" s="17">
        <f>SUMIF(I$12:AB$12,"总值",I6:AB6)</f>
        <v>29724.79</v>
      </c>
      <c r="I6" s="13">
        <f t="shared" ref="I6:AB6" si="2">ROUND($A$3*I5/$B$3,2)</f>
        <v>22945.81</v>
      </c>
      <c r="J6" s="13">
        <f t="shared" si="2"/>
        <v>0</v>
      </c>
      <c r="K6" s="13">
        <f t="shared" si="2"/>
        <v>6778.98</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1187.1099999999999</v>
      </c>
      <c r="AU6" s="1476"/>
      <c r="AV6" s="12" t="s">
        <v>1071</v>
      </c>
      <c r="AW6" s="1474"/>
      <c r="AX6" s="1474"/>
      <c r="AY6" s="18">
        <f>IF(AY3&gt;0,AY3,ROUND($A$3*AZ5/$B$3,2))</f>
        <v>29724.79</v>
      </c>
      <c r="AZ6" s="13" t="s">
        <v>2</v>
      </c>
      <c r="BA6" s="13">
        <f>ROUND($AY$6*BA5/$AZ$5,2)</f>
        <v>29724.79</v>
      </c>
      <c r="BB6" s="13">
        <f>ROUND($AY$6*BB5/$AZ$5,2)</f>
        <v>22945.81</v>
      </c>
      <c r="BC6" s="13">
        <f t="shared" ref="BC6:BH6" si="4">ROUND($AY$6*BC5/$AZ$5,2)</f>
        <v>6778.98</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1072</v>
      </c>
      <c r="B7" s="1461" t="s">
        <v>1073</v>
      </c>
      <c r="C7" s="1461" t="s">
        <v>1074</v>
      </c>
      <c r="D7" s="1461" t="s">
        <v>1075</v>
      </c>
      <c r="E7" s="1461" t="s">
        <v>1076</v>
      </c>
      <c r="F7" s="1461" t="s">
        <v>1077</v>
      </c>
      <c r="G7" s="1478" t="s">
        <v>1078</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1079</v>
      </c>
      <c r="AV7" s="20" t="s">
        <v>1080</v>
      </c>
      <c r="AW7" s="1466" t="s">
        <v>1081</v>
      </c>
      <c r="AX7" s="20" t="s">
        <v>1074</v>
      </c>
      <c r="AY7" s="1259" t="s">
        <v>1082</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1083</v>
      </c>
      <c r="H8" s="1484" t="s">
        <v>1084</v>
      </c>
      <c r="I8" s="1485"/>
      <c r="J8" s="1269"/>
      <c r="K8" s="1269"/>
      <c r="L8" s="1269"/>
      <c r="M8" s="1269"/>
      <c r="N8" s="1269"/>
      <c r="O8" s="1269"/>
      <c r="P8" s="1269"/>
      <c r="Q8" s="1269"/>
      <c r="R8" s="1269"/>
      <c r="S8" s="1269"/>
      <c r="T8" s="1269"/>
      <c r="U8" s="1269"/>
      <c r="V8" s="1486"/>
      <c r="W8" s="1269"/>
      <c r="X8" s="1269"/>
      <c r="Y8" s="1269"/>
      <c r="Z8" s="1269"/>
      <c r="AA8" s="1486"/>
      <c r="AB8" s="1487"/>
      <c r="AC8" s="761" t="s">
        <v>1085</v>
      </c>
      <c r="AD8" s="1488"/>
      <c r="AE8" s="1480"/>
      <c r="AF8" s="1269"/>
      <c r="AG8" s="1269"/>
      <c r="AH8" s="1269"/>
      <c r="AI8" s="1269"/>
      <c r="AJ8" s="1269"/>
      <c r="AK8" s="1269"/>
      <c r="AL8" s="1269"/>
      <c r="AM8" s="1269"/>
      <c r="AN8" s="1269"/>
      <c r="AO8" s="1269"/>
      <c r="AP8" s="1269"/>
      <c r="AQ8" s="1269"/>
      <c r="AR8" s="1269"/>
      <c r="AS8" s="1269"/>
      <c r="AT8" s="1007" t="s">
        <v>1086</v>
      </c>
      <c r="AU8" s="1482" t="s">
        <v>1087</v>
      </c>
      <c r="AV8" s="1007"/>
      <c r="AW8" s="1467"/>
      <c r="AX8" s="1007"/>
      <c r="AY8" s="1466" t="s">
        <v>1088</v>
      </c>
      <c r="AZ8" s="1268" t="s">
        <v>1089</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1090</v>
      </c>
      <c r="I9" s="1491" t="s">
        <v>3399</v>
      </c>
      <c r="J9" s="761"/>
      <c r="K9" s="1491" t="s">
        <v>3400</v>
      </c>
      <c r="L9" s="761"/>
      <c r="M9" s="1491"/>
      <c r="N9" s="761"/>
      <c r="O9" s="1491"/>
      <c r="P9" s="761"/>
      <c r="Q9" s="1491"/>
      <c r="R9" s="761"/>
      <c r="S9" s="1491"/>
      <c r="T9" s="761"/>
      <c r="U9" s="1491"/>
      <c r="V9" s="761"/>
      <c r="W9" s="1491"/>
      <c r="X9" s="1492"/>
      <c r="Y9" s="1491"/>
      <c r="Z9" s="761"/>
      <c r="AA9" s="1491"/>
      <c r="AB9" s="761"/>
      <c r="AC9" s="1483" t="s">
        <v>1090</v>
      </c>
      <c r="AD9" s="12" t="s">
        <v>1091</v>
      </c>
      <c r="AE9" s="1013"/>
      <c r="AF9" s="12" t="s">
        <v>1092</v>
      </c>
      <c r="AG9" s="1013"/>
      <c r="AH9" s="12" t="s">
        <v>1091</v>
      </c>
      <c r="AI9" s="1013"/>
      <c r="AJ9" s="12" t="s">
        <v>1092</v>
      </c>
      <c r="AK9" s="1013"/>
      <c r="AL9" s="12" t="s">
        <v>1091</v>
      </c>
      <c r="AM9" s="1013"/>
      <c r="AN9" s="12" t="s">
        <v>1092</v>
      </c>
      <c r="AO9" s="1013"/>
      <c r="AP9" s="12" t="s">
        <v>1091</v>
      </c>
      <c r="AQ9" s="1013"/>
      <c r="AR9" s="12" t="s">
        <v>1092</v>
      </c>
      <c r="AS9" s="1493"/>
      <c r="AT9" s="1482"/>
      <c r="AU9" s="1482" t="s">
        <v>1093</v>
      </c>
      <c r="AV9" s="1007"/>
      <c r="AW9" s="1467"/>
      <c r="AX9" s="1007"/>
      <c r="AY9" s="25"/>
      <c r="AZ9" s="25" t="s">
        <v>1083</v>
      </c>
      <c r="BA9" s="1494" t="s">
        <v>1094</v>
      </c>
      <c r="BB9" s="1495"/>
      <c r="BC9" s="1025"/>
      <c r="BD9" s="1025"/>
      <c r="BE9" s="1025"/>
      <c r="BF9" s="1025"/>
      <c r="BG9" s="1025"/>
      <c r="BH9" s="1025"/>
      <c r="BI9" s="1025"/>
      <c r="BJ9" s="1025"/>
      <c r="BK9" s="1496"/>
      <c r="BL9" s="12" t="s">
        <v>1095</v>
      </c>
      <c r="BM9" s="1269"/>
      <c r="BN9" s="1485"/>
      <c r="BO9" s="1269"/>
      <c r="BP9" s="1269"/>
      <c r="BQ9" s="1269"/>
      <c r="BR9" s="1269"/>
      <c r="BS9" s="1269"/>
      <c r="BT9" s="23"/>
    </row>
    <row r="10" spans="1:72" s="1489" customFormat="1" ht="12.75">
      <c r="A10" s="1482"/>
      <c r="B10" s="1482"/>
      <c r="C10" s="1482"/>
      <c r="D10" s="1482"/>
      <c r="E10" s="1482"/>
      <c r="F10" s="1482"/>
      <c r="G10" s="1007"/>
      <c r="H10" s="25"/>
      <c r="I10" s="1491" t="s">
        <v>3</v>
      </c>
      <c r="J10" s="761"/>
      <c r="K10" s="1497" t="s">
        <v>3324</v>
      </c>
      <c r="L10" s="761"/>
      <c r="M10" s="1497"/>
      <c r="N10" s="761"/>
      <c r="O10" s="1497"/>
      <c r="P10" s="761"/>
      <c r="Q10" s="1497"/>
      <c r="R10" s="761"/>
      <c r="S10" s="1497"/>
      <c r="T10" s="761"/>
      <c r="U10" s="1497"/>
      <c r="V10" s="761"/>
      <c r="W10" s="1497"/>
      <c r="X10" s="761"/>
      <c r="Y10" s="1497"/>
      <c r="Z10" s="761"/>
      <c r="AA10" s="1497"/>
      <c r="AB10" s="761"/>
      <c r="AC10" s="1007"/>
      <c r="AD10" s="12" t="s">
        <v>1096</v>
      </c>
      <c r="AE10" s="1498"/>
      <c r="AF10" s="12" t="s">
        <v>1096</v>
      </c>
      <c r="AG10" s="1498"/>
      <c r="AH10" s="12" t="s">
        <v>1097</v>
      </c>
      <c r="AI10" s="1498"/>
      <c r="AJ10" s="12" t="s">
        <v>1097</v>
      </c>
      <c r="AK10" s="1498"/>
      <c r="AL10" s="12" t="s">
        <v>1098</v>
      </c>
      <c r="AM10" s="1013"/>
      <c r="AN10" s="12" t="s">
        <v>1098</v>
      </c>
      <c r="AO10" s="1013"/>
      <c r="AP10" s="12" t="s">
        <v>1099</v>
      </c>
      <c r="AQ10" s="1013"/>
      <c r="AR10" s="12" t="s">
        <v>1099</v>
      </c>
      <c r="AS10" s="1013"/>
      <c r="AT10" s="1482"/>
      <c r="AU10" s="1482"/>
      <c r="AV10" s="1007"/>
      <c r="AW10" s="1467"/>
      <c r="AX10" s="1007"/>
      <c r="AY10" s="25"/>
      <c r="AZ10" s="25"/>
      <c r="BA10" s="1499" t="s">
        <v>1090</v>
      </c>
      <c r="BB10" s="1500" t="str">
        <f>I9</f>
        <v>地上</v>
      </c>
      <c r="BC10" s="26" t="str">
        <f>K9</f>
        <v>地下</v>
      </c>
      <c r="BD10" s="26">
        <f>M9</f>
        <v>0</v>
      </c>
      <c r="BE10" s="26">
        <f>O9</f>
        <v>0</v>
      </c>
      <c r="BF10" s="26">
        <f>Q9</f>
        <v>0</v>
      </c>
      <c r="BG10" s="26">
        <f>S9</f>
        <v>0</v>
      </c>
      <c r="BH10" s="26">
        <f>U9</f>
        <v>0</v>
      </c>
      <c r="BI10" s="26">
        <f>W9</f>
        <v>0</v>
      </c>
      <c r="BJ10" s="26">
        <f>Y9</f>
        <v>0</v>
      </c>
      <c r="BK10" s="26">
        <f>AA9</f>
        <v>0</v>
      </c>
      <c r="BL10" s="22" t="s">
        <v>1090</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1100</v>
      </c>
      <c r="AE11" s="1270"/>
      <c r="AF11" s="1504" t="s">
        <v>1100</v>
      </c>
      <c r="AG11" s="1270"/>
      <c r="AH11" s="1504" t="s">
        <v>1101</v>
      </c>
      <c r="AI11" s="1505"/>
      <c r="AJ11" s="1504" t="s">
        <v>1101</v>
      </c>
      <c r="AK11" s="1270"/>
      <c r="AL11" s="1268"/>
      <c r="AM11" s="1270"/>
      <c r="AN11" s="1268"/>
      <c r="AO11" s="1270"/>
      <c r="AP11" s="1268"/>
      <c r="AQ11" s="1270"/>
      <c r="AR11" s="1268"/>
      <c r="AS11" s="1270"/>
      <c r="AT11" s="1467"/>
      <c r="AU11" s="1482"/>
      <c r="AV11" s="1007"/>
      <c r="AW11" s="1467"/>
      <c r="AX11" s="1007"/>
      <c r="AY11" s="25"/>
      <c r="AZ11" s="25"/>
      <c r="BA11" s="25"/>
      <c r="BB11" s="1487" t="str">
        <f>I10</f>
        <v>工业</v>
      </c>
      <c r="BC11" s="1487" t="str">
        <f>K10</f>
        <v>车库</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1102</v>
      </c>
      <c r="J12" s="8" t="s">
        <v>1103</v>
      </c>
      <c r="K12" s="8" t="s">
        <v>1102</v>
      </c>
      <c r="L12" s="8" t="s">
        <v>1103</v>
      </c>
      <c r="M12" s="8" t="s">
        <v>1102</v>
      </c>
      <c r="N12" s="8" t="s">
        <v>1103</v>
      </c>
      <c r="O12" s="8" t="s">
        <v>1102</v>
      </c>
      <c r="P12" s="8" t="s">
        <v>1103</v>
      </c>
      <c r="Q12" s="8" t="s">
        <v>1102</v>
      </c>
      <c r="R12" s="8" t="s">
        <v>1103</v>
      </c>
      <c r="S12" s="8" t="s">
        <v>1102</v>
      </c>
      <c r="T12" s="8" t="s">
        <v>1103</v>
      </c>
      <c r="U12" s="8" t="s">
        <v>1102</v>
      </c>
      <c r="V12" s="1258" t="s">
        <v>1103</v>
      </c>
      <c r="W12" s="8" t="s">
        <v>1102</v>
      </c>
      <c r="X12" s="8" t="s">
        <v>1103</v>
      </c>
      <c r="Y12" s="8" t="s">
        <v>1102</v>
      </c>
      <c r="Z12" s="8" t="s">
        <v>1103</v>
      </c>
      <c r="AA12" s="8" t="s">
        <v>1102</v>
      </c>
      <c r="AB12" s="8" t="s">
        <v>1103</v>
      </c>
      <c r="AC12" s="1509"/>
      <c r="AD12" s="1260" t="s">
        <v>1102</v>
      </c>
      <c r="AE12" s="8" t="s">
        <v>1103</v>
      </c>
      <c r="AF12" s="8" t="s">
        <v>1102</v>
      </c>
      <c r="AG12" s="8" t="s">
        <v>1103</v>
      </c>
      <c r="AH12" s="8" t="s">
        <v>1102</v>
      </c>
      <c r="AI12" s="8" t="s">
        <v>1103</v>
      </c>
      <c r="AJ12" s="8" t="s">
        <v>1102</v>
      </c>
      <c r="AK12" s="8" t="s">
        <v>1103</v>
      </c>
      <c r="AL12" s="8" t="s">
        <v>1102</v>
      </c>
      <c r="AM12" s="8" t="s">
        <v>1103</v>
      </c>
      <c r="AN12" s="8" t="s">
        <v>1102</v>
      </c>
      <c r="AO12" s="8" t="s">
        <v>1103</v>
      </c>
      <c r="AP12" s="8" t="s">
        <v>1102</v>
      </c>
      <c r="AQ12" s="8" t="s">
        <v>1103</v>
      </c>
      <c r="AR12" s="27" t="s">
        <v>1102</v>
      </c>
      <c r="AS12" s="1507" t="s">
        <v>1103</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3146" t="s">
        <v>3397</v>
      </c>
      <c r="D13" s="1513" t="s">
        <v>3398</v>
      </c>
      <c r="E13" s="13">
        <f>IF($C$3="是",ROUND($A$3*G13/$B$3,2),ROUND($A$3*(G13-AT13)/$B$3,2))</f>
        <v>30911.9</v>
      </c>
      <c r="F13" s="29"/>
      <c r="G13" s="30">
        <f>H13+AC13+AT13</f>
        <v>68935.429999999993</v>
      </c>
      <c r="H13" s="17">
        <f>SUMIF(I$12:AB$12,"总值",I13:AB13)</f>
        <v>66288.099999999991</v>
      </c>
      <c r="I13" s="1514">
        <f>面积!E7</f>
        <v>51170.55999999999</v>
      </c>
      <c r="J13" s="1514"/>
      <c r="K13" s="1514">
        <f>面积!H7</f>
        <v>15117.54</v>
      </c>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f>面积!F7+面积!I7</f>
        <v>2647.33</v>
      </c>
      <c r="AU13" s="1515"/>
      <c r="AV13" s="8">
        <f t="shared" ref="AV13:AX17" si="6">A13</f>
        <v>0</v>
      </c>
      <c r="AW13" s="8">
        <f t="shared" si="6"/>
        <v>0</v>
      </c>
      <c r="AX13" s="8" t="str">
        <f t="shared" si="6"/>
        <v>工业</v>
      </c>
      <c r="AY13" s="1260">
        <f>ROUND($AY$6*AZ13/$AZ$5,2)</f>
        <v>29724.79</v>
      </c>
      <c r="AZ13" s="13">
        <f>BA13+BL13</f>
        <v>66288.099999999991</v>
      </c>
      <c r="BA13" s="13">
        <f>SUM(BB13:BK13)</f>
        <v>66288.099999999991</v>
      </c>
      <c r="BB13" s="13">
        <f>IF($D13="是",I13-J13,0)</f>
        <v>51170.55999999999</v>
      </c>
      <c r="BC13" s="13">
        <f>IF($D13="是",K13-L13,0)</f>
        <v>15117.54</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33"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E38C-BA43-49BE-800D-D386717C4D80}">
  <dimension ref="A1:I20"/>
  <sheetViews>
    <sheetView zoomScale="70" zoomScaleNormal="70" workbookViewId="0">
      <selection activeCell="G30" sqref="G30"/>
    </sheetView>
  </sheetViews>
  <sheetFormatPr defaultRowHeight="13.5"/>
  <cols>
    <col min="1" max="1" width="4.75" style="3145" bestFit="1" customWidth="1"/>
    <col min="2" max="2" width="13.375" style="3145" bestFit="1" customWidth="1"/>
    <col min="3" max="3" width="9.625" style="3145" bestFit="1" customWidth="1"/>
    <col min="4" max="4" width="11.375" style="3145" bestFit="1" customWidth="1"/>
    <col min="5" max="5" width="15" style="3145" bestFit="1" customWidth="1"/>
    <col min="6" max="6" width="9.625" style="3145" bestFit="1" customWidth="1"/>
    <col min="7" max="7" width="8" style="3145" bestFit="1" customWidth="1"/>
  </cols>
  <sheetData>
    <row r="1" spans="1:9">
      <c r="A1" s="3145" t="s">
        <v>3383</v>
      </c>
      <c r="B1" s="3145" t="s">
        <v>3384</v>
      </c>
      <c r="C1" s="3145" t="s">
        <v>3388</v>
      </c>
      <c r="D1" s="3145" t="s">
        <v>3389</v>
      </c>
      <c r="E1" s="3145" t="s">
        <v>3392</v>
      </c>
      <c r="F1" s="3145" t="s">
        <v>3391</v>
      </c>
      <c r="G1" s="3145" t="s">
        <v>3390</v>
      </c>
      <c r="H1" s="3145" t="s">
        <v>3396</v>
      </c>
      <c r="I1" s="3145" t="s">
        <v>3395</v>
      </c>
    </row>
    <row r="2" spans="1:9">
      <c r="A2" s="3145">
        <v>1</v>
      </c>
      <c r="B2" s="3145" t="s">
        <v>3393</v>
      </c>
      <c r="C2" s="3145">
        <v>23737.41</v>
      </c>
      <c r="D2" s="3145">
        <f>E2+F2</f>
        <v>23737.41</v>
      </c>
      <c r="E2" s="3145">
        <f>23737.41-F2</f>
        <v>23673.51</v>
      </c>
      <c r="F2" s="3145">
        <v>63.9</v>
      </c>
      <c r="G2" s="3145">
        <v>0</v>
      </c>
      <c r="H2" s="3145"/>
    </row>
    <row r="3" spans="1:9">
      <c r="A3" s="3145">
        <v>2</v>
      </c>
      <c r="B3" s="3145" t="s">
        <v>3394</v>
      </c>
      <c r="C3" s="3145">
        <v>20665.330000000002</v>
      </c>
      <c r="D3" s="3145">
        <f>E3+F3</f>
        <v>20665.330000000002</v>
      </c>
      <c r="E3" s="3145">
        <f>20665.33-F3</f>
        <v>20651.330000000002</v>
      </c>
      <c r="F3" s="3145">
        <v>14</v>
      </c>
      <c r="H3" s="3145"/>
    </row>
    <row r="4" spans="1:9">
      <c r="A4" s="3145">
        <v>3</v>
      </c>
      <c r="B4" s="3145" t="s">
        <v>3385</v>
      </c>
      <c r="C4" s="3145">
        <v>6629.34</v>
      </c>
      <c r="D4" s="3145">
        <v>6629.34</v>
      </c>
      <c r="E4" s="3145">
        <v>6629.34</v>
      </c>
      <c r="G4" s="3145">
        <v>0</v>
      </c>
      <c r="H4" s="3145"/>
    </row>
    <row r="5" spans="1:9">
      <c r="A5" s="3145">
        <v>4</v>
      </c>
      <c r="B5" s="3145" t="s">
        <v>3386</v>
      </c>
      <c r="C5" s="3145">
        <v>17777.349999999999</v>
      </c>
      <c r="D5" s="3145">
        <v>90.38</v>
      </c>
      <c r="E5" s="3145">
        <v>90.38</v>
      </c>
      <c r="G5" s="3145">
        <f>H5+I5</f>
        <v>17686.97</v>
      </c>
      <c r="H5" s="3145">
        <f>17686.97-I5</f>
        <v>15117.54</v>
      </c>
      <c r="I5">
        <v>2569.4299999999998</v>
      </c>
    </row>
    <row r="6" spans="1:9">
      <c r="A6" s="3145">
        <v>5</v>
      </c>
      <c r="B6" s="3145" t="s">
        <v>3387</v>
      </c>
      <c r="C6" s="3145">
        <v>126</v>
      </c>
      <c r="D6" s="3145">
        <v>126</v>
      </c>
      <c r="E6" s="3145">
        <v>126</v>
      </c>
      <c r="H6" s="3145"/>
    </row>
    <row r="7" spans="1:9">
      <c r="B7" s="3145" t="s">
        <v>2583</v>
      </c>
      <c r="C7" s="3145">
        <f>SUM(C2:C6)</f>
        <v>68935.429999999993</v>
      </c>
      <c r="D7" s="3145">
        <f t="shared" ref="D7:E7" si="0">SUM(D2:D6)</f>
        <v>51248.46</v>
      </c>
      <c r="E7" s="3145">
        <f t="shared" si="0"/>
        <v>51170.55999999999</v>
      </c>
      <c r="F7" s="3145">
        <f>SUM(F2:F6)</f>
        <v>77.900000000000006</v>
      </c>
      <c r="G7" s="3145">
        <f>SUM(G2:G6)</f>
        <v>17686.97</v>
      </c>
      <c r="H7" s="3145">
        <f>SUM(H2:H6)</f>
        <v>15117.54</v>
      </c>
      <c r="I7" s="3145">
        <f>SUM(I2:I6)</f>
        <v>2569.4299999999998</v>
      </c>
    </row>
    <row r="14" spans="1:9">
      <c r="B14" s="3145" t="s">
        <v>3490</v>
      </c>
      <c r="C14" s="3145" t="s">
        <v>3384</v>
      </c>
      <c r="D14" s="3145" t="s">
        <v>3495</v>
      </c>
      <c r="E14" s="3145" t="s">
        <v>3491</v>
      </c>
      <c r="F14" s="3145" t="s">
        <v>3492</v>
      </c>
      <c r="G14" s="3145" t="s">
        <v>3493</v>
      </c>
    </row>
    <row r="15" spans="1:9">
      <c r="B15" s="3145">
        <v>1</v>
      </c>
      <c r="C15" s="3145" t="s">
        <v>3393</v>
      </c>
      <c r="D15" s="3145">
        <f>E15+F15</f>
        <v>23673.51</v>
      </c>
      <c r="E15" s="3145">
        <f>E2</f>
        <v>23673.51</v>
      </c>
      <c r="F15" s="3145">
        <f>G2</f>
        <v>0</v>
      </c>
      <c r="G15" s="3145">
        <v>3</v>
      </c>
    </row>
    <row r="16" spans="1:9">
      <c r="B16" s="3145">
        <v>2</v>
      </c>
      <c r="C16" s="3145" t="s">
        <v>3394</v>
      </c>
      <c r="D16" s="3145">
        <f t="shared" ref="D16:D19" si="1">E16+F16</f>
        <v>20651.330000000002</v>
      </c>
      <c r="E16" s="3145">
        <f t="shared" ref="E16:E19" si="2">E3</f>
        <v>20651.330000000002</v>
      </c>
      <c r="F16" s="3145">
        <f t="shared" ref="F16:F19" si="3">G3</f>
        <v>0</v>
      </c>
      <c r="G16" s="3145">
        <v>10</v>
      </c>
    </row>
    <row r="17" spans="2:7">
      <c r="B17" s="3145">
        <v>3</v>
      </c>
      <c r="C17" s="3145" t="s">
        <v>3385</v>
      </c>
      <c r="D17" s="3145">
        <f t="shared" si="1"/>
        <v>6629.34</v>
      </c>
      <c r="E17" s="3145">
        <f t="shared" si="2"/>
        <v>6629.34</v>
      </c>
      <c r="F17" s="3145">
        <f t="shared" si="3"/>
        <v>0</v>
      </c>
      <c r="G17" s="3145">
        <v>5</v>
      </c>
    </row>
    <row r="18" spans="2:7">
      <c r="B18" s="3145">
        <v>4</v>
      </c>
      <c r="C18" s="3145" t="s">
        <v>3386</v>
      </c>
      <c r="D18" s="3145">
        <f t="shared" si="1"/>
        <v>15207.92</v>
      </c>
      <c r="E18" s="3145">
        <f t="shared" si="2"/>
        <v>90.38</v>
      </c>
      <c r="F18" s="3145">
        <f>G5-I5</f>
        <v>15117.54</v>
      </c>
      <c r="G18" s="3145" t="s">
        <v>3494</v>
      </c>
    </row>
    <row r="19" spans="2:7">
      <c r="B19" s="3145">
        <v>5</v>
      </c>
      <c r="C19" s="3145" t="s">
        <v>3387</v>
      </c>
      <c r="D19" s="3145">
        <f t="shared" si="1"/>
        <v>126</v>
      </c>
      <c r="E19" s="3145">
        <f t="shared" si="2"/>
        <v>126</v>
      </c>
      <c r="F19" s="3145">
        <f t="shared" si="3"/>
        <v>0</v>
      </c>
      <c r="G19" s="3145">
        <v>1</v>
      </c>
    </row>
    <row r="20" spans="2:7">
      <c r="C20" s="3145" t="s">
        <v>2583</v>
      </c>
      <c r="D20" s="3145">
        <f>SUM(D15:D19)</f>
        <v>66288.099999999991</v>
      </c>
      <c r="E20" s="3145">
        <f t="shared" ref="E20:F20" si="4">SUM(E15:E19)</f>
        <v>51170.55999999999</v>
      </c>
      <c r="F20" s="3145">
        <f t="shared" si="4"/>
        <v>15117.54</v>
      </c>
    </row>
  </sheetData>
  <phoneticPr fontId="134"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85" zoomScaleNormal="100" zoomScaleSheetLayoutView="85" workbookViewId="0">
      <selection activeCell="O32" sqref="O32"/>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1129</v>
      </c>
      <c r="B1" s="1071"/>
      <c r="C1" s="1071"/>
      <c r="D1" s="1071"/>
      <c r="E1" s="1071"/>
      <c r="F1" s="1071"/>
      <c r="G1" s="1071"/>
      <c r="H1" s="1071"/>
      <c r="I1" s="1071"/>
      <c r="J1" s="1071"/>
      <c r="K1" s="1071"/>
      <c r="L1" s="1071"/>
      <c r="M1" s="1071"/>
      <c r="N1" s="1071"/>
      <c r="O1" s="1071"/>
      <c r="P1" s="1071"/>
    </row>
    <row r="2" spans="1:16" ht="15">
      <c r="A2" s="3233" t="s">
        <v>1130</v>
      </c>
      <c r="B2" s="3233"/>
      <c r="C2" s="3233"/>
      <c r="D2" s="748" t="s">
        <v>1106</v>
      </c>
      <c r="E2" s="1523" t="s">
        <v>1107</v>
      </c>
      <c r="F2" s="2439"/>
      <c r="G2" s="2432"/>
      <c r="H2" s="2433"/>
      <c r="I2" s="2146" t="s">
        <v>1131</v>
      </c>
      <c r="J2" s="2439"/>
      <c r="K2" s="2439"/>
      <c r="L2" s="2439"/>
      <c r="M2" s="2439"/>
      <c r="N2" s="2440"/>
      <c r="O2" s="2439"/>
      <c r="P2" s="2439"/>
    </row>
    <row r="3" spans="1:16" ht="15.75" thickBot="1">
      <c r="A3" s="3234" t="s">
        <v>1104</v>
      </c>
      <c r="B3" s="3234"/>
      <c r="C3" s="3234"/>
      <c r="D3" s="41">
        <f>'数据-基础表'!AY6</f>
        <v>29724.79</v>
      </c>
      <c r="E3" s="41">
        <f>'数据-基础表'!AZ5</f>
        <v>66288.099999999991</v>
      </c>
      <c r="F3" s="2439"/>
      <c r="G3" s="42"/>
      <c r="H3" s="43" t="s">
        <v>1105</v>
      </c>
      <c r="I3" s="802">
        <f>ROUND('数据-基础表'!B3/'数据-基础表'!A3,2)</f>
        <v>2.23</v>
      </c>
      <c r="J3" s="2439"/>
      <c r="K3" s="2439"/>
      <c r="L3" s="2439"/>
      <c r="M3" s="2439"/>
      <c r="N3" s="2440"/>
      <c r="O3" s="2439"/>
      <c r="P3" s="2439"/>
    </row>
    <row r="4" spans="1:16" ht="15">
      <c r="A4" s="3235"/>
      <c r="B4" s="3236"/>
      <c r="C4" s="3237"/>
      <c r="D4" s="1524" t="s">
        <v>1106</v>
      </c>
      <c r="E4" s="1525" t="s">
        <v>1107</v>
      </c>
      <c r="F4" s="2439"/>
      <c r="G4" s="2434" t="s">
        <v>1132</v>
      </c>
      <c r="H4" s="43" t="s">
        <v>1112</v>
      </c>
      <c r="I4" s="802">
        <f>ROUND(SUMIF('数据-基础表'!I9:AS9,"地上",'数据-基础表'!I5:AS5)/'数据-基础表'!A3,2)</f>
        <v>1.66</v>
      </c>
      <c r="J4" s="2439"/>
      <c r="K4" s="2439"/>
      <c r="L4" s="2439"/>
      <c r="M4" s="2439"/>
      <c r="N4" s="2440"/>
      <c r="O4" s="2439"/>
      <c r="P4" s="2439"/>
    </row>
    <row r="5" spans="1:16">
      <c r="A5" s="42" t="s">
        <v>1108</v>
      </c>
      <c r="B5" s="3238" t="s">
        <v>1109</v>
      </c>
      <c r="C5" s="3238"/>
      <c r="D5" s="43">
        <f>ROUND($D$3*E5/$E$3,2)</f>
        <v>0</v>
      </c>
      <c r="E5" s="44">
        <f>SUMIF('数据-基础表'!$11:$11,"住宅",'数据-基础表'!$5:$5)</f>
        <v>0</v>
      </c>
      <c r="F5" s="2439"/>
      <c r="G5" s="42"/>
      <c r="H5" s="43" t="s">
        <v>1105</v>
      </c>
      <c r="I5" s="802">
        <f>ROUND(E31/D31,2)</f>
        <v>2.23</v>
      </c>
      <c r="J5" s="2439"/>
      <c r="K5" s="2439"/>
      <c r="L5" s="2439"/>
      <c r="M5" s="2439"/>
      <c r="N5" s="2439"/>
      <c r="O5" s="2439"/>
      <c r="P5" s="2439"/>
    </row>
    <row r="6" spans="1:16" ht="15" thickBot="1">
      <c r="A6" s="1527"/>
      <c r="B6" s="3238" t="s">
        <v>1110</v>
      </c>
      <c r="C6" s="3238"/>
      <c r="D6" s="43">
        <f>ROUND($D$3*E6/$E$3,2)</f>
        <v>29724.79</v>
      </c>
      <c r="E6" s="44">
        <f>E3-E5</f>
        <v>66288.099999999991</v>
      </c>
      <c r="F6" s="2439"/>
      <c r="G6" s="1529" t="s">
        <v>1111</v>
      </c>
      <c r="H6" s="45" t="s">
        <v>1112</v>
      </c>
      <c r="I6" s="2435">
        <f>ROUND(F31/D31,2)</f>
        <v>1.72</v>
      </c>
      <c r="J6" s="2439"/>
      <c r="K6" s="2439"/>
      <c r="L6" s="2439"/>
      <c r="M6" s="2439"/>
      <c r="N6" s="2439"/>
      <c r="O6" s="2439"/>
      <c r="P6" s="2439"/>
    </row>
    <row r="7" spans="1:16" ht="15.75" thickBot="1">
      <c r="A7" s="3230"/>
      <c r="B7" s="3231"/>
      <c r="C7" s="3232"/>
      <c r="D7" s="1524" t="s">
        <v>1106</v>
      </c>
      <c r="E7" s="1528" t="s">
        <v>1113</v>
      </c>
      <c r="F7" s="2439"/>
      <c r="G7" s="2436" t="s">
        <v>1114</v>
      </c>
      <c r="H7" s="95"/>
      <c r="I7" s="2437"/>
      <c r="J7" s="2439"/>
      <c r="K7" s="2439"/>
      <c r="L7" s="2439"/>
      <c r="M7" s="2439"/>
      <c r="N7" s="2439"/>
      <c r="O7" s="2439"/>
      <c r="P7" s="2439"/>
    </row>
    <row r="8" spans="1:16">
      <c r="A8" s="42" t="s">
        <v>1115</v>
      </c>
      <c r="B8" s="45" t="s">
        <v>1116</v>
      </c>
      <c r="C8" s="43" t="s">
        <v>1117</v>
      </c>
      <c r="D8" s="43">
        <f t="shared" ref="D8:D15" si="0">ROUND($D$3*E8/$E$3,2)</f>
        <v>22945.81</v>
      </c>
      <c r="E8" s="46">
        <f>SUMIF('数据-基础表'!BB10:BK10,"地上",'数据-基础表'!BB5:BK5)</f>
        <v>51170.55999999999</v>
      </c>
      <c r="F8" s="2439"/>
      <c r="G8" s="2439"/>
      <c r="H8" s="2439"/>
      <c r="I8" s="2439"/>
      <c r="J8" s="2439"/>
      <c r="K8" s="2439"/>
      <c r="L8" s="2439"/>
      <c r="M8" s="2439"/>
      <c r="N8" s="2439"/>
      <c r="O8" s="2439"/>
      <c r="P8" s="2439"/>
    </row>
    <row r="9" spans="1:16">
      <c r="A9" s="1529"/>
      <c r="B9" s="1530"/>
      <c r="C9" s="43" t="s">
        <v>1118</v>
      </c>
      <c r="D9" s="43">
        <f t="shared" si="0"/>
        <v>0</v>
      </c>
      <c r="E9" s="47">
        <v>0</v>
      </c>
      <c r="F9" s="2439"/>
      <c r="G9" s="2439"/>
      <c r="H9" s="2439"/>
      <c r="I9" s="2439"/>
      <c r="J9" s="2439"/>
      <c r="K9" s="2439"/>
      <c r="L9" s="2439"/>
      <c r="M9" s="2439"/>
      <c r="N9" s="2439"/>
      <c r="O9" s="2439"/>
      <c r="P9" s="2439"/>
    </row>
    <row r="10" spans="1:16">
      <c r="A10" s="1529"/>
      <c r="B10" s="1530"/>
      <c r="C10" s="43" t="s">
        <v>1127</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1119</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1120</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1121</v>
      </c>
      <c r="D13" s="43">
        <f t="shared" si="0"/>
        <v>6778.98</v>
      </c>
      <c r="E13" s="46">
        <f>SUMPRODUCT(('数据-基础表'!BB10:BK10="地下")*('数据-基础表'!BB11:BK11="车库")*('数据-基础表'!BB5:BK5))</f>
        <v>15117.54</v>
      </c>
      <c r="F13" s="2439"/>
      <c r="G13" s="2439"/>
      <c r="H13" s="2439"/>
      <c r="I13" s="2439"/>
      <c r="J13" s="2439"/>
      <c r="K13" s="2439"/>
      <c r="L13" s="2439"/>
      <c r="M13" s="2439"/>
      <c r="N13" s="2439"/>
      <c r="O13" s="2439"/>
      <c r="P13" s="2439"/>
    </row>
    <row r="14" spans="1:16">
      <c r="A14" s="1529"/>
      <c r="B14" s="1530"/>
      <c r="C14" s="43" t="s">
        <v>1133</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1128</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1122</v>
      </c>
      <c r="D16" s="45">
        <f>SUM(D8:D15)</f>
        <v>29724.79</v>
      </c>
      <c r="E16" s="48">
        <f>SUM(E8:E15)</f>
        <v>66288.099999999991</v>
      </c>
      <c r="F16" s="2439"/>
      <c r="G16" s="2439"/>
      <c r="H16" s="1531" t="s">
        <v>1134</v>
      </c>
      <c r="I16" s="1532"/>
      <c r="J16" s="1071"/>
      <c r="K16" s="3227" t="s">
        <v>1134</v>
      </c>
      <c r="L16" s="3228"/>
      <c r="M16" s="3228"/>
      <c r="N16" s="3228"/>
      <c r="O16" s="3228"/>
      <c r="P16" s="3229"/>
    </row>
    <row r="17" spans="1:19" ht="15">
      <c r="A17" s="1533" t="s">
        <v>1135</v>
      </c>
      <c r="B17" s="1534" t="s">
        <v>1136</v>
      </c>
      <c r="C17" s="1535" t="s">
        <v>1137</v>
      </c>
      <c r="D17" s="1536" t="s">
        <v>1125</v>
      </c>
      <c r="E17" s="1537" t="s">
        <v>1126</v>
      </c>
      <c r="F17" s="1538"/>
      <c r="G17" s="1539"/>
      <c r="H17" s="1540" t="s">
        <v>1138</v>
      </c>
      <c r="I17" s="1541" t="s">
        <v>1123</v>
      </c>
      <c r="J17" s="1071"/>
      <c r="K17" s="3224" t="s">
        <v>1139</v>
      </c>
      <c r="L17" s="3225"/>
      <c r="M17" s="3226"/>
      <c r="N17" s="3224" t="s">
        <v>1140</v>
      </c>
      <c r="O17" s="3225"/>
      <c r="P17" s="3226"/>
      <c r="R17" s="769" t="s">
        <v>1141</v>
      </c>
      <c r="S17" s="54"/>
    </row>
    <row r="18" spans="1:19" ht="15">
      <c r="A18" s="1529"/>
      <c r="B18" s="1526"/>
      <c r="C18" s="1542"/>
      <c r="D18" s="1543"/>
      <c r="E18" s="1544" t="s">
        <v>1142</v>
      </c>
      <c r="F18" s="1545" t="s">
        <v>1143</v>
      </c>
      <c r="G18" s="1546" t="s">
        <v>1144</v>
      </c>
      <c r="H18" s="980" t="s">
        <v>1145</v>
      </c>
      <c r="I18" s="1547" t="s">
        <v>1146</v>
      </c>
      <c r="J18" s="1071"/>
      <c r="K18" s="980" t="s">
        <v>1147</v>
      </c>
      <c r="L18" s="1548" t="s">
        <v>1148</v>
      </c>
      <c r="M18" s="802" t="s">
        <v>1149</v>
      </c>
      <c r="N18" s="980" t="s">
        <v>1147</v>
      </c>
      <c r="O18" s="1548" t="s">
        <v>1148</v>
      </c>
      <c r="P18" s="802" t="s">
        <v>1149</v>
      </c>
      <c r="R18" s="43" t="s">
        <v>1150</v>
      </c>
      <c r="S18" s="43" t="s">
        <v>1151</v>
      </c>
    </row>
    <row r="19" spans="1:19">
      <c r="A19" s="1549"/>
      <c r="B19" s="45" t="s">
        <v>1124</v>
      </c>
      <c r="C19" s="3116" t="str">
        <f>'数据-基础表'!C13</f>
        <v>工业</v>
      </c>
      <c r="D19" s="43">
        <f>ROUND($D$3*E19/$E$3,2)</f>
        <v>29724.79</v>
      </c>
      <c r="E19" s="51">
        <f t="shared" ref="E19:E26" si="1">SUM(F19:G19)</f>
        <v>66288.099999999991</v>
      </c>
      <c r="F19" s="2558">
        <f>'数据-基础表'!I13</f>
        <v>51170.55999999999</v>
      </c>
      <c r="G19" s="1243">
        <f>'数据-基础表'!K13</f>
        <v>15117.54</v>
      </c>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29724.79</v>
      </c>
      <c r="S19" s="51">
        <f t="shared" si="5"/>
        <v>66288.099999999991</v>
      </c>
    </row>
    <row r="20" spans="1:19">
      <c r="A20" s="1549"/>
      <c r="B20" s="45" t="s">
        <v>1152</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1152</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1152</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1152</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1152</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1152</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1152</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1153</v>
      </c>
      <c r="D27" s="1072">
        <f>SUM(D19:D26)</f>
        <v>29724.79</v>
      </c>
      <c r="E27" s="1073">
        <f>IF(SUM(E19:E26)='数据-基础表'!BA5,SUM(E19:E26),IF(F27="地上面积有误","面积有误","地下面积有误"))</f>
        <v>66288.099999999991</v>
      </c>
      <c r="F27" s="1072">
        <f>IF(SUM(F19:F26)=E8,SUM(F19:F26),"地上面积有误")</f>
        <v>51170.55999999999</v>
      </c>
      <c r="G27" s="1074">
        <f>SUM(G19:G26)</f>
        <v>15117.54</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29724.79</v>
      </c>
      <c r="S27" s="43">
        <f>IF(SUM(S19:S26)=$E$3,SUM(S19:S26),SUM(S19:S26)&amp;"误差"&amp;ROUND(SUM(S19:S26)-E3,2))</f>
        <v>66288.099999999991</v>
      </c>
    </row>
    <row r="28" spans="1:19">
      <c r="A28" s="1549"/>
      <c r="B28" s="45" t="s">
        <v>1154</v>
      </c>
      <c r="C28" s="54" t="s">
        <v>1155</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1154</v>
      </c>
      <c r="C29" s="1555" t="s">
        <v>1156</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1153</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1157</v>
      </c>
      <c r="D31" s="643">
        <f>D27+D30</f>
        <v>29724.79</v>
      </c>
      <c r="E31" s="643">
        <f>E27+E30</f>
        <v>66288.099999999991</v>
      </c>
      <c r="F31" s="644">
        <f>F27+F30</f>
        <v>51170.55999999999</v>
      </c>
      <c r="G31" s="645">
        <f>G27+G30</f>
        <v>15117.54</v>
      </c>
      <c r="H31" s="2439"/>
      <c r="I31" s="2439"/>
      <c r="J31" s="2439"/>
      <c r="K31" s="2439"/>
      <c r="L31" s="2439"/>
      <c r="M31" s="2439"/>
      <c r="N31" s="2439"/>
      <c r="O31" s="2439"/>
      <c r="P31" s="2439"/>
    </row>
    <row r="32" spans="1:19">
      <c r="A32" s="1526"/>
      <c r="B32" s="1526" t="s">
        <v>1158</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disablePrompts="1"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5" zoomScaleNormal="85" zoomScaleSheetLayoutView="90" workbookViewId="0">
      <pane xSplit="3" ySplit="5" topLeftCell="G32" activePane="bottomRight" state="frozen"/>
      <selection activeCell="C50" sqref="C50"/>
      <selection pane="topRight" activeCell="C50" sqref="C50"/>
      <selection pane="bottomLeft" activeCell="C50" sqref="C50"/>
      <selection pane="bottomRight" activeCell="M27" sqref="M27"/>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6" width="10.875" style="1561" customWidth="1"/>
    <col min="17" max="17" width="10.125" style="1561" customWidth="1"/>
    <col min="18" max="19" width="12.5" style="1561" customWidth="1"/>
    <col min="20" max="20" width="12.125" style="1561" customWidth="1"/>
    <col min="21" max="21" width="7.5" style="1561" customWidth="1"/>
    <col min="22" max="22" width="6.375" style="1561" customWidth="1"/>
    <col min="23" max="24" width="6.75" style="1561" customWidth="1"/>
    <col min="25" max="25" width="8.125" style="1561" customWidth="1"/>
    <col min="26"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1159</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1160</v>
      </c>
      <c r="B2" s="984">
        <f>项目基本情况!D3</f>
        <v>45632</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1161</v>
      </c>
      <c r="B4" s="1564"/>
      <c r="C4" s="1565"/>
      <c r="D4" s="1566"/>
      <c r="E4" s="1565" t="s">
        <v>1162</v>
      </c>
      <c r="F4" s="1565"/>
      <c r="G4" s="1565"/>
      <c r="H4" s="1565"/>
      <c r="I4" s="1565"/>
      <c r="J4" s="1567"/>
      <c r="K4" s="1568"/>
      <c r="L4" s="1569"/>
      <c r="M4" s="1565"/>
      <c r="N4" s="1565" t="s">
        <v>1163</v>
      </c>
      <c r="O4" s="1565"/>
      <c r="P4" s="1565"/>
      <c r="Q4" s="1565"/>
      <c r="R4" s="1565"/>
      <c r="S4" s="1567"/>
      <c r="T4" s="2438" t="str">
        <f>'数据-汇总表'!I17</f>
        <v>按面积比例</v>
      </c>
      <c r="U4" s="1564" t="s">
        <v>1164</v>
      </c>
      <c r="V4" s="1565"/>
      <c r="W4" s="1565"/>
      <c r="X4" s="1565"/>
      <c r="Y4" s="1567"/>
      <c r="Z4" s="1535" t="s">
        <v>1165</v>
      </c>
      <c r="AA4" s="1535"/>
      <c r="AB4" s="1535"/>
      <c r="AC4" s="1535"/>
      <c r="AD4" s="1535"/>
      <c r="AE4" s="1533" t="s">
        <v>1166</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1167</v>
      </c>
      <c r="B5" s="1572" t="s">
        <v>1168</v>
      </c>
      <c r="C5" s="1573" t="s">
        <v>1169</v>
      </c>
      <c r="D5" s="1574" t="s">
        <v>1170</v>
      </c>
      <c r="E5" s="504" t="s">
        <v>1171</v>
      </c>
      <c r="F5" s="1575" t="s">
        <v>1172</v>
      </c>
      <c r="G5" s="504" t="s">
        <v>1173</v>
      </c>
      <c r="H5" s="504" t="s">
        <v>1174</v>
      </c>
      <c r="I5" s="504" t="s">
        <v>1175</v>
      </c>
      <c r="J5" s="1247" t="s">
        <v>1176</v>
      </c>
      <c r="K5" s="1576" t="s">
        <v>1177</v>
      </c>
      <c r="L5" s="1577" t="s">
        <v>1178</v>
      </c>
      <c r="M5" s="1578" t="s">
        <v>1179</v>
      </c>
      <c r="N5" s="1579" t="s">
        <v>3406</v>
      </c>
      <c r="O5" s="1577" t="s">
        <v>1180</v>
      </c>
      <c r="P5" s="1580" t="s">
        <v>1181</v>
      </c>
      <c r="Q5" s="58" t="s">
        <v>1182</v>
      </c>
      <c r="R5" s="1581" t="s">
        <v>1183</v>
      </c>
      <c r="S5" s="1582" t="s">
        <v>1184</v>
      </c>
      <c r="T5" s="1583" t="s">
        <v>1185</v>
      </c>
      <c r="U5" s="985" t="s">
        <v>1186</v>
      </c>
      <c r="V5" s="504" t="s">
        <v>1187</v>
      </c>
      <c r="W5" s="504" t="s">
        <v>1188</v>
      </c>
      <c r="X5" s="60"/>
      <c r="Y5" s="59" t="s">
        <v>1189</v>
      </c>
      <c r="Z5" s="1101" t="s">
        <v>1186</v>
      </c>
      <c r="AA5" s="504" t="s">
        <v>1187</v>
      </c>
      <c r="AB5" s="504" t="s">
        <v>1188</v>
      </c>
      <c r="AC5" s="60"/>
      <c r="AD5" s="60" t="s">
        <v>1189</v>
      </c>
      <c r="AE5" s="985" t="s">
        <v>1190</v>
      </c>
      <c r="AF5" s="504" t="s">
        <v>1191</v>
      </c>
      <c r="AG5" s="59" t="s">
        <v>1192</v>
      </c>
      <c r="AH5" s="985" t="s">
        <v>1193</v>
      </c>
      <c r="AI5" s="1101" t="s">
        <v>1194</v>
      </c>
      <c r="AJ5" s="1101" t="s">
        <v>1195</v>
      </c>
      <c r="AK5" s="504" t="s">
        <v>1196</v>
      </c>
      <c r="AL5" s="504" t="s">
        <v>1197</v>
      </c>
      <c r="AM5" s="59" t="s">
        <v>1198</v>
      </c>
      <c r="AN5" s="1584" t="s">
        <v>1199</v>
      </c>
      <c r="AO5" s="1454" t="s">
        <v>1200</v>
      </c>
      <c r="AP5" s="968" t="s">
        <v>1201</v>
      </c>
      <c r="AQ5" s="1585" t="s">
        <v>1202</v>
      </c>
      <c r="AR5" s="1585" t="s">
        <v>1203</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工业</v>
      </c>
      <c r="B6" s="1587" t="str">
        <f>IF(A6=0,"","经营性")</f>
        <v>经营性</v>
      </c>
      <c r="C6" s="1588" t="s">
        <v>3</v>
      </c>
      <c r="D6" s="805">
        <f>SUMIF(项目基本情况!C$12:I$12,C6,项目基本情况!C$14:I$14)</f>
        <v>20</v>
      </c>
      <c r="E6" s="804">
        <f>IF(B6="","",SUMIF(项目基本情况!C$12:I$12,C6,项目基本情况!C$13:I$13))</f>
        <v>51347</v>
      </c>
      <c r="F6" s="61">
        <f>SUMIF(项目基本情况!C$12:I$12,C6,项目基本情况!C$15:I$15)</f>
        <v>15.65</v>
      </c>
      <c r="G6" s="62">
        <f>IF(ISERROR(ROUND(POWER(1+H6,D6-F6)*(POWER(1+H6,F6)-1)/(POWER(1+H6,D6)-1),3)),0,ROUND(POWER(1+H6,D6-F6)*(POWER(1+H6,F6)-1)/(POWER(1+H6,D6)-1),3))</f>
        <v>0.85099999999999998</v>
      </c>
      <c r="H6" s="691">
        <v>4.4999999999999998E-2</v>
      </c>
      <c r="I6" s="691">
        <v>0.05</v>
      </c>
      <c r="J6" s="63">
        <v>7.4999999999999997E-2</v>
      </c>
      <c r="K6" s="970">
        <f>SUMIF('数据-汇总表'!C$19:C$33,A6,'数据-汇总表'!E$19:E$33)</f>
        <v>66288.099999999991</v>
      </c>
      <c r="L6" s="692">
        <v>3500</v>
      </c>
      <c r="M6" s="64">
        <f t="shared" ref="M6:M14" si="0">ROUND(K6*L6/10000,0)</f>
        <v>23201</v>
      </c>
      <c r="N6" s="690">
        <v>0.9</v>
      </c>
      <c r="O6" s="64">
        <f>IF($N$5="成新度","——",ROUND(M6*N6,0))</f>
        <v>20881</v>
      </c>
      <c r="P6" s="65">
        <f>IF($N$5="成新度","——",M6-O6)</f>
        <v>2320</v>
      </c>
      <c r="Q6" s="693">
        <v>0.1</v>
      </c>
      <c r="R6" s="66">
        <f ca="1">SUMIF('数据-汇总表'!C$19:C$33,A6,'数据-汇总表'!R$19:R$27)</f>
        <v>29724.79</v>
      </c>
      <c r="S6" s="49">
        <f>IF('数据-汇总表'!$I$17="按面积比例",SUMIF('数据-汇总表'!C$19:C$33,A6,'数据-汇总表'!K$19:K$33),SUMIF('数据-汇总表'!C$19:C$33,A6,'数据-汇总表'!N$19:N$33))</f>
        <v>0</v>
      </c>
      <c r="T6" s="1092">
        <f>ROUND($L$14*S6/10000,0)</f>
        <v>0</v>
      </c>
      <c r="U6" s="3127">
        <v>2.2000000000000002</v>
      </c>
      <c r="V6" s="67">
        <v>0</v>
      </c>
      <c r="W6" s="67">
        <v>0.1</v>
      </c>
      <c r="X6" s="979"/>
      <c r="Y6" s="68">
        <v>1</v>
      </c>
      <c r="Z6" s="69"/>
      <c r="AA6" s="63"/>
      <c r="AB6" s="63"/>
      <c r="AC6" s="979"/>
      <c r="AD6" s="70"/>
      <c r="AE6" s="980">
        <f ca="1">IF(AN6="",0,SUMIF(INDIRECT("'"&amp;AN6&amp;"'"&amp;"!E:E"),$AE$5,INDIRECT("'"&amp;AN6&amp;"'"&amp;"!F:F")))</f>
        <v>15.450000000000001</v>
      </c>
      <c r="AF6" s="74"/>
      <c r="AG6" s="130">
        <f>IF(AF6="",0,AE6-AF6)</f>
        <v>0</v>
      </c>
      <c r="AH6" s="71"/>
      <c r="AI6" s="73">
        <v>365</v>
      </c>
      <c r="AJ6" s="74"/>
      <c r="AK6" s="75">
        <v>2E-3</v>
      </c>
      <c r="AL6" s="76">
        <v>1E-3</v>
      </c>
      <c r="AM6" s="77">
        <v>0.01</v>
      </c>
      <c r="AN6" s="1589" t="s">
        <v>3407</v>
      </c>
      <c r="AO6" s="50">
        <f ca="1">SUMIF(INDIRECT("'"&amp;AN6&amp;"'"&amp;"!A:A"),"总价",INDIRECT("'"&amp;AN6&amp;"'"&amp;"!B:B"))</f>
        <v>40702</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hidden="1">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f t="shared" ref="O7:O14" si="3">IF($N$5="成新度","——",ROUND(M7*N7,0))</f>
        <v>0</v>
      </c>
      <c r="P7" s="65">
        <f t="shared" ref="P7:P14" si="4">IF($N$5="成新度","——",M7-O7)</f>
        <v>0</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hidden="1">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f t="shared" si="3"/>
        <v>0</v>
      </c>
      <c r="P8" s="65">
        <f t="shared" si="4"/>
        <v>0</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hidden="1">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f t="shared" si="3"/>
        <v>0</v>
      </c>
      <c r="P9" s="65">
        <f t="shared" si="4"/>
        <v>0</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hidden="1">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f t="shared" si="3"/>
        <v>0</v>
      </c>
      <c r="P10" s="65">
        <f t="shared" si="4"/>
        <v>0</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hidden="1">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f t="shared" si="3"/>
        <v>0</v>
      </c>
      <c r="P11" s="65">
        <f t="shared" si="4"/>
        <v>0</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hidden="1">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f t="shared" si="3"/>
        <v>0</v>
      </c>
      <c r="P12" s="65">
        <f t="shared" si="4"/>
        <v>0</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hidden="1">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f t="shared" si="3"/>
        <v>0</v>
      </c>
      <c r="P13" s="65">
        <f t="shared" si="4"/>
        <v>0</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1204</v>
      </c>
      <c r="B14" s="1587" t="s">
        <v>1205</v>
      </c>
      <c r="C14" s="1592" t="s">
        <v>1204</v>
      </c>
      <c r="D14" s="805"/>
      <c r="E14" s="804"/>
      <c r="F14" s="61"/>
      <c r="G14" s="62"/>
      <c r="H14" s="969"/>
      <c r="I14" s="969"/>
      <c r="J14" s="969"/>
      <c r="K14" s="970">
        <f>SUMIF('数据-汇总表'!C$19:C$33,A14,'数据-汇总表'!E$19:E$33)</f>
        <v>0</v>
      </c>
      <c r="L14" s="79"/>
      <c r="M14" s="64">
        <f t="shared" si="0"/>
        <v>0</v>
      </c>
      <c r="N14" s="80"/>
      <c r="O14" s="64">
        <f t="shared" si="3"/>
        <v>0</v>
      </c>
      <c r="P14" s="65">
        <f t="shared" si="4"/>
        <v>0</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1206</v>
      </c>
      <c r="B15" s="1587" t="s">
        <v>1205</v>
      </c>
      <c r="C15" s="1592" t="s">
        <v>1207</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1208</v>
      </c>
      <c r="B16" s="82"/>
      <c r="C16" s="783"/>
      <c r="D16" s="1594"/>
      <c r="E16" s="82"/>
      <c r="F16" s="82"/>
      <c r="G16" s="83">
        <f>ROUND(SUMPRODUCT(G6:G13,K6:K13)/SUMPRODUCT((G6:G13&gt;0)*(K6:K13)),3)</f>
        <v>0.85099999999999998</v>
      </c>
      <c r="H16" s="84">
        <f>ROUND(SUMPRODUCT(H6:H13,K6:K13)/SUMPRODUCT((H6:H13&gt;0)*(K6:K13)),3)</f>
        <v>4.4999999999999998E-2</v>
      </c>
      <c r="I16" s="85"/>
      <c r="J16" s="85"/>
      <c r="K16" s="86">
        <f>SUM(K6:K15)</f>
        <v>66288.099999999991</v>
      </c>
      <c r="L16" s="87">
        <f>ROUND(M16*10000/SUM(K6:K14),0)</f>
        <v>3500</v>
      </c>
      <c r="M16" s="87">
        <f>SUM(M6:M14)</f>
        <v>23201</v>
      </c>
      <c r="N16" s="88">
        <f>ROUND(SUMPRODUCT(M6:M14,N6:N14)/M16,3)</f>
        <v>0.9</v>
      </c>
      <c r="O16" s="87">
        <f>SUM(O6:O14)</f>
        <v>20881</v>
      </c>
      <c r="P16" s="87">
        <f>SUM(P6:P14)</f>
        <v>2320</v>
      </c>
      <c r="Q16" s="89">
        <f>ROUND(SUMPRODUCT(Q6:Q13,K6:K13)/SUMPRODUCT((Q6:Q13&gt;0)*(K6:K13)),2)</f>
        <v>0.1</v>
      </c>
      <c r="R16" s="974">
        <f ca="1">SUM(R6:R13)</f>
        <v>29724.79</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1209</v>
      </c>
      <c r="B18" s="2461"/>
      <c r="C18" s="2439"/>
      <c r="D18" s="2452"/>
      <c r="E18" s="2439"/>
      <c r="F18" s="2439"/>
      <c r="G18" s="2439"/>
      <c r="H18" s="2439"/>
      <c r="I18" s="2439"/>
      <c r="J18" s="2439"/>
      <c r="K18" s="2450"/>
      <c r="L18" s="2450"/>
      <c r="M18" s="2449"/>
      <c r="N18" s="2449"/>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1210</v>
      </c>
      <c r="B19" s="97">
        <v>0</v>
      </c>
      <c r="C19" s="2561" t="s">
        <v>2292</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1211</v>
      </c>
      <c r="B20" s="98">
        <v>2</v>
      </c>
      <c r="C20" s="2562" t="s">
        <v>2290</v>
      </c>
      <c r="D20" s="2452"/>
      <c r="E20" s="2439"/>
      <c r="F20" s="2439"/>
      <c r="G20" s="2439"/>
      <c r="H20" s="2439"/>
      <c r="I20" s="2439"/>
      <c r="J20" s="2439"/>
      <c r="K20" s="2450"/>
      <c r="L20" s="2450"/>
      <c r="M20" s="3148" t="s">
        <v>3403</v>
      </c>
      <c r="N20" s="3148" t="s">
        <v>3404</v>
      </c>
      <c r="O20" s="3148" t="s">
        <v>3405</v>
      </c>
      <c r="P20" s="2449"/>
      <c r="Q20" s="3148" t="s">
        <v>3482</v>
      </c>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1212</v>
      </c>
      <c r="B21" s="98">
        <f>B20*N6</f>
        <v>1.8</v>
      </c>
      <c r="C21" s="2439"/>
      <c r="D21" s="2452"/>
      <c r="E21" s="2439"/>
      <c r="F21" s="2439"/>
      <c r="G21" s="2439"/>
      <c r="H21" s="2439"/>
      <c r="I21" s="2439"/>
      <c r="J21" s="2439"/>
      <c r="K21" s="2450"/>
      <c r="L21" s="3147" t="s">
        <v>3393</v>
      </c>
      <c r="M21" s="3147">
        <v>23737.41</v>
      </c>
      <c r="N21" s="2449">
        <v>3</v>
      </c>
      <c r="O21" s="2449">
        <v>3500</v>
      </c>
      <c r="P21" s="2449">
        <f>O21*M21</f>
        <v>83080935</v>
      </c>
      <c r="Q21" s="2449">
        <v>2.2000000000000002</v>
      </c>
      <c r="R21" s="2449">
        <f>Q21*M21</f>
        <v>52222.302000000003</v>
      </c>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1213</v>
      </c>
      <c r="B22" s="99">
        <f>B19+B20</f>
        <v>2</v>
      </c>
      <c r="C22" s="2439"/>
      <c r="D22" s="2452"/>
      <c r="E22" s="2439"/>
      <c r="F22" s="2439"/>
      <c r="G22" s="2439"/>
      <c r="H22" s="2439"/>
      <c r="I22" s="2439"/>
      <c r="J22" s="2439"/>
      <c r="K22" s="2450"/>
      <c r="L22" s="3147" t="s">
        <v>3394</v>
      </c>
      <c r="M22" s="3147">
        <v>20665.330000000002</v>
      </c>
      <c r="N22" s="2449">
        <v>10</v>
      </c>
      <c r="O22" s="2449">
        <v>4000</v>
      </c>
      <c r="P22" s="2449">
        <f t="shared" ref="P22:P25" si="12">O22*M22</f>
        <v>82661320</v>
      </c>
      <c r="Q22" s="2449">
        <v>2.5</v>
      </c>
      <c r="R22" s="2449">
        <f t="shared" ref="R22:R25" si="13">Q22*M22</f>
        <v>51663.325000000004</v>
      </c>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1214</v>
      </c>
      <c r="B23" s="99">
        <f>B19+B21</f>
        <v>1.8</v>
      </c>
      <c r="C23" s="2439"/>
      <c r="D23" s="2452"/>
      <c r="E23" s="2439"/>
      <c r="F23" s="2439"/>
      <c r="G23" s="2439"/>
      <c r="H23" s="2439"/>
      <c r="I23" s="2439"/>
      <c r="J23" s="2439"/>
      <c r="K23" s="2450"/>
      <c r="L23" s="3147" t="s">
        <v>3385</v>
      </c>
      <c r="M23" s="3147">
        <v>6629.34</v>
      </c>
      <c r="N23" s="2449">
        <v>5</v>
      </c>
      <c r="O23" s="2449">
        <v>3500</v>
      </c>
      <c r="P23" s="2449">
        <f t="shared" si="12"/>
        <v>23202690</v>
      </c>
      <c r="Q23" s="2449">
        <v>2.2000000000000002</v>
      </c>
      <c r="R23" s="2449">
        <f t="shared" si="13"/>
        <v>14584.548000000001</v>
      </c>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1215</v>
      </c>
      <c r="B24" s="100">
        <f>B20-B21</f>
        <v>0.19999999999999996</v>
      </c>
      <c r="C24" s="2439"/>
      <c r="D24" s="2452"/>
      <c r="E24" s="2439"/>
      <c r="F24" s="2439"/>
      <c r="G24" s="2439"/>
      <c r="H24" s="2439"/>
      <c r="I24" s="2439"/>
      <c r="J24" s="2439"/>
      <c r="K24" s="2450"/>
      <c r="L24" s="3147" t="s">
        <v>3386</v>
      </c>
      <c r="M24" s="3147">
        <v>17777.349999999999</v>
      </c>
      <c r="N24" s="2449">
        <v>1</v>
      </c>
      <c r="O24" s="2449">
        <v>3000</v>
      </c>
      <c r="P24" s="2449">
        <f t="shared" si="12"/>
        <v>53332049.999999993</v>
      </c>
      <c r="Q24" s="2449">
        <f>Q21*0.3</f>
        <v>0.66</v>
      </c>
      <c r="R24" s="2449">
        <f t="shared" si="13"/>
        <v>11733.050999999999</v>
      </c>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3147" t="s">
        <v>3387</v>
      </c>
      <c r="M25" s="3147">
        <v>126</v>
      </c>
      <c r="N25" s="2449">
        <v>1</v>
      </c>
      <c r="O25" s="2449">
        <v>2500</v>
      </c>
      <c r="P25" s="2449">
        <f t="shared" si="12"/>
        <v>315000</v>
      </c>
      <c r="Q25" s="2449">
        <v>2</v>
      </c>
      <c r="R25" s="2449">
        <f t="shared" si="13"/>
        <v>252</v>
      </c>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1216</v>
      </c>
      <c r="B26" s="1600" t="s">
        <v>1217</v>
      </c>
      <c r="C26" s="2453" t="s">
        <v>1218</v>
      </c>
      <c r="D26" s="2452"/>
      <c r="E26" s="2439"/>
      <c r="F26" s="2439"/>
      <c r="G26" s="2439"/>
      <c r="H26" s="2439"/>
      <c r="I26" s="2439"/>
      <c r="J26" s="2439"/>
      <c r="K26" s="2450"/>
      <c r="L26" s="2450"/>
      <c r="M26" s="2449">
        <f>SUM(M21:M25)</f>
        <v>68935.429999999993</v>
      </c>
      <c r="N26" s="2449"/>
      <c r="O26" s="2449">
        <f>P26/M26</f>
        <v>3519.1191960360588</v>
      </c>
      <c r="P26" s="2449">
        <f>SUM(P21:P25)</f>
        <v>242591995</v>
      </c>
      <c r="Q26" s="2449">
        <f>ROUND(R26/M26,2)</f>
        <v>1.89</v>
      </c>
      <c r="R26" s="2449">
        <f>SUM(R21:R25)</f>
        <v>130455.226</v>
      </c>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1219</v>
      </c>
      <c r="B27" s="101">
        <v>160</v>
      </c>
      <c r="C27" s="2563" t="s">
        <v>2294</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1220</v>
      </c>
      <c r="B28" s="103">
        <v>200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1221</v>
      </c>
      <c r="B29" s="105">
        <v>0</v>
      </c>
      <c r="C29" s="2564" t="s">
        <v>2283</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1222</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1223</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1224</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1225</v>
      </c>
      <c r="B33" s="640">
        <v>0.05</v>
      </c>
      <c r="C33" s="2565" t="s">
        <v>3367</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1226</v>
      </c>
      <c r="B34" s="106">
        <v>0</v>
      </c>
      <c r="C34" s="2565" t="s">
        <v>2284</v>
      </c>
      <c r="D34" s="2460" t="s">
        <v>2291</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1227</v>
      </c>
      <c r="B35" s="103">
        <v>200</v>
      </c>
      <c r="C35" s="2565" t="s">
        <v>2285</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1228</v>
      </c>
      <c r="B36" s="107">
        <v>0.02</v>
      </c>
      <c r="C36" s="2565" t="s">
        <v>3368</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1229</v>
      </c>
      <c r="B37" s="108">
        <v>0.02</v>
      </c>
      <c r="C37" s="2565" t="s">
        <v>2286</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1230</v>
      </c>
      <c r="B38" s="106">
        <v>0.02</v>
      </c>
      <c r="C38" s="2565" t="s">
        <v>2286</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1231</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2301</v>
      </c>
      <c r="B40" s="1015">
        <f ca="1">IF(A40="利息：取LPR",存贷款利率!G1,存贷款利率!G1+C40)</f>
        <v>3.1E-2</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1232</v>
      </c>
      <c r="B41" s="109">
        <f>B42+B43</f>
        <v>5.6000000000000001E-2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1233</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1234</v>
      </c>
      <c r="B43" s="111">
        <f>B42*(B44+B45+B46)+B47</f>
        <v>6.000000000000001E-3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1235</v>
      </c>
      <c r="B44" s="112">
        <v>7.0000000000000007E-2</v>
      </c>
      <c r="C44" s="2565" t="s">
        <v>2295</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1236</v>
      </c>
      <c r="B45" s="110">
        <v>0.03</v>
      </c>
      <c r="C45" s="2564" t="s">
        <v>2287</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1237</v>
      </c>
      <c r="B46" s="110">
        <v>0.02</v>
      </c>
      <c r="C46" s="2564" t="s">
        <v>2288</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1238</v>
      </c>
      <c r="B47" s="113">
        <v>0</v>
      </c>
      <c r="C47" s="2567" t="s">
        <v>2296</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1239</v>
      </c>
      <c r="B48" s="114">
        <v>0.03</v>
      </c>
      <c r="C48" s="2564" t="s">
        <v>2287</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1240</v>
      </c>
      <c r="B49" s="110">
        <v>5.0000000000000001E-4</v>
      </c>
      <c r="C49" s="2564" t="s">
        <v>2289</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1241</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1242</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1243</v>
      </c>
      <c r="B52" s="117">
        <f>SUMIF(A54:A63,B53,B54:B63)</f>
        <v>1.5</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1244</v>
      </c>
      <c r="B53" s="1611" t="s">
        <v>29</v>
      </c>
      <c r="C53" s="2440" t="s">
        <v>1245</v>
      </c>
      <c r="D53" s="2566" t="s">
        <v>2293</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1246</v>
      </c>
      <c r="B54" s="72">
        <v>30</v>
      </c>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1247</v>
      </c>
      <c r="B55" s="72">
        <v>24</v>
      </c>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1248</v>
      </c>
      <c r="B56" s="72">
        <v>18</v>
      </c>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1249</v>
      </c>
      <c r="B57" s="72">
        <v>12</v>
      </c>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1250</v>
      </c>
      <c r="B58" s="72">
        <v>3</v>
      </c>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1251</v>
      </c>
      <c r="B59" s="72">
        <v>1.5</v>
      </c>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1252</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1253</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1254</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1255</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39" t="s">
        <v>2275</v>
      </c>
      <c r="B1" s="3240"/>
      <c r="C1" s="3240"/>
      <c r="D1" s="3240"/>
      <c r="E1" s="3240"/>
      <c r="F1" s="3240"/>
      <c r="G1" s="3240"/>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2272</v>
      </c>
      <c r="D2" s="1595"/>
      <c r="E2" s="2260"/>
      <c r="F2" s="2263"/>
      <c r="G2" s="2262" t="s">
        <v>2273</v>
      </c>
      <c r="H2" s="751"/>
      <c r="I2" s="751"/>
      <c r="J2" s="751"/>
      <c r="K2" s="751"/>
      <c r="L2" s="751"/>
      <c r="M2" s="751"/>
      <c r="N2" s="751"/>
      <c r="O2" s="751"/>
      <c r="P2" s="751"/>
      <c r="Q2" s="751"/>
    </row>
    <row r="3" spans="1:29" ht="24">
      <c r="A3" s="2247" t="s">
        <v>2274</v>
      </c>
      <c r="B3" s="2264" t="s">
        <v>2250</v>
      </c>
      <c r="C3" s="2265"/>
      <c r="D3" s="2266"/>
      <c r="E3" s="2248" t="s">
        <v>2274</v>
      </c>
      <c r="F3" s="2267" t="s">
        <v>2251</v>
      </c>
      <c r="G3" s="2268"/>
      <c r="H3" s="751"/>
      <c r="I3" s="751"/>
      <c r="J3" s="751"/>
      <c r="K3" s="751"/>
      <c r="L3" s="751"/>
      <c r="M3" s="751"/>
      <c r="N3" s="751"/>
      <c r="O3" s="751"/>
      <c r="P3" s="751"/>
      <c r="Q3" s="751"/>
    </row>
    <row r="4" spans="1:29">
      <c r="A4" s="2248"/>
      <c r="B4" s="315" t="s">
        <v>2252</v>
      </c>
      <c r="C4" s="2269"/>
      <c r="D4" s="2266"/>
      <c r="E4" s="2270"/>
      <c r="F4" s="1281" t="s">
        <v>2253</v>
      </c>
      <c r="G4" s="2271"/>
      <c r="H4" s="751"/>
      <c r="I4" s="751"/>
      <c r="J4" s="751"/>
      <c r="K4" s="751"/>
      <c r="L4" s="751"/>
      <c r="M4" s="751"/>
      <c r="N4" s="751"/>
      <c r="O4" s="751"/>
      <c r="P4" s="751"/>
      <c r="Q4" s="751"/>
    </row>
    <row r="5" spans="1:29">
      <c r="A5" s="2248"/>
      <c r="B5" s="315" t="s">
        <v>2254</v>
      </c>
      <c r="C5" s="2269"/>
      <c r="D5" s="2266"/>
      <c r="E5" s="2270"/>
      <c r="F5" s="315" t="s">
        <v>2255</v>
      </c>
      <c r="G5" s="2271"/>
      <c r="H5" s="751"/>
      <c r="I5" s="751"/>
      <c r="J5" s="751"/>
      <c r="K5" s="751"/>
      <c r="L5" s="751"/>
      <c r="M5" s="751"/>
      <c r="N5" s="751"/>
      <c r="O5" s="751"/>
      <c r="P5" s="751"/>
      <c r="Q5" s="751"/>
    </row>
    <row r="6" spans="1:29">
      <c r="A6" s="2248"/>
      <c r="B6" s="315" t="s">
        <v>2256</v>
      </c>
      <c r="C6" s="2271"/>
      <c r="D6" s="2266"/>
      <c r="E6" s="2270"/>
      <c r="F6" s="315" t="s">
        <v>2257</v>
      </c>
      <c r="G6" s="2271"/>
      <c r="H6" s="751"/>
      <c r="I6" s="751"/>
      <c r="J6" s="751"/>
      <c r="K6" s="751"/>
      <c r="L6" s="751"/>
      <c r="M6" s="751"/>
      <c r="N6" s="751"/>
      <c r="O6" s="751"/>
      <c r="P6" s="751"/>
      <c r="Q6" s="751"/>
    </row>
    <row r="7" spans="1:29" ht="15" thickBot="1">
      <c r="A7" s="2248"/>
      <c r="B7" s="315" t="s">
        <v>2255</v>
      </c>
      <c r="C7" s="2271"/>
      <c r="D7" s="2245"/>
      <c r="E7" s="2272"/>
      <c r="F7" s="2273" t="s">
        <v>2258</v>
      </c>
      <c r="G7" s="2274"/>
      <c r="H7" s="751"/>
      <c r="I7" s="751"/>
      <c r="J7" s="751"/>
      <c r="K7" s="751"/>
      <c r="L7" s="751"/>
      <c r="M7" s="751"/>
      <c r="N7" s="751"/>
      <c r="O7" s="751"/>
      <c r="P7" s="751"/>
      <c r="Q7" s="751"/>
    </row>
    <row r="8" spans="1:29">
      <c r="A8" s="2248"/>
      <c r="B8" s="315" t="s">
        <v>2257</v>
      </c>
      <c r="C8" s="2271"/>
      <c r="D8" s="2245"/>
      <c r="E8" s="2245"/>
      <c r="F8" s="121"/>
      <c r="G8" s="121"/>
      <c r="H8" s="751"/>
      <c r="I8" s="751"/>
      <c r="J8" s="751"/>
      <c r="K8" s="751"/>
      <c r="L8" s="751"/>
      <c r="M8" s="751"/>
      <c r="N8" s="751"/>
      <c r="O8" s="751"/>
      <c r="P8" s="751"/>
      <c r="Q8" s="751"/>
    </row>
    <row r="9" spans="1:29">
      <c r="A9" s="2248"/>
      <c r="B9" s="315" t="s">
        <v>2259</v>
      </c>
      <c r="C9" s="2269"/>
      <c r="D9" s="2266"/>
      <c r="E9" s="2245"/>
      <c r="F9" s="121"/>
      <c r="G9" s="121"/>
      <c r="H9" s="751"/>
      <c r="I9" s="751"/>
      <c r="J9" s="751"/>
      <c r="K9" s="751"/>
      <c r="L9" s="751"/>
      <c r="M9" s="751"/>
      <c r="N9" s="751"/>
      <c r="O9" s="751"/>
      <c r="P9" s="751"/>
      <c r="Q9" s="751"/>
    </row>
    <row r="10" spans="1:29" ht="15" thickBot="1">
      <c r="A10" s="2249"/>
      <c r="B10" s="2275" t="s">
        <v>2260</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2276</v>
      </c>
      <c r="B13" s="2280"/>
      <c r="C13" s="2280"/>
      <c r="D13" s="2279"/>
      <c r="E13" s="2280"/>
      <c r="F13" s="2280"/>
      <c r="G13" s="2280"/>
    </row>
    <row r="14" spans="1:29" ht="15" thickBot="1">
      <c r="A14" s="2285"/>
      <c r="B14" s="2285"/>
      <c r="C14" s="2286" t="s">
        <v>2261</v>
      </c>
      <c r="D14" s="2266"/>
      <c r="E14" s="2287"/>
      <c r="F14" s="2287"/>
      <c r="G14" s="2262" t="s">
        <v>2262</v>
      </c>
    </row>
    <row r="15" spans="1:29" ht="24">
      <c r="A15" s="2250" t="s">
        <v>2263</v>
      </c>
      <c r="B15" s="2288" t="s">
        <v>2250</v>
      </c>
      <c r="C15" s="2289">
        <f>C3</f>
        <v>0</v>
      </c>
      <c r="D15" s="2266"/>
      <c r="E15" s="2251" t="s">
        <v>2264</v>
      </c>
      <c r="F15" s="2288" t="s">
        <v>2265</v>
      </c>
      <c r="G15" s="2290">
        <f>G3</f>
        <v>0</v>
      </c>
    </row>
    <row r="16" spans="1:29">
      <c r="A16" s="2252"/>
      <c r="B16" s="2291" t="s">
        <v>2252</v>
      </c>
      <c r="C16" s="2292">
        <f>C4</f>
        <v>0</v>
      </c>
      <c r="D16" s="2266"/>
      <c r="E16" s="2253"/>
      <c r="F16" s="2293" t="s">
        <v>2253</v>
      </c>
      <c r="G16" s="2294">
        <f>G4</f>
        <v>0</v>
      </c>
    </row>
    <row r="17" spans="1:17">
      <c r="A17" s="2252"/>
      <c r="B17" s="2291" t="s">
        <v>2254</v>
      </c>
      <c r="C17" s="2292">
        <f>C5</f>
        <v>0</v>
      </c>
      <c r="D17" s="2245"/>
      <c r="E17" s="2253"/>
      <c r="F17" s="2293" t="s">
        <v>2266</v>
      </c>
      <c r="G17" s="2295"/>
    </row>
    <row r="18" spans="1:17">
      <c r="A18" s="2252"/>
      <c r="B18" s="2293" t="s">
        <v>2256</v>
      </c>
      <c r="C18" s="2294">
        <f>C6</f>
        <v>0</v>
      </c>
      <c r="D18" s="2245"/>
      <c r="E18" s="2253"/>
      <c r="F18" s="2293" t="s">
        <v>2258</v>
      </c>
      <c r="G18" s="2294">
        <f>G7</f>
        <v>0</v>
      </c>
    </row>
    <row r="19" spans="1:17">
      <c r="A19" s="2252"/>
      <c r="B19" s="2293" t="s">
        <v>2267</v>
      </c>
      <c r="C19" s="2295"/>
      <c r="D19" s="2266"/>
      <c r="E19" s="2253"/>
      <c r="F19" s="315" t="s">
        <v>2255</v>
      </c>
      <c r="G19" s="2294">
        <f>G5</f>
        <v>0</v>
      </c>
    </row>
    <row r="20" spans="1:17">
      <c r="A20" s="2252"/>
      <c r="B20" s="2293" t="s">
        <v>2268</v>
      </c>
      <c r="C20" s="2292">
        <f>C9</f>
        <v>0</v>
      </c>
      <c r="D20" s="2245"/>
      <c r="E20" s="2253"/>
      <c r="F20" s="315" t="s">
        <v>2257</v>
      </c>
      <c r="G20" s="2294">
        <f>G6</f>
        <v>0</v>
      </c>
    </row>
    <row r="21" spans="1:17">
      <c r="A21" s="2252"/>
      <c r="B21" s="315" t="s">
        <v>2255</v>
      </c>
      <c r="C21" s="2294">
        <f>C7</f>
        <v>0</v>
      </c>
      <c r="D21" s="2266"/>
      <c r="E21" s="2253"/>
      <c r="F21" s="2293" t="s">
        <v>2269</v>
      </c>
      <c r="G21" s="2296"/>
    </row>
    <row r="22" spans="1:17" ht="13.5" customHeight="1">
      <c r="A22" s="2252"/>
      <c r="B22" s="315" t="s">
        <v>2257</v>
      </c>
      <c r="C22" s="2294">
        <f>C8</f>
        <v>0</v>
      </c>
      <c r="D22" s="2266"/>
      <c r="E22" s="2253"/>
      <c r="F22" s="2293" t="s">
        <v>2260</v>
      </c>
      <c r="G22" s="2295"/>
    </row>
    <row r="23" spans="1:17" s="751" customFormat="1" ht="15" thickBot="1">
      <c r="A23" s="2252"/>
      <c r="B23" s="2293" t="s">
        <v>2269</v>
      </c>
      <c r="C23" s="2296"/>
      <c r="D23" s="1614"/>
      <c r="E23" s="2254"/>
      <c r="F23" s="2297" t="s">
        <v>2270</v>
      </c>
      <c r="G23" s="2298"/>
      <c r="H23" s="2277"/>
      <c r="I23" s="2277"/>
      <c r="J23" s="2277"/>
      <c r="K23" s="2277"/>
      <c r="L23" s="2277"/>
      <c r="M23" s="2277"/>
      <c r="N23" s="2277"/>
      <c r="O23" s="2277"/>
      <c r="P23" s="2277"/>
      <c r="Q23" s="2277"/>
    </row>
    <row r="24" spans="1:17" s="751" customFormat="1" ht="15" thickBot="1">
      <c r="A24" s="2255"/>
      <c r="B24" s="2297" t="s">
        <v>2271</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tabSelected="1" view="pageBreakPreview" zoomScale="80" zoomScaleNormal="80" zoomScaleSheetLayoutView="80" workbookViewId="0">
      <selection activeCell="H17" sqref="H17"/>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66288.099999999991</v>
      </c>
      <c r="C1" s="2462"/>
      <c r="D1" s="2462"/>
      <c r="E1" s="2462"/>
      <c r="F1" s="2462"/>
      <c r="G1" s="2463"/>
      <c r="H1" s="2463"/>
      <c r="I1" s="2463"/>
      <c r="J1" s="2463"/>
      <c r="K1" s="2463"/>
    </row>
    <row r="2" spans="1:11" ht="16.5">
      <c r="A2" s="2300" t="s">
        <v>653</v>
      </c>
      <c r="B2" s="2300">
        <f>SUM(C14:C23)</f>
        <v>29724.79</v>
      </c>
      <c r="C2" s="2462"/>
      <c r="D2" s="2462"/>
      <c r="E2" s="2462"/>
      <c r="F2" s="2462"/>
      <c r="G2" s="2463"/>
      <c r="H2" s="2463"/>
      <c r="I2" s="2463"/>
      <c r="J2" s="2463"/>
      <c r="K2" s="2463"/>
    </row>
    <row r="3" spans="1:11" ht="16.5">
      <c r="A3" s="2300" t="s">
        <v>662</v>
      </c>
      <c r="B3" s="2302">
        <f>项目基本情况!D3</f>
        <v>45632</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33687</v>
      </c>
      <c r="C5" s="2300">
        <f ca="1">IF(B5=D14,结果表!H102,ROUND(B5*10000/$B$1,0))</f>
        <v>5082</v>
      </c>
      <c r="D5" s="2300">
        <f ca="1">ROUND(B5*10000/$B$2,0)</f>
        <v>11333</v>
      </c>
      <c r="E5" s="2462"/>
      <c r="F5" s="2463"/>
      <c r="G5" s="2463"/>
      <c r="H5" s="2463"/>
      <c r="I5" s="2463"/>
      <c r="J5" s="2463"/>
      <c r="K5" s="2463"/>
    </row>
    <row r="6" spans="1:11" ht="16.5">
      <c r="A6" s="2300" t="s">
        <v>656</v>
      </c>
      <c r="B6" s="2300">
        <f ca="1">SUM(G14:G23)</f>
        <v>33687</v>
      </c>
      <c r="C6" s="2300">
        <f ca="1">IF(B6=G14,结果表!H108,ROUND(B6*10000/$B$1,0))</f>
        <v>5082</v>
      </c>
      <c r="D6" s="2300">
        <f ca="1">ROUND(B6*10000/$B$2,0)</f>
        <v>11333</v>
      </c>
      <c r="E6" s="2462"/>
      <c r="F6" s="2463"/>
      <c r="G6" s="2463"/>
      <c r="H6" s="2463"/>
      <c r="I6" s="2463"/>
      <c r="J6" s="2463"/>
      <c r="K6" s="2463"/>
    </row>
    <row r="7" spans="1:11" ht="16.5">
      <c r="A7" s="2300" t="s">
        <v>664</v>
      </c>
      <c r="B7" s="2300">
        <f>SUM(H14:H23)</f>
        <v>0</v>
      </c>
      <c r="C7" s="2300" t="str">
        <f>IF(B7=H14,结果表!H110,ROUND(B7*10000/$B$1,0))</f>
        <v>——</v>
      </c>
      <c r="D7" s="2300">
        <f>ROUND(B7*10000/$B$2,0)</f>
        <v>0</v>
      </c>
      <c r="E7" s="2462"/>
      <c r="F7" s="2463"/>
      <c r="G7" s="2463"/>
      <c r="H7" s="2463"/>
      <c r="I7" s="2463"/>
      <c r="J7" s="2463"/>
      <c r="K7" s="2463"/>
    </row>
    <row r="8" spans="1:11" ht="16.5">
      <c r="A8" s="2300" t="s">
        <v>587</v>
      </c>
      <c r="B8" s="2300">
        <f>SUM(I14:I23)</f>
        <v>0</v>
      </c>
      <c r="C8" s="2300" t="str">
        <f>IF(B8=I14,结果表!H112,ROUND(B8*10000/$B$1,0))</f>
        <v>——</v>
      </c>
      <c r="D8" s="2300">
        <f>ROUND(B8*10000/$B$2,0)</f>
        <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3347</v>
      </c>
      <c r="D10" s="2300" t="s">
        <v>3348</v>
      </c>
      <c r="E10" s="3137"/>
      <c r="F10" s="3141" t="s">
        <v>3349</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'数据-汇总表'!E3</f>
        <v>66288.099999999991</v>
      </c>
      <c r="C14" s="2306">
        <f>'数据-汇总表'!D3</f>
        <v>29724.79</v>
      </c>
      <c r="D14" s="2306">
        <f ca="1">结果表!H101</f>
        <v>33687</v>
      </c>
      <c r="E14" s="2306">
        <f ca="1">ROUND(D14*10000/B14,0)</f>
        <v>5082</v>
      </c>
      <c r="F14" s="2306">
        <f ca="1">ROUND(D14*10000/C14,0)</f>
        <v>11333</v>
      </c>
      <c r="G14" s="2306">
        <f ca="1">D14</f>
        <v>33687</v>
      </c>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Normal="100" zoomScaleSheetLayoutView="100" zoomScalePageLayoutView="80" workbookViewId="0">
      <selection activeCell="H24" sqref="H24"/>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1261</v>
      </c>
      <c r="B1" s="646"/>
      <c r="C1" s="1620"/>
      <c r="D1" s="646"/>
      <c r="E1" s="646"/>
      <c r="F1" s="1621" t="s">
        <v>1262</v>
      </c>
      <c r="G1" s="1453" t="s">
        <v>3414</v>
      </c>
      <c r="H1" s="1621" t="str">
        <f>IF(G1="现房","——","估价对象范围")</f>
        <v>估价对象范围</v>
      </c>
      <c r="I1" s="1622" t="s">
        <v>3415</v>
      </c>
    </row>
    <row r="2" spans="1:12" ht="21.75" customHeight="1" thickBot="1">
      <c r="A2" s="3275" t="str">
        <f>项目基本情况!S2</f>
        <v>北京市出让国有建设用地使用权及在建建筑物房地产</v>
      </c>
      <c r="B2" s="3276"/>
      <c r="C2" s="3276"/>
      <c r="D2" s="3276"/>
      <c r="E2" s="3276"/>
      <c r="F2" s="3276"/>
      <c r="G2" s="3276"/>
      <c r="H2" s="3276"/>
      <c r="I2" s="3277"/>
    </row>
    <row r="3" spans="1:12" ht="12.75">
      <c r="A3" s="3279" t="s">
        <v>1263</v>
      </c>
      <c r="B3" s="3280"/>
      <c r="C3" s="3280"/>
      <c r="D3" s="3280"/>
      <c r="E3" s="3280"/>
      <c r="F3" s="3280"/>
      <c r="G3" s="3280"/>
      <c r="H3" s="3280"/>
      <c r="I3" s="3280"/>
    </row>
    <row r="4" spans="1:12" ht="14.25">
      <c r="A4" s="1624" t="s">
        <v>1264</v>
      </c>
      <c r="B4" s="1625" t="s">
        <v>1265</v>
      </c>
      <c r="C4" s="1626" t="s">
        <v>3412</v>
      </c>
      <c r="D4" s="1626" t="s">
        <v>3413</v>
      </c>
      <c r="E4" s="3281" t="s">
        <v>1266</v>
      </c>
      <c r="F4" s="3282"/>
      <c r="G4" s="3282"/>
      <c r="H4" s="3282"/>
      <c r="I4" s="3283"/>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假设开发法</v>
      </c>
    </row>
    <row r="5" spans="1:12" ht="12.75">
      <c r="A5" s="3255" t="s">
        <v>1267</v>
      </c>
      <c r="B5" s="3242">
        <v>25</v>
      </c>
      <c r="C5" s="3258"/>
      <c r="D5" s="3278"/>
      <c r="E5" s="123" t="s">
        <v>1268</v>
      </c>
      <c r="F5" s="1627"/>
      <c r="G5" s="1627"/>
      <c r="H5" s="1627"/>
      <c r="I5" s="1281"/>
    </row>
    <row r="6" spans="1:12" ht="12.75">
      <c r="A6" s="3255"/>
      <c r="B6" s="3242"/>
      <c r="C6" s="3259"/>
      <c r="D6" s="3278"/>
      <c r="E6" s="123" t="s">
        <v>1269</v>
      </c>
      <c r="F6" s="1627"/>
      <c r="G6" s="1627"/>
      <c r="H6" s="1627"/>
      <c r="I6" s="1281"/>
    </row>
    <row r="7" spans="1:12" ht="12.75">
      <c r="A7" s="3255"/>
      <c r="B7" s="3242"/>
      <c r="C7" s="3260"/>
      <c r="D7" s="3278"/>
      <c r="E7" s="123" t="s">
        <v>1270</v>
      </c>
      <c r="F7" s="1627"/>
      <c r="G7" s="1627"/>
      <c r="H7" s="1627"/>
      <c r="I7" s="1281"/>
    </row>
    <row r="8" spans="1:12" ht="12.75">
      <c r="A8" s="3255" t="s">
        <v>1271</v>
      </c>
      <c r="B8" s="3242">
        <v>15</v>
      </c>
      <c r="C8" s="3258"/>
      <c r="D8" s="3278"/>
      <c r="E8" s="123" t="s">
        <v>1272</v>
      </c>
      <c r="F8" s="1627"/>
      <c r="G8" s="1627"/>
      <c r="H8" s="1627"/>
      <c r="I8" s="1281"/>
    </row>
    <row r="9" spans="1:12" ht="12.75">
      <c r="A9" s="3255"/>
      <c r="B9" s="3242"/>
      <c r="C9" s="3260"/>
      <c r="D9" s="3278"/>
      <c r="E9" s="123" t="s">
        <v>1273</v>
      </c>
      <c r="F9" s="1627"/>
      <c r="G9" s="1627"/>
      <c r="H9" s="1627"/>
      <c r="I9" s="1281"/>
    </row>
    <row r="10" spans="1:12" ht="12.75">
      <c r="A10" s="3255" t="s">
        <v>1274</v>
      </c>
      <c r="B10" s="3242">
        <v>15</v>
      </c>
      <c r="C10" s="3258"/>
      <c r="D10" s="3278"/>
      <c r="E10" s="123" t="s">
        <v>1275</v>
      </c>
      <c r="F10" s="1627"/>
      <c r="G10" s="1627"/>
      <c r="H10" s="1627"/>
      <c r="I10" s="1281"/>
    </row>
    <row r="11" spans="1:12" ht="12.75">
      <c r="A11" s="3255"/>
      <c r="B11" s="3242"/>
      <c r="C11" s="3260"/>
      <c r="D11" s="3278"/>
      <c r="E11" s="123" t="s">
        <v>1276</v>
      </c>
      <c r="F11" s="1627"/>
      <c r="G11" s="1627"/>
      <c r="H11" s="1627"/>
      <c r="I11" s="1281"/>
    </row>
    <row r="12" spans="1:12" ht="12.75">
      <c r="A12" s="3255" t="s">
        <v>1277</v>
      </c>
      <c r="B12" s="3242">
        <v>15</v>
      </c>
      <c r="C12" s="3258"/>
      <c r="D12" s="3278"/>
      <c r="E12" s="123" t="s">
        <v>1278</v>
      </c>
      <c r="F12" s="1627"/>
      <c r="G12" s="1627"/>
      <c r="H12" s="1627"/>
      <c r="I12" s="1281"/>
    </row>
    <row r="13" spans="1:12" ht="12.75">
      <c r="A13" s="3255"/>
      <c r="B13" s="3242"/>
      <c r="C13" s="3260"/>
      <c r="D13" s="3278"/>
      <c r="E13" s="123" t="s">
        <v>1279</v>
      </c>
      <c r="F13" s="1627"/>
      <c r="G13" s="1627"/>
      <c r="H13" s="1627"/>
      <c r="I13" s="1281"/>
    </row>
    <row r="14" spans="1:12" ht="12.75">
      <c r="A14" s="3255" t="s">
        <v>1280</v>
      </c>
      <c r="B14" s="3242">
        <v>30</v>
      </c>
      <c r="C14" s="3258">
        <v>5</v>
      </c>
      <c r="D14" s="3278">
        <v>5</v>
      </c>
      <c r="E14" s="123" t="s">
        <v>1281</v>
      </c>
      <c r="F14" s="1627"/>
      <c r="G14" s="1627"/>
      <c r="H14" s="1627"/>
      <c r="I14" s="1281"/>
    </row>
    <row r="15" spans="1:12" ht="12.75">
      <c r="A15" s="3255"/>
      <c r="B15" s="3242"/>
      <c r="C15" s="3259"/>
      <c r="D15" s="3278"/>
      <c r="E15" s="123" t="s">
        <v>1282</v>
      </c>
      <c r="F15" s="1627"/>
      <c r="G15" s="1627"/>
      <c r="H15" s="1627"/>
      <c r="I15" s="1281"/>
    </row>
    <row r="16" spans="1:12" ht="12.75">
      <c r="A16" s="3255"/>
      <c r="B16" s="3242"/>
      <c r="C16" s="3260"/>
      <c r="D16" s="3278"/>
      <c r="E16" s="123" t="s">
        <v>1283</v>
      </c>
      <c r="F16" s="1627"/>
      <c r="G16" s="1627"/>
      <c r="H16" s="1627"/>
      <c r="I16" s="1281"/>
    </row>
    <row r="17" spans="1:36" ht="15">
      <c r="A17" s="1628" t="s">
        <v>1284</v>
      </c>
      <c r="B17" s="54"/>
      <c r="C17" s="124">
        <f>SUM(C5:C16)</f>
        <v>5</v>
      </c>
      <c r="D17" s="124">
        <f>SUM(D5:D16)</f>
        <v>5</v>
      </c>
      <c r="E17" s="121"/>
      <c r="F17" s="121"/>
      <c r="G17" s="121"/>
      <c r="H17" s="121"/>
      <c r="I17" s="121"/>
      <c r="K17" s="294"/>
      <c r="L17" s="294" t="s">
        <v>1285</v>
      </c>
      <c r="M17" s="294" t="s">
        <v>1286</v>
      </c>
    </row>
    <row r="18" spans="1:36" ht="31.9" customHeight="1" thickBot="1">
      <c r="A18" s="1629" t="s">
        <v>1287</v>
      </c>
      <c r="B18" s="1542"/>
      <c r="C18" s="125">
        <f>ROUND(C17/SUM(C17:D17),2)</f>
        <v>0.5</v>
      </c>
      <c r="D18" s="125">
        <f>1-C18</f>
        <v>0.5</v>
      </c>
      <c r="E18" s="3265" t="s">
        <v>2129</v>
      </c>
      <c r="F18" s="3266"/>
      <c r="G18" s="3266"/>
      <c r="H18" s="3266"/>
      <c r="I18" s="3266"/>
      <c r="K18" s="294" t="s">
        <v>1288</v>
      </c>
      <c r="L18" s="294">
        <f>IF(C1="",'数据-汇总表'!E3,SUMIF(项目类型,C1,'数据-汇总表'!E17:E26)+SUMIF(项目类型,C1,'数据-汇总表'!I17:I26))</f>
        <v>66288.099999999991</v>
      </c>
      <c r="M18" s="294">
        <f>IF(C1="",'数据-汇总表'!E3,SUMIF(项目类型,C1,'数据-汇总表'!E17:E26))</f>
        <v>66288.099999999991</v>
      </c>
    </row>
    <row r="19" spans="1:36" ht="15">
      <c r="A19" s="1630" t="s">
        <v>1289</v>
      </c>
      <c r="B19" s="1631" t="s">
        <v>1290</v>
      </c>
      <c r="C19" s="126">
        <f ca="1">SUMIF(INDIRECT("'"&amp;C4&amp;"'"&amp;"!A:A"),结果表!B19,INDIRECT("'"&amp;C4&amp;"'"&amp;"!B:B"))</f>
        <v>34849</v>
      </c>
      <c r="D19" s="127">
        <f ca="1">SUMIF(INDIRECT("'"&amp;D4&amp;"'"&amp;"!A:A"),结果表!B19,INDIRECT("'"&amp;D4&amp;"'"&amp;"!B:B"))</f>
        <v>32524</v>
      </c>
      <c r="E19" s="1630" t="s">
        <v>1291</v>
      </c>
      <c r="F19" s="1631" t="s">
        <v>1290</v>
      </c>
      <c r="G19" s="128">
        <f ca="1">ROUND(C19*$C$18+D19*$D$18,0)</f>
        <v>33687</v>
      </c>
      <c r="H19" s="1632" t="s">
        <v>1292</v>
      </c>
      <c r="I19" s="121"/>
      <c r="K19" s="294" t="s">
        <v>1293</v>
      </c>
      <c r="L19" s="294">
        <f>IF(C1="",'数据-汇总表'!D3,SUMIF(项目类型,C1,'数据-汇总表'!D17:D26)+SUMIF(项目类型,C1,'数据-汇总表'!H17:H27))</f>
        <v>29724.79</v>
      </c>
      <c r="M19" s="294">
        <f>IF(C1="",'数据-汇总表'!D3,SUMIF(项目类型,C1,'数据-汇总表'!D17:D26))</f>
        <v>29724.79</v>
      </c>
    </row>
    <row r="20" spans="1:36" ht="15">
      <c r="A20" s="1633"/>
      <c r="B20" s="43" t="s">
        <v>1294</v>
      </c>
      <c r="C20" s="129">
        <f ca="1">SUMIF(INDIRECT("'"&amp;C4&amp;"'"&amp;"!A:A"),结果表!B20,INDIRECT("'"&amp;C4&amp;"'"&amp;"!B:B"))</f>
        <v>5257</v>
      </c>
      <c r="D20" s="130">
        <f ca="1">SUMIF(INDIRECT("'"&amp;D4&amp;"'"&amp;"!A:A"),结果表!B20,INDIRECT("'"&amp;D4&amp;"'"&amp;"!B:B"))</f>
        <v>4906</v>
      </c>
      <c r="E20" s="1633"/>
      <c r="F20" s="43" t="s">
        <v>1294</v>
      </c>
      <c r="G20" s="131">
        <f ca="1">ROUND(C20*$C$18+D20*$D$18,0)</f>
        <v>5082</v>
      </c>
      <c r="H20" s="760" t="s">
        <v>1295</v>
      </c>
      <c r="I20" s="121"/>
    </row>
    <row r="21" spans="1:36" ht="15" customHeight="1" thickBot="1">
      <c r="A21" s="449"/>
      <c r="B21" s="93" t="s">
        <v>1296</v>
      </c>
      <c r="C21" s="678">
        <f ca="1">ROUND(C19*10000/L19,0)</f>
        <v>11724</v>
      </c>
      <c r="D21" s="679">
        <f ca="1">ROUND(D19*10000/L19,0)</f>
        <v>10942</v>
      </c>
      <c r="E21" s="449"/>
      <c r="F21" s="93" t="s">
        <v>1296</v>
      </c>
      <c r="G21" s="132">
        <f ca="1">ROUND(G19*10000/L19,0)</f>
        <v>11333</v>
      </c>
      <c r="H21" s="1634" t="s">
        <v>1295</v>
      </c>
      <c r="I21" s="121"/>
    </row>
    <row r="22" spans="1:36" ht="15" thickBot="1">
      <c r="A22" s="1564" t="s">
        <v>1297</v>
      </c>
      <c r="B22" s="1635"/>
      <c r="C22" s="1636"/>
      <c r="D22" s="680">
        <f ca="1">IF(C19&lt;D19,D19/C19-1,C19/D19-1)</f>
        <v>7.1485672119050436E-2</v>
      </c>
      <c r="E22" s="121"/>
      <c r="F22" s="121"/>
      <c r="G22" s="121"/>
      <c r="H22" s="121"/>
      <c r="I22" s="121"/>
    </row>
    <row r="23" spans="1:36" ht="13.5" thickBot="1">
      <c r="A23" s="646"/>
      <c r="B23" s="646"/>
      <c r="C23" s="646"/>
      <c r="D23" s="646"/>
      <c r="E23" s="121"/>
      <c r="F23" s="121"/>
      <c r="G23" s="121"/>
      <c r="H23" s="121"/>
      <c r="I23" s="121"/>
    </row>
    <row r="24" spans="1:36" ht="14.25">
      <c r="A24" s="3249" t="s">
        <v>1298</v>
      </c>
      <c r="B24" s="1631" t="s">
        <v>1290</v>
      </c>
      <c r="C24" s="128">
        <f>IF(B30=0,0,D30)</f>
        <v>0</v>
      </c>
      <c r="D24" s="1637"/>
      <c r="E24" s="121"/>
      <c r="F24" s="121"/>
      <c r="G24" s="121"/>
      <c r="H24" s="121"/>
      <c r="I24" s="121"/>
    </row>
    <row r="25" spans="1:36" ht="14.25">
      <c r="A25" s="3250"/>
      <c r="B25" s="43" t="s">
        <v>1294</v>
      </c>
      <c r="C25" s="133">
        <f>IF(B30=0,0,C30)</f>
        <v>0</v>
      </c>
      <c r="D25" s="1638"/>
      <c r="E25" s="121"/>
      <c r="F25" s="121"/>
      <c r="G25" s="121"/>
      <c r="H25" s="121"/>
      <c r="I25" s="121"/>
    </row>
    <row r="26" spans="1:36" ht="13.5" customHeight="1">
      <c r="A26" s="1639" t="s">
        <v>1299</v>
      </c>
      <c r="B26" s="134" t="s">
        <v>1300</v>
      </c>
      <c r="C26" s="134" t="s">
        <v>1301</v>
      </c>
      <c r="D26" s="135" t="s">
        <v>1302</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1303</v>
      </c>
      <c r="B30" s="134"/>
      <c r="C30" s="134"/>
      <c r="D30" s="134"/>
      <c r="E30" s="2127" t="s">
        <v>2130</v>
      </c>
      <c r="F30" s="121"/>
      <c r="G30" s="121"/>
      <c r="H30" s="121"/>
      <c r="I30" s="121"/>
    </row>
    <row r="31" spans="1:36" s="2133" customFormat="1" ht="26.45" customHeight="1" thickTop="1" thickBot="1">
      <c r="A31" s="2128"/>
      <c r="B31" s="2129"/>
      <c r="C31" s="2129"/>
      <c r="D31" s="2129"/>
      <c r="E31" s="2129"/>
      <c r="F31" s="2129"/>
      <c r="G31" s="2129"/>
      <c r="H31" s="2129"/>
      <c r="I31" s="2130" t="s">
        <v>2131</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1304</v>
      </c>
      <c r="B32" s="1535"/>
      <c r="C32" s="136">
        <f ca="1">IF(D32="总价",G19-C24,G20-C25)</f>
        <v>33687</v>
      </c>
      <c r="D32" s="1641" t="s">
        <v>3416</v>
      </c>
      <c r="E32" s="121"/>
      <c r="F32" s="121"/>
      <c r="G32" s="121"/>
      <c r="H32" s="121"/>
      <c r="I32" s="121"/>
    </row>
    <row r="33" spans="1:15" ht="15">
      <c r="A33" s="740" t="s">
        <v>1305</v>
      </c>
      <c r="B33" s="123"/>
      <c r="C33" s="1642" t="s">
        <v>3488</v>
      </c>
      <c r="D33" s="1643" t="s">
        <v>3412</v>
      </c>
      <c r="E33" s="1644" t="s">
        <v>1306</v>
      </c>
      <c r="F33" s="1645" t="str">
        <f>IF(D32="楼面单价","取值（单价）","取值（总价）")</f>
        <v>取值（总价）</v>
      </c>
      <c r="G33" s="121"/>
      <c r="H33" s="121"/>
      <c r="I33" s="121"/>
    </row>
    <row r="34" spans="1:15" ht="15">
      <c r="A34" s="1646"/>
      <c r="B34" s="1647" t="s">
        <v>1307</v>
      </c>
      <c r="C34" s="140">
        <f ca="1">IF(C33="自定义",F34,C32-C35)</f>
        <v>5356</v>
      </c>
      <c r="D34" s="808">
        <f ca="1">IF(C33="自定义",ROUND(C34/C32,3),IF(C33="收益比率",SUMIF(INDIRECT("'"&amp;D33&amp;"'"&amp;"!b:b"),"土地收益比率",INDIRECT("'"&amp;D33&amp;"'"&amp;"!c:c")),SUMIF(INDIRECT("'"&amp;D33&amp;"'"&amp;"!b:b"),"土地成本比率",INDIRECT("'"&amp;D33&amp;"'"&amp;"!c:c"))))</f>
        <v>0.15900000000000003</v>
      </c>
      <c r="E34" s="1648" t="s">
        <v>1308</v>
      </c>
      <c r="F34" s="1243"/>
      <c r="G34" s="121"/>
      <c r="H34" s="121"/>
      <c r="I34" s="121"/>
    </row>
    <row r="35" spans="1:15" ht="15.75" thickBot="1">
      <c r="A35" s="1649"/>
      <c r="B35" s="1650" t="s">
        <v>1309</v>
      </c>
      <c r="C35" s="1090">
        <f ca="1">IF(C33="自定义",F35,ROUND(C32*D35,0))</f>
        <v>28331</v>
      </c>
      <c r="D35" s="1091">
        <f ca="1">IF(C33="自定义",ROUND(C35/C32,3),IF(C33="收益比率",SUMIF(INDIRECT("'"&amp;D33&amp;"'"&amp;"!b:b"),"建筑物收益比率",INDIRECT("'"&amp;D33&amp;"'"&amp;"!c:c")),SUMIF(INDIRECT("'"&amp;D33&amp;"'"&amp;"!b:b"),"建筑物成本比率",INDIRECT("'"&amp;D33&amp;"'"&amp;"!c:c"))))</f>
        <v>0.84099999999999997</v>
      </c>
      <c r="E35" s="1651" t="s">
        <v>1310</v>
      </c>
      <c r="F35" s="146"/>
      <c r="G35" s="121"/>
      <c r="H35" s="121"/>
      <c r="I35" s="121"/>
    </row>
    <row r="36" spans="1:15" ht="15.75" thickBot="1">
      <c r="A36" s="3269" t="s">
        <v>1311</v>
      </c>
      <c r="B36" s="1652" t="s">
        <v>1312</v>
      </c>
      <c r="C36" s="137"/>
      <c r="D36" s="1653"/>
      <c r="E36" s="1567"/>
      <c r="F36" s="1654"/>
      <c r="G36" s="121"/>
      <c r="H36" s="121"/>
      <c r="I36" s="121"/>
    </row>
    <row r="37" spans="1:15" ht="15.75" thickBot="1">
      <c r="A37" s="3270"/>
      <c r="B37" s="1555" t="s">
        <v>1313</v>
      </c>
      <c r="C37" s="139"/>
      <c r="D37" s="1071"/>
      <c r="E37" s="1071"/>
      <c r="F37" s="1654"/>
      <c r="G37" s="121"/>
      <c r="H37" s="121"/>
      <c r="I37" s="121"/>
    </row>
    <row r="38" spans="1:15" ht="15.75" thickBot="1">
      <c r="A38" s="3271"/>
      <c r="B38" s="1655" t="s">
        <v>1314</v>
      </c>
      <c r="C38" s="641"/>
      <c r="D38" s="1656" t="s">
        <v>1315</v>
      </c>
      <c r="E38" s="1071"/>
      <c r="F38" s="1654"/>
      <c r="G38" s="121"/>
      <c r="H38" s="121"/>
      <c r="I38" s="121"/>
    </row>
    <row r="39" spans="1:15" ht="15">
      <c r="A39" s="1633" t="s">
        <v>1316</v>
      </c>
      <c r="B39" s="1657" t="s">
        <v>1317</v>
      </c>
      <c r="C39" s="1658" t="s">
        <v>1318</v>
      </c>
      <c r="D39" s="1658" t="s">
        <v>1319</v>
      </c>
      <c r="E39" s="1659" t="s">
        <v>1320</v>
      </c>
      <c r="F39" s="1654"/>
      <c r="G39" s="121"/>
      <c r="H39" s="121"/>
      <c r="I39" s="121"/>
    </row>
    <row r="40" spans="1:15" ht="14.25">
      <c r="A40" s="1660" t="s">
        <v>1321</v>
      </c>
      <c r="B40" s="141"/>
      <c r="C40" s="142"/>
      <c r="D40" s="142"/>
      <c r="E40" s="143"/>
      <c r="F40" s="1654"/>
      <c r="G40" s="121"/>
      <c r="H40" s="121"/>
      <c r="I40" s="121"/>
    </row>
    <row r="41" spans="1:15" ht="14.25">
      <c r="A41" s="1660" t="s">
        <v>1322</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1323</v>
      </c>
      <c r="B44" s="1664"/>
      <c r="C44" s="1664"/>
      <c r="D44" s="1665"/>
      <c r="E44" s="1665"/>
      <c r="F44" s="1666"/>
      <c r="G44" s="1666"/>
      <c r="H44" s="1666"/>
      <c r="I44" s="1666"/>
      <c r="J44" s="1667" t="s">
        <v>1324</v>
      </c>
      <c r="K44" s="4"/>
      <c r="L44" s="4"/>
      <c r="M44" s="4"/>
      <c r="N44" s="4"/>
      <c r="O44" s="4"/>
    </row>
    <row r="45" spans="1:15" ht="14.25" customHeight="1" thickBot="1">
      <c r="A45" s="3246" t="s">
        <v>1325</v>
      </c>
      <c r="B45" s="3247"/>
      <c r="C45" s="3248"/>
      <c r="D45" s="147">
        <f ca="1">ROUND(H101*F45,0)</f>
        <v>33687</v>
      </c>
      <c r="E45" s="148" t="s">
        <v>1326</v>
      </c>
      <c r="F45" s="149">
        <v>1</v>
      </c>
      <c r="G45" s="150" t="s">
        <v>1327</v>
      </c>
      <c r="H45" s="121"/>
      <c r="I45" s="121"/>
      <c r="J45" s="3324" t="s">
        <v>1328</v>
      </c>
      <c r="K45" s="3324"/>
      <c r="L45" s="3324"/>
      <c r="M45" s="3324"/>
      <c r="N45" s="3324"/>
      <c r="O45" s="3324"/>
    </row>
    <row r="46" spans="1:15" ht="14.25" customHeight="1">
      <c r="A46" s="3243" t="s">
        <v>1329</v>
      </c>
      <c r="B46" s="3244"/>
      <c r="C46" s="3244"/>
      <c r="D46" s="3244"/>
      <c r="E46" s="3244"/>
      <c r="F46" s="3244"/>
      <c r="G46" s="3245"/>
      <c r="H46" s="1668"/>
      <c r="I46" s="151"/>
      <c r="J46" s="2310">
        <v>1</v>
      </c>
      <c r="K46" s="3305" t="s">
        <v>1330</v>
      </c>
      <c r="L46" s="3305"/>
      <c r="M46" s="3325"/>
      <c r="N46" s="3325"/>
      <c r="O46" s="3325"/>
    </row>
    <row r="47" spans="1:15" ht="12" customHeight="1">
      <c r="A47" s="152" t="s">
        <v>1331</v>
      </c>
      <c r="B47" s="153"/>
      <c r="C47" s="154"/>
      <c r="D47" s="1024" t="s">
        <v>1332</v>
      </c>
      <c r="E47" s="294" t="s">
        <v>1333</v>
      </c>
      <c r="F47" s="155" t="s">
        <v>1334</v>
      </c>
      <c r="G47" s="2333" t="s">
        <v>1335</v>
      </c>
      <c r="H47" s="2334"/>
      <c r="I47" s="151"/>
      <c r="J47" s="2310">
        <v>2</v>
      </c>
      <c r="K47" s="3305" t="s">
        <v>1336</v>
      </c>
      <c r="L47" s="3305"/>
      <c r="M47" s="3326">
        <f>'数据-取费表'!B2</f>
        <v>45632</v>
      </c>
      <c r="N47" s="3326"/>
      <c r="O47" s="3326"/>
    </row>
    <row r="48" spans="1:15" ht="25.5">
      <c r="A48" s="3274" t="s">
        <v>1337</v>
      </c>
      <c r="B48" s="3257"/>
      <c r="C48" s="3257"/>
      <c r="D48" s="12" t="b">
        <f>IF(H48="情况1",0,IF(H48="情况2",D52,IF(H48="情况3",D53,IF(H48="情况4",D54))))</f>
        <v>0</v>
      </c>
      <c r="E48" s="1256" t="str">
        <f>IF(H48="情况4","(销售额-原购置价)×税（费）率","销售额×税（费）率")</f>
        <v>销售额×税（费）率</v>
      </c>
      <c r="F48" s="2335">
        <f>IF(H48="情况1","免征",'数据-取费表'!B41)</f>
        <v>5.6000000000000001E-2</v>
      </c>
      <c r="G48" s="2336" t="s">
        <v>1338</v>
      </c>
      <c r="H48" s="2337"/>
      <c r="I48" s="1668"/>
      <c r="J48" s="2310">
        <v>3</v>
      </c>
      <c r="K48" s="3305" t="s">
        <v>1339</v>
      </c>
      <c r="L48" s="3305"/>
      <c r="M48" s="3327">
        <f ca="1">H101</f>
        <v>33687</v>
      </c>
      <c r="N48" s="3327"/>
      <c r="O48" s="3327"/>
    </row>
    <row r="49" spans="1:35" ht="25.5" customHeight="1">
      <c r="A49" s="2152" t="s">
        <v>1340</v>
      </c>
      <c r="B49" s="3241" t="s">
        <v>1341</v>
      </c>
      <c r="C49" s="3241"/>
      <c r="D49" s="1478">
        <v>0</v>
      </c>
      <c r="E49" s="316" t="s">
        <v>1342</v>
      </c>
      <c r="F49" s="2233" t="s">
        <v>28</v>
      </c>
      <c r="G49" s="3311"/>
      <c r="H49" s="2134" t="s">
        <v>2132</v>
      </c>
      <c r="I49" s="2135"/>
      <c r="J49" s="2310">
        <v>4</v>
      </c>
      <c r="K49" s="3305" t="str">
        <f>IF(项目基本情况!E8="房地产抵押价值","房地产抵押价值","抵押担保权已注销时的房地产抵押价值")</f>
        <v>房地产抵押价值</v>
      </c>
      <c r="L49" s="3305"/>
      <c r="M49" s="3327">
        <f ca="1">IF(项目基本情况!E8="房地产抵押价值",H107,H109)</f>
        <v>33687</v>
      </c>
      <c r="N49" s="3327"/>
      <c r="O49" s="3327"/>
    </row>
    <row r="50" spans="1:35" ht="25.5" customHeight="1">
      <c r="A50" s="2338"/>
      <c r="B50" s="3241" t="s">
        <v>1343</v>
      </c>
      <c r="C50" s="3241"/>
      <c r="D50" s="2189"/>
      <c r="E50" s="323"/>
      <c r="F50" s="2233"/>
      <c r="G50" s="3312"/>
      <c r="H50" s="2136" t="s">
        <v>2133</v>
      </c>
      <c r="I50" s="2135"/>
      <c r="J50" s="3324" t="s">
        <v>1344</v>
      </c>
      <c r="K50" s="3324"/>
      <c r="L50" s="3324"/>
      <c r="M50" s="3324"/>
      <c r="N50" s="3324"/>
      <c r="O50" s="3324"/>
    </row>
    <row r="51" spans="1:35" ht="20.45" customHeight="1">
      <c r="A51" s="2339"/>
      <c r="B51" s="3241" t="s">
        <v>1345</v>
      </c>
      <c r="C51" s="3241"/>
      <c r="D51" s="1024"/>
      <c r="E51" s="319"/>
      <c r="F51" s="2233"/>
      <c r="G51" s="3313"/>
      <c r="H51" s="2136" t="s">
        <v>2134</v>
      </c>
      <c r="I51" s="2135"/>
      <c r="J51" s="2311" t="s">
        <v>1346</v>
      </c>
      <c r="K51" s="3305" t="s">
        <v>1347</v>
      </c>
      <c r="L51" s="3305"/>
      <c r="M51" s="2311" t="s">
        <v>1348</v>
      </c>
      <c r="N51" s="2311" t="s">
        <v>1349</v>
      </c>
      <c r="O51" s="2311" t="s">
        <v>1350</v>
      </c>
    </row>
    <row r="52" spans="1:35" ht="24" customHeight="1">
      <c r="A52" s="2153" t="s">
        <v>1351</v>
      </c>
      <c r="B52" s="3241" t="s">
        <v>1352</v>
      </c>
      <c r="C52" s="3241"/>
      <c r="D52" s="1024">
        <f ca="1">ROUND(D45*'数据-取费表'!B41/(1+'数据-取费表'!C42),0)</f>
        <v>1797</v>
      </c>
      <c r="E52" s="1256" t="s">
        <v>1353</v>
      </c>
      <c r="F52" s="2340">
        <f>'数据-取费表'!B41</f>
        <v>5.6000000000000001E-2</v>
      </c>
      <c r="G52" s="2341"/>
      <c r="H52" s="2331"/>
      <c r="I52" s="1669"/>
      <c r="J52" s="2310">
        <v>1</v>
      </c>
      <c r="K52" s="3306" t="s">
        <v>1354</v>
      </c>
      <c r="L52" s="3306"/>
      <c r="M52" s="2312" t="b">
        <f>D48</f>
        <v>0</v>
      </c>
      <c r="N52" s="2310" t="str">
        <f>E48</f>
        <v>销售额×税（费）率</v>
      </c>
      <c r="O52" s="2313">
        <f>F48</f>
        <v>5.6000000000000001E-2</v>
      </c>
    </row>
    <row r="53" spans="1:35" ht="12" customHeight="1">
      <c r="A53" s="2153" t="s">
        <v>1355</v>
      </c>
      <c r="B53" s="3267" t="s">
        <v>2280</v>
      </c>
      <c r="C53" s="3268"/>
      <c r="D53" s="1024">
        <f ca="1">ROUND(D45*'数据-取费表'!B41/(1+'数据-取费表'!C42),0)</f>
        <v>1797</v>
      </c>
      <c r="E53" s="1256" t="s">
        <v>1353</v>
      </c>
      <c r="F53" s="2340">
        <f>'数据-取费表'!B41</f>
        <v>5.6000000000000001E-2</v>
      </c>
      <c r="G53" s="2341"/>
      <c r="H53" s="2331"/>
      <c r="I53" s="1669"/>
      <c r="J53" s="2310">
        <v>2</v>
      </c>
      <c r="K53" s="3306" t="s">
        <v>1356</v>
      </c>
      <c r="L53" s="3306"/>
      <c r="M53" s="2312">
        <f t="shared" ref="M53:O54" ca="1" si="0">D55</f>
        <v>17</v>
      </c>
      <c r="N53" s="2310" t="str">
        <f t="shared" si="0"/>
        <v>销售额×税（费）率</v>
      </c>
      <c r="O53" s="2313" t="str">
        <f t="shared" si="0"/>
        <v>免征</v>
      </c>
    </row>
    <row r="54" spans="1:35" ht="12" customHeight="1">
      <c r="A54" s="2153" t="s">
        <v>1357</v>
      </c>
      <c r="B54" s="3267" t="s">
        <v>2281</v>
      </c>
      <c r="C54" s="3268"/>
      <c r="D54" s="1024">
        <f ca="1">C68</f>
        <v>1797</v>
      </c>
      <c r="E54" s="319" t="s">
        <v>1358</v>
      </c>
      <c r="F54" s="2340">
        <f>'数据-取费表'!B41</f>
        <v>5.6000000000000001E-2</v>
      </c>
      <c r="G54" s="2341"/>
      <c r="H54" s="2342"/>
      <c r="I54" s="1669"/>
      <c r="J54" s="2310">
        <v>3</v>
      </c>
      <c r="K54" s="3306" t="s">
        <v>1359</v>
      </c>
      <c r="L54" s="3306"/>
      <c r="M54" s="2312">
        <f t="shared" ca="1" si="0"/>
        <v>19067</v>
      </c>
      <c r="N54" s="2310" t="str">
        <f t="shared" si="0"/>
        <v>增值额×税（费）率</v>
      </c>
      <c r="O54" s="2314" t="str">
        <f t="shared" si="0"/>
        <v>免征</v>
      </c>
    </row>
    <row r="55" spans="1:35" ht="24" customHeight="1">
      <c r="A55" s="3256" t="s">
        <v>1360</v>
      </c>
      <c r="B55" s="3257"/>
      <c r="C55" s="3257"/>
      <c r="D55" s="12">
        <f ca="1">IF(H55="个人住宅",0,ROUND(D45*I55,0))</f>
        <v>17</v>
      </c>
      <c r="E55" s="1256" t="s">
        <v>1361</v>
      </c>
      <c r="F55" s="2340" t="str">
        <f>IF(H55="正常",I55,"免征")</f>
        <v>免征</v>
      </c>
      <c r="G55" s="2341"/>
      <c r="H55" s="2337"/>
      <c r="I55" s="157">
        <f>'数据-取费表'!B49</f>
        <v>5.0000000000000001E-4</v>
      </c>
      <c r="J55" s="2310">
        <f>IF(H59="非个人房产","",4)</f>
        <v>4</v>
      </c>
      <c r="K55" s="3306" t="str">
        <f>IF(H59="非个人房产","——","个人所得税")</f>
        <v>个人所得税</v>
      </c>
      <c r="L55" s="3306"/>
      <c r="M55" s="2315">
        <f ca="1">D59</f>
        <v>321</v>
      </c>
      <c r="N55" s="1883" t="str">
        <f>E59</f>
        <v>差额计税</v>
      </c>
      <c r="O55" s="2316">
        <f>F59</f>
        <v>0.01</v>
      </c>
    </row>
    <row r="56" spans="1:35" ht="24.75">
      <c r="A56" s="3256" t="s">
        <v>1362</v>
      </c>
      <c r="B56" s="3257"/>
      <c r="C56" s="3257"/>
      <c r="D56" s="12">
        <f ca="1">IF(H56="个人住宅",D57,D58)</f>
        <v>19067</v>
      </c>
      <c r="E56" s="1256" t="s">
        <v>1363</v>
      </c>
      <c r="F56" s="2340" t="str">
        <f>IF(H56="正常",F58,"免征")</f>
        <v>免征</v>
      </c>
      <c r="G56" s="2343" t="s">
        <v>1364</v>
      </c>
      <c r="H56" s="2344"/>
      <c r="I56" s="1670"/>
      <c r="J56" s="2310" t="str">
        <f>IF(项目基本情况!K6="上海银行",IF(J55="",4,J55+1),"")</f>
        <v/>
      </c>
      <c r="K56" s="3329" t="str">
        <f>IF(项目基本情况!K6="上海银行","其他处置费用","")</f>
        <v/>
      </c>
      <c r="L56" s="3330"/>
      <c r="M56" s="2312" t="str">
        <f>IF(项目基本情况!K6="上海银行",M69,"")</f>
        <v/>
      </c>
      <c r="N56" s="3329" t="str">
        <f>IF(项目基本情况!K6="上海银行","包含处置中涉及的律师、诉讼、拍卖、评估等费用","")</f>
        <v/>
      </c>
      <c r="O56" s="3332"/>
    </row>
    <row r="57" spans="1:35" ht="12.75">
      <c r="A57" s="2153" t="s">
        <v>1340</v>
      </c>
      <c r="B57" s="3267" t="s">
        <v>1365</v>
      </c>
      <c r="C57" s="3268"/>
      <c r="D57" s="1478">
        <v>0</v>
      </c>
      <c r="E57" s="316" t="s">
        <v>1342</v>
      </c>
      <c r="F57" s="294"/>
      <c r="G57" s="2341"/>
      <c r="H57" s="2345"/>
      <c r="I57" s="1670"/>
      <c r="J57" s="3306">
        <f>IF(AND(J55="",J56=""),4,IF(项目基本情况!K6="上海银行",结果表!J56+1,结果表!J55+1))</f>
        <v>5</v>
      </c>
      <c r="K57" s="3306" t="s">
        <v>1366</v>
      </c>
      <c r="L57" s="2317" t="s">
        <v>1367</v>
      </c>
      <c r="M57" s="2318"/>
      <c r="N57" s="2319">
        <f ca="1">SUMIF(M52:M56,"&lt;9e307")</f>
        <v>19405</v>
      </c>
      <c r="O57" s="2320"/>
      <c r="P57" s="2465">
        <f ca="1">N57/M49</f>
        <v>0.57603823433371926</v>
      </c>
    </row>
    <row r="58" spans="1:35" ht="24.75">
      <c r="A58" s="2153" t="s">
        <v>1351</v>
      </c>
      <c r="B58" s="3267" t="s">
        <v>1368</v>
      </c>
      <c r="C58" s="3241"/>
      <c r="D58" s="12">
        <f ca="1">IF(H58="转让取得",C81,C97)</f>
        <v>19067</v>
      </c>
      <c r="E58" s="1256" t="s">
        <v>1363</v>
      </c>
      <c r="F58" s="294" t="s">
        <v>28</v>
      </c>
      <c r="G58" s="2341"/>
      <c r="H58" s="2344"/>
      <c r="I58" s="1670"/>
      <c r="J58" s="3306"/>
      <c r="K58" s="3306"/>
      <c r="L58" s="2317" t="s">
        <v>1369</v>
      </c>
      <c r="M58" s="2321"/>
      <c r="N58" s="2322" t="str">
        <f ca="1">NUMBERSTRING(INT(N57*10000),2)&amp;"元整"</f>
        <v>壹亿玖仟肆佰零伍万元整</v>
      </c>
      <c r="O58" s="2323"/>
    </row>
    <row r="59" spans="1:35" ht="24.75" thickBot="1">
      <c r="A59" s="3309" t="s">
        <v>1370</v>
      </c>
      <c r="B59" s="3310"/>
      <c r="C59" s="3310"/>
      <c r="D59" s="2346">
        <f ca="1">IF(H59="非个人房产","——",IF(H59="个人住宅（满五唯一有凭证）",0,IF(H59="个人其他（无凭证）",ROUND(D45*F59,0),ROUND(C67*F59,0))))</f>
        <v>321</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1364</v>
      </c>
      <c r="H59" s="2138"/>
      <c r="I59" s="2137" t="s">
        <v>2135</v>
      </c>
      <c r="J59" s="3307">
        <f>J57+1</f>
        <v>6</v>
      </c>
      <c r="K59" s="3306" t="s">
        <v>1371</v>
      </c>
      <c r="L59" s="2310" t="s">
        <v>1367</v>
      </c>
      <c r="M59" s="2324"/>
      <c r="N59" s="2325">
        <f ca="1">M49-N57</f>
        <v>14282</v>
      </c>
      <c r="O59" s="2326"/>
    </row>
    <row r="60" spans="1:35" ht="12" customHeight="1">
      <c r="A60" s="1671"/>
      <c r="B60" s="646"/>
      <c r="C60" s="646"/>
      <c r="D60" s="646"/>
      <c r="E60" s="1466"/>
      <c r="F60" s="1670"/>
      <c r="G60" s="1670"/>
      <c r="H60" s="151"/>
      <c r="I60" s="121"/>
      <c r="J60" s="3308"/>
      <c r="K60" s="3306"/>
      <c r="L60" s="2317" t="s">
        <v>1369</v>
      </c>
      <c r="M60" s="2321"/>
      <c r="N60" s="2322" t="str">
        <f ca="1">NUMBERSTRING(INT(N59*10000),2)&amp;"元整"</f>
        <v>壹亿肆仟贰佰捌拾贰万元整</v>
      </c>
      <c r="O60" s="2323"/>
    </row>
    <row r="61" spans="1:35" ht="13.5" thickBot="1">
      <c r="A61" s="3254" t="s">
        <v>1372</v>
      </c>
      <c r="B61" s="3254"/>
      <c r="C61" s="3254"/>
      <c r="D61" s="3254"/>
      <c r="E61" s="3254"/>
      <c r="F61" s="1670"/>
      <c r="G61" s="1670"/>
      <c r="H61" s="151"/>
      <c r="I61" s="121"/>
      <c r="J61" s="2310">
        <f>J59+1</f>
        <v>7</v>
      </c>
      <c r="K61" s="3306" t="s">
        <v>1373</v>
      </c>
      <c r="L61" s="3306"/>
      <c r="M61" s="2327"/>
      <c r="N61" s="2328">
        <f ca="1">ROUND(N59*10000/'数据-汇总表'!E3,0)</f>
        <v>2155</v>
      </c>
      <c r="O61" s="2329"/>
    </row>
    <row r="62" spans="1:35" ht="12.75">
      <c r="A62" s="3272" t="s">
        <v>1374</v>
      </c>
      <c r="B62" s="3273"/>
      <c r="C62" s="1865"/>
      <c r="D62" s="1865" t="s">
        <v>1375</v>
      </c>
      <c r="E62" s="158" t="s">
        <v>1376</v>
      </c>
      <c r="F62" s="1670"/>
      <c r="G62" s="1670"/>
      <c r="H62" s="151"/>
      <c r="I62" s="121"/>
    </row>
    <row r="63" spans="1:35" ht="12.75">
      <c r="A63" s="165" t="s">
        <v>330</v>
      </c>
      <c r="B63" s="159" t="s">
        <v>1377</v>
      </c>
      <c r="C63" s="2350">
        <f ca="1">ROUND((C64+C65)/(1+'数据-取费表'!C42),0)</f>
        <v>32083</v>
      </c>
      <c r="D63" s="159"/>
      <c r="E63" s="160"/>
      <c r="F63" s="1670"/>
      <c r="G63" s="1670"/>
      <c r="H63" s="151"/>
      <c r="I63" s="121"/>
      <c r="J63" s="3331" t="s">
        <v>1378</v>
      </c>
      <c r="K63" s="1245" t="s">
        <v>1379</v>
      </c>
      <c r="L63" s="1245">
        <f ca="1">IF(M49&gt;10000,M49*0.5%,IF(AND(M49&gt;1000,M49&lt;=10000),M49*1%,IF(AND(M49&gt;100,M49&lt;=1000),M49*3%,IF(AND(M49&gt;10,M49&lt;=100),M49*5%,M49*8%))))</f>
        <v>168.435</v>
      </c>
      <c r="M63" s="294">
        <f ca="1">ROUND(L63,1)</f>
        <v>168.4</v>
      </c>
      <c r="N63" s="2330"/>
      <c r="Z63" s="1623"/>
      <c r="AI63" s="1561"/>
    </row>
    <row r="64" spans="1:35" ht="14.25" customHeight="1">
      <c r="A64" s="161" t="s">
        <v>325</v>
      </c>
      <c r="B64" s="162" t="s">
        <v>1380</v>
      </c>
      <c r="C64" s="2351">
        <f ca="1">D45</f>
        <v>33687</v>
      </c>
      <c r="D64" s="162" t="s">
        <v>26</v>
      </c>
      <c r="E64" s="164"/>
      <c r="F64" s="1670"/>
      <c r="G64" s="1670"/>
      <c r="H64" s="151"/>
      <c r="I64" s="121"/>
      <c r="J64" s="3331"/>
      <c r="K64" s="1245" t="s">
        <v>1381</v>
      </c>
      <c r="L64" s="1245">
        <f ca="1">IF(M49&gt;2000,M49*0.5%,IF(AND(M49&gt;1000,M49&lt;=2000),M49*0.6%,IF(AND(M49&gt;500,M49&lt;=1000),M49*0.7%,IF(AND(M49&gt;200,M49&lt;=500),M49*0.8%,IF(AND(M49&gt;100,M49&lt;=200),M49*0.9%,IF(AND(M49&gt;50,M49&lt;=100),M49*1%,IF(AND(M49&gt;20,M49&lt;=50),M49*1.5%,IF(AND(M49&gt;10,M49&lt;=20),M49*2%,IF(AND(M49&gt;1,M49&lt;=10),M49*2.5%)))))))))</f>
        <v>168.435</v>
      </c>
      <c r="M64" s="294">
        <f t="shared" ref="M64:M65" ca="1" si="1">ROUND(L64,1)</f>
        <v>168.4</v>
      </c>
      <c r="N64" s="2331" t="s">
        <v>1382</v>
      </c>
      <c r="Z64" s="1623"/>
      <c r="AI64" s="1561"/>
    </row>
    <row r="65" spans="1:35" ht="14.25" customHeight="1">
      <c r="A65" s="161" t="s">
        <v>326</v>
      </c>
      <c r="B65" s="162" t="s">
        <v>1383</v>
      </c>
      <c r="C65" s="2352"/>
      <c r="D65" s="162"/>
      <c r="E65" s="164"/>
      <c r="F65" s="1670"/>
      <c r="G65" s="1670"/>
      <c r="H65" s="151"/>
      <c r="I65" s="121"/>
      <c r="J65" s="3331"/>
      <c r="K65" s="1245" t="s">
        <v>1384</v>
      </c>
      <c r="L65" s="1245">
        <f ca="1">IF(M49&gt;1000,M49*0.1%,IF(AND(M49&gt;500,M49&lt;=1000),M49*0.5%,IF(AND(M49&gt;50,M49&lt;=500),M49*1%,IF(AND(M49&gt;1,M49&lt;=50),M49*1.5%))))</f>
        <v>33.686999999999998</v>
      </c>
      <c r="M65" s="294">
        <f t="shared" ca="1" si="1"/>
        <v>33.700000000000003</v>
      </c>
      <c r="N65" s="2331" t="s">
        <v>1382</v>
      </c>
      <c r="Z65" s="1623"/>
      <c r="AI65" s="1561"/>
    </row>
    <row r="66" spans="1:35" ht="14.25" customHeight="1">
      <c r="A66" s="165" t="s">
        <v>327</v>
      </c>
      <c r="B66" s="166" t="s">
        <v>1385</v>
      </c>
      <c r="C66" s="2353"/>
      <c r="D66" s="166" t="s">
        <v>26</v>
      </c>
      <c r="E66" s="1251" t="s">
        <v>671</v>
      </c>
      <c r="F66" s="1670"/>
      <c r="G66" s="1670"/>
      <c r="H66" s="151"/>
      <c r="I66" s="121"/>
      <c r="J66" s="3331"/>
      <c r="K66" s="1245" t="s">
        <v>1386</v>
      </c>
      <c r="L66" s="1245">
        <f ca="1">M49*0.5%</f>
        <v>168.435</v>
      </c>
      <c r="M66" s="294">
        <f ca="1">IF(L66&gt;0.5,0.5,ROUND(L66,0))</f>
        <v>0.5</v>
      </c>
      <c r="N66" s="2331" t="s">
        <v>1387</v>
      </c>
      <c r="Z66" s="1623"/>
      <c r="AI66" s="1561"/>
    </row>
    <row r="67" spans="1:35" ht="14.25" customHeight="1">
      <c r="A67" s="165" t="s">
        <v>328</v>
      </c>
      <c r="B67" s="166" t="s">
        <v>1388</v>
      </c>
      <c r="C67" s="2354">
        <f ca="1">C63-C66</f>
        <v>32083</v>
      </c>
      <c r="D67" s="162" t="s">
        <v>26</v>
      </c>
      <c r="E67" s="164"/>
      <c r="F67" s="1670"/>
      <c r="G67" s="1670"/>
      <c r="H67" s="151"/>
      <c r="I67" s="121"/>
      <c r="J67" s="3331"/>
      <c r="K67" s="1245" t="s">
        <v>1389</v>
      </c>
      <c r="L67" s="1245">
        <f ca="1">IF(M49&gt;=10000,(8.25+(M49-10000)*0.01%),IF(AND(M49&gt;=8000,M49&lt;10000),(7.85+(M49-8000)*0.02%),IF(AND(M49&gt;=5000,M49&lt;8000),(6.65+(M49-5000)*0.04%),IF(AND(M49&gt;=2000,M49&lt;5000),(4.25+(PM49-2000)*0.08%),IF(AND(M49&gt;=1000,M49&lt;2000),(2.75+(M49-1000)*0.15%),IF(AND(M49&gt;=100,M49&lt;1000),(0.5+(M49-100)*0.25%),IF(AND(M49&gt;0,M49&lt;100),M49*0.5%)))))))</f>
        <v>10.6187</v>
      </c>
      <c r="M67" s="294">
        <f ca="1">ROUND(L67*0.9,1)</f>
        <v>9.6</v>
      </c>
      <c r="N67" s="2330"/>
      <c r="Z67" s="1623"/>
      <c r="AI67" s="1561"/>
    </row>
    <row r="68" spans="1:35" ht="14.25" customHeight="1" thickBot="1">
      <c r="A68" s="168" t="s">
        <v>329</v>
      </c>
      <c r="B68" s="169" t="s">
        <v>1390</v>
      </c>
      <c r="C68" s="2355">
        <f ca="1">IF(C67&lt;=0,0,ROUND(C67*D68,0))</f>
        <v>1797</v>
      </c>
      <c r="D68" s="2356">
        <f>'数据-取费表'!B41</f>
        <v>5.6000000000000001E-2</v>
      </c>
      <c r="E68" s="170"/>
      <c r="F68" s="1670"/>
      <c r="G68" s="1670"/>
      <c r="H68" s="151"/>
      <c r="I68" s="121"/>
      <c r="J68" s="3331"/>
      <c r="K68" s="1245" t="s">
        <v>1391</v>
      </c>
      <c r="L68" s="1245">
        <f ca="1">IF(M49&gt;10000,M49*0.5%,IF(AND(M49&gt;5000,M49&lt;=10000),M49*1%,IF(AND(M49&gt;1000,M49&lt;=5000),M49*2%,IF(AND(M49&gt;200,M49&lt;=1000),M49*3%,M49*5%))))</f>
        <v>168.435</v>
      </c>
      <c r="M68" s="294">
        <f ca="1">ROUND(L68,1)</f>
        <v>168.4</v>
      </c>
      <c r="N68" s="2330"/>
      <c r="Z68" s="1623"/>
      <c r="AI68" s="1561"/>
    </row>
    <row r="69" spans="1:35" ht="16.5" customHeight="1">
      <c r="A69" s="1672"/>
      <c r="B69" s="1673"/>
      <c r="C69" s="1674"/>
      <c r="D69" s="1675"/>
      <c r="E69" s="1676"/>
      <c r="F69" s="1466"/>
      <c r="G69" s="1466"/>
      <c r="H69" s="1467"/>
      <c r="I69" s="646"/>
      <c r="J69" s="3331"/>
      <c r="K69" s="1245" t="s">
        <v>1392</v>
      </c>
      <c r="L69" s="1245"/>
      <c r="M69" s="294">
        <f ca="1">ROUND(SUM(M63:M68),0)</f>
        <v>549</v>
      </c>
      <c r="N69" s="2332">
        <f ca="1">M69/M49</f>
        <v>1.6297087897408497E-2</v>
      </c>
      <c r="Z69" s="1623"/>
      <c r="AI69" s="1561"/>
    </row>
    <row r="70" spans="1:35" s="642" customFormat="1" ht="15" thickBot="1">
      <c r="A70" s="3293" t="s">
        <v>1393</v>
      </c>
      <c r="B70" s="3294"/>
      <c r="C70" s="3294"/>
      <c r="D70" s="3294"/>
      <c r="E70" s="3294"/>
      <c r="F70" s="3294"/>
      <c r="G70" s="3294"/>
      <c r="H70" s="3294"/>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72" t="s">
        <v>1374</v>
      </c>
      <c r="B71" s="3273"/>
      <c r="C71" s="1865"/>
      <c r="D71" s="1865" t="s">
        <v>1375</v>
      </c>
      <c r="E71" s="171" t="s">
        <v>1376</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1394</v>
      </c>
      <c r="C72" s="2354">
        <f ca="1">ROUND(D45/(1+'数据-取费表'!C42),0)</f>
        <v>32083</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1395</v>
      </c>
      <c r="C73" s="2354">
        <f ca="1">C74+C78</f>
        <v>192</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1396</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1397</v>
      </c>
      <c r="C75" s="2357"/>
      <c r="D75" s="162" t="s">
        <v>26</v>
      </c>
      <c r="E75" s="176" t="s">
        <v>1398</v>
      </c>
      <c r="F75" s="2358"/>
      <c r="G75" s="176" t="s">
        <v>1399</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1400</v>
      </c>
      <c r="C76" s="162">
        <f>IF(F75="购房发票",ROUND(C75*H75*D76,0),0)</f>
        <v>0</v>
      </c>
      <c r="D76" s="2360">
        <v>0.05</v>
      </c>
      <c r="E76" s="3267" t="s">
        <v>1401</v>
      </c>
      <c r="F76" s="3241"/>
      <c r="G76" s="3241"/>
      <c r="H76" s="3292"/>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1402</v>
      </c>
      <c r="C77" s="162">
        <f>ROUND(IF(G77="个人住宅",0,IF(G77="2016年5月1日前购买",C75*D77,C75*D77/(1+'数据-取费表'!C42))),0)</f>
        <v>0</v>
      </c>
      <c r="D77" s="2361">
        <f>'数据-取费表'!B48+'数据-取费表'!B49</f>
        <v>3.0499999999999999E-2</v>
      </c>
      <c r="E77" s="12" t="s">
        <v>1403</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1404</v>
      </c>
      <c r="C78" s="2362">
        <f ca="1">ROUND(D45*D78/(1+'数据-取费表'!C42),0)</f>
        <v>192</v>
      </c>
      <c r="D78" s="2363">
        <f>'数据-取费表'!B43</f>
        <v>6.000000000000001E-3</v>
      </c>
      <c r="E78" s="3251" t="s">
        <v>1405</v>
      </c>
      <c r="F78" s="3252"/>
      <c r="G78" s="3252"/>
      <c r="H78" s="3261"/>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1406</v>
      </c>
      <c r="C79" s="2354">
        <f ca="1">C72-C73</f>
        <v>31891</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1407</v>
      </c>
      <c r="C80" s="2364">
        <f ca="1">IF(C79&lt;=0,0,C79/C73)</f>
        <v>166.09895833333334</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1408</v>
      </c>
      <c r="C81" s="2365">
        <f ca="1">ROUND(IF(C79&lt;=0,0,IF(C80&gt;=200%,C79*60%-C73*35%,IF(C80&gt;=100%,C79*50%-C73*15%,IF(C80&gt;=50%,C79*40%-C73*5%,IF(C80&lt;50%,C79*30%,0))))),0)</f>
        <v>19067</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293" t="s">
        <v>1409</v>
      </c>
      <c r="B83" s="3294"/>
      <c r="C83" s="3294"/>
      <c r="D83" s="3294"/>
      <c r="E83" s="3294"/>
      <c r="F83" s="3294"/>
      <c r="G83" s="3294"/>
      <c r="H83" s="3294"/>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72" t="s">
        <v>1374</v>
      </c>
      <c r="B84" s="3273"/>
      <c r="C84" s="1865"/>
      <c r="D84" s="1865" t="s">
        <v>1375</v>
      </c>
      <c r="E84" s="171" t="s">
        <v>1376</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1394</v>
      </c>
      <c r="C85" s="2354">
        <f ca="1">ROUND(D45/(1+'数据-取费表'!C42),0)</f>
        <v>32083</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1395</v>
      </c>
      <c r="C86" s="2354">
        <f ca="1">IF(H88="仅含出让金",C87+C90+C91+C92+C93+C94,C87+C91+C92+C93+C94)</f>
        <v>192</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1410</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1411</v>
      </c>
      <c r="C88" s="2368"/>
      <c r="D88" s="2363"/>
      <c r="E88" s="185" t="s">
        <v>1412</v>
      </c>
      <c r="F88" s="2148"/>
      <c r="G88" s="186" t="s">
        <v>1413</v>
      </c>
      <c r="H88" s="1684"/>
      <c r="I88" s="1681"/>
      <c r="J88" s="2308" t="s">
        <v>2277</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1402</v>
      </c>
      <c r="C89" s="2362">
        <f>ROUND(C88*D89,0)</f>
        <v>0</v>
      </c>
      <c r="D89" s="2363">
        <f>'数据-取费表'!B48+'数据-取费表'!B49</f>
        <v>3.0499999999999999E-2</v>
      </c>
      <c r="E89" s="185" t="s">
        <v>1414</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1415</v>
      </c>
      <c r="C90" s="2368"/>
      <c r="D90" s="2363"/>
      <c r="E90" s="185" t="str">
        <f>IF(H88="-","土地取得成本中已包含该笔费用"," ")</f>
        <v xml:space="preserve"> </v>
      </c>
      <c r="F90" s="2148"/>
      <c r="G90" s="3333" t="s">
        <v>2127</v>
      </c>
      <c r="H90" s="3334"/>
      <c r="I90" s="1681"/>
      <c r="J90" s="2308" t="s">
        <v>2278</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1416</v>
      </c>
      <c r="B91" s="162" t="s">
        <v>1417</v>
      </c>
      <c r="C91" s="2362">
        <f>IF(H91="——",成本法!C33,I91)</f>
        <v>0</v>
      </c>
      <c r="D91" s="2363"/>
      <c r="E91" s="3251" t="s">
        <v>1418</v>
      </c>
      <c r="F91" s="3252"/>
      <c r="G91" s="3252"/>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1419</v>
      </c>
      <c r="B92" s="162" t="s">
        <v>1420</v>
      </c>
      <c r="C92" s="2362">
        <f>ROUND((C87+C90+C91)*D92,0)</f>
        <v>0</v>
      </c>
      <c r="D92" s="2369"/>
      <c r="E92" s="3251" t="s">
        <v>1421</v>
      </c>
      <c r="F92" s="3252"/>
      <c r="G92" s="3252"/>
      <c r="H92" s="3261"/>
      <c r="I92" s="1681"/>
      <c r="J92" s="2309" t="s">
        <v>2279</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1422</v>
      </c>
      <c r="B93" s="162" t="s">
        <v>1404</v>
      </c>
      <c r="C93" s="2362">
        <f ca="1">ROUND(D45*D93/(1+'数据-取费表'!C42),0)</f>
        <v>192</v>
      </c>
      <c r="D93" s="2363">
        <f>'数据-取费表'!B43</f>
        <v>6.000000000000001E-3</v>
      </c>
      <c r="E93" s="3251" t="s">
        <v>1405</v>
      </c>
      <c r="F93" s="3252"/>
      <c r="G93" s="3252"/>
      <c r="H93" s="3261"/>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1423</v>
      </c>
      <c r="B94" s="162" t="s">
        <v>1424</v>
      </c>
      <c r="C94" s="2368">
        <f>ROUND((C87+C90+C91)*D94,0)</f>
        <v>0</v>
      </c>
      <c r="D94" s="2363">
        <v>0.2</v>
      </c>
      <c r="E94" s="3262" t="s">
        <v>1425</v>
      </c>
      <c r="F94" s="3263"/>
      <c r="G94" s="3263"/>
      <c r="H94" s="3264"/>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1406</v>
      </c>
      <c r="C95" s="2354">
        <f ca="1">ROUND(C85-C86,0)</f>
        <v>31891</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1407</v>
      </c>
      <c r="C96" s="2364">
        <f ca="1">IF(C95&lt;=0,0,C95/C86)</f>
        <v>166.09895833333334</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1408</v>
      </c>
      <c r="C97" s="2365">
        <f ca="1">ROUND(IF(C95&lt;=0,0,IF(C96&gt;=200%,C95*60%-C86*35%,IF(C96&gt;=100%,C95*50%-C86*15%,IF(C96&gt;=50%,C95*40%-C86*5%,IF(C96&lt;50%,C95*30%,0))))),0)</f>
        <v>19067</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1426</v>
      </c>
      <c r="B99" s="646"/>
      <c r="C99" s="646"/>
      <c r="D99" s="646"/>
      <c r="E99" s="1466"/>
      <c r="F99" s="1466"/>
      <c r="G99" s="1466"/>
      <c r="H99" s="1467"/>
      <c r="I99" s="121"/>
    </row>
    <row r="100" spans="1:35" ht="18.75" customHeight="1">
      <c r="A100" s="3235" t="s">
        <v>1427</v>
      </c>
      <c r="B100" s="3236"/>
      <c r="C100" s="3236"/>
      <c r="D100" s="3253"/>
      <c r="E100" s="3236" t="s">
        <v>1428</v>
      </c>
      <c r="F100" s="3236"/>
      <c r="G100" s="3236"/>
      <c r="H100" s="3253"/>
      <c r="I100" s="121"/>
    </row>
    <row r="101" spans="1:35" ht="18.75" customHeight="1">
      <c r="A101" s="3314" t="s">
        <v>1429</v>
      </c>
      <c r="B101" s="3315"/>
      <c r="C101" s="2371" t="str">
        <f>C4</f>
        <v>成本法</v>
      </c>
      <c r="D101" s="2372" t="str">
        <f>D4</f>
        <v>假设开发法</v>
      </c>
      <c r="E101" s="3328" t="s">
        <v>1430</v>
      </c>
      <c r="F101" s="3285"/>
      <c r="G101" s="1687" t="s">
        <v>1431</v>
      </c>
      <c r="H101" s="2381">
        <f ca="1">H118</f>
        <v>33687</v>
      </c>
      <c r="I101" s="121"/>
    </row>
    <row r="102" spans="1:35" ht="18.75" customHeight="1">
      <c r="A102" s="3287" t="s">
        <v>1432</v>
      </c>
      <c r="B102" s="2370" t="s">
        <v>1431</v>
      </c>
      <c r="C102" s="2371">
        <f ca="1">IF(D32="楼面单价",ROUND(C19,0),C19)</f>
        <v>34849</v>
      </c>
      <c r="D102" s="2372">
        <f ca="1">IF(D32="楼面单价",ROUND(D19,0),D19)</f>
        <v>32524</v>
      </c>
      <c r="E102" s="3328"/>
      <c r="F102" s="3285"/>
      <c r="G102" s="1687" t="s">
        <v>1433</v>
      </c>
      <c r="H102" s="2341">
        <f ca="1">I118</f>
        <v>5082</v>
      </c>
      <c r="I102" s="121"/>
    </row>
    <row r="103" spans="1:35" ht="42.75" customHeight="1">
      <c r="A103" s="3287"/>
      <c r="B103" s="2370" t="s">
        <v>1433</v>
      </c>
      <c r="C103" s="2373">
        <f ca="1">C20</f>
        <v>5257</v>
      </c>
      <c r="D103" s="2374">
        <f ca="1">D20</f>
        <v>4906</v>
      </c>
      <c r="E103" s="3322" t="s">
        <v>1434</v>
      </c>
      <c r="F103" s="3323"/>
      <c r="G103" s="1688" t="s">
        <v>1435</v>
      </c>
      <c r="H103" s="2381">
        <f>IF(D36="正常操作",H104+H105+H106,H105+H106)</f>
        <v>0</v>
      </c>
      <c r="I103" s="121"/>
    </row>
    <row r="104" spans="1:35" ht="18.75" customHeight="1">
      <c r="A104" s="3287" t="s">
        <v>1436</v>
      </c>
      <c r="B104" s="2375" t="s">
        <v>1431</v>
      </c>
      <c r="C104" s="2376">
        <f ca="1">H118</f>
        <v>33687</v>
      </c>
      <c r="D104" s="2377"/>
      <c r="E104" s="1555" t="s">
        <v>1437</v>
      </c>
      <c r="F104" s="1548"/>
      <c r="G104" s="1688" t="s">
        <v>1435</v>
      </c>
      <c r="H104" s="2382">
        <f>IF(D36="同一抵押权人同一抵押物续贷",C36&amp;"（续贷，未扣减，详见特别提示）",C36)</f>
        <v>0</v>
      </c>
      <c r="I104" s="121"/>
    </row>
    <row r="105" spans="1:35" ht="18.75" customHeight="1" thickBot="1">
      <c r="A105" s="3288"/>
      <c r="B105" s="2378" t="s">
        <v>1433</v>
      </c>
      <c r="C105" s="2379">
        <f ca="1">I118</f>
        <v>5082</v>
      </c>
      <c r="D105" s="2380"/>
      <c r="E105" s="1555" t="s">
        <v>1438</v>
      </c>
      <c r="F105" s="1548"/>
      <c r="G105" s="1688" t="s">
        <v>1435</v>
      </c>
      <c r="H105" s="2383">
        <f>C37</f>
        <v>0</v>
      </c>
      <c r="I105" s="121"/>
    </row>
    <row r="106" spans="1:35" ht="18.75" customHeight="1">
      <c r="A106" s="646" t="s">
        <v>1439</v>
      </c>
      <c r="B106" s="646"/>
      <c r="C106" s="646"/>
      <c r="D106" s="646"/>
      <c r="E106" s="1689" t="s">
        <v>1440</v>
      </c>
      <c r="F106" s="1548"/>
      <c r="G106" s="1688" t="s">
        <v>1435</v>
      </c>
      <c r="H106" s="2383">
        <f>C38</f>
        <v>0</v>
      </c>
      <c r="I106" s="121"/>
    </row>
    <row r="107" spans="1:35" ht="18.75" customHeight="1">
      <c r="A107" s="121"/>
      <c r="B107" s="121"/>
      <c r="C107" s="121"/>
      <c r="D107" s="121"/>
      <c r="E107" s="3284" t="str">
        <f>IF(项目基本情况!E8="已注销","——","3.房地产抵押价值")</f>
        <v>3.房地产抵押价值</v>
      </c>
      <c r="F107" s="3285"/>
      <c r="G107" s="1687" t="s">
        <v>1431</v>
      </c>
      <c r="H107" s="2381">
        <f ca="1">IF(E107="——","——",H101-H103)</f>
        <v>33687</v>
      </c>
      <c r="I107" s="121"/>
    </row>
    <row r="108" spans="1:35" ht="18.75" customHeight="1">
      <c r="A108" s="121"/>
      <c r="B108" s="121"/>
      <c r="C108" s="121"/>
      <c r="D108" s="121"/>
      <c r="E108" s="3284"/>
      <c r="F108" s="3285"/>
      <c r="G108" s="1687" t="s">
        <v>1433</v>
      </c>
      <c r="H108" s="2341">
        <f ca="1">IF(H107=H101,H102,ROUND(H107*10000/'数据-汇总表'!E3,0))</f>
        <v>5082</v>
      </c>
      <c r="I108" s="121"/>
    </row>
    <row r="109" spans="1:35" ht="18.75" customHeight="1">
      <c r="A109" s="121"/>
      <c r="B109" s="121"/>
      <c r="C109" s="121"/>
      <c r="D109" s="121"/>
      <c r="E109" s="3284" t="str">
        <f>IF(项目基本情况!E8="已注销及未注销","4.抵押担保权已注销时的房地产抵押价值",IF(项目基本情况!E8="已注销","3.抵押担保权已注销时的房地产抵押价值","——"))</f>
        <v>——</v>
      </c>
      <c r="F109" s="3285"/>
      <c r="G109" s="1687" t="s">
        <v>1431</v>
      </c>
      <c r="H109" s="2384" t="str">
        <f>IF(E109="——","——",H101-H105-H106)</f>
        <v>——</v>
      </c>
      <c r="I109" s="121"/>
    </row>
    <row r="110" spans="1:35" ht="18.75" customHeight="1">
      <c r="A110" s="121"/>
      <c r="B110" s="121"/>
      <c r="C110" s="121"/>
      <c r="D110" s="121"/>
      <c r="E110" s="3284"/>
      <c r="F110" s="3285"/>
      <c r="G110" s="1687" t="s">
        <v>1433</v>
      </c>
      <c r="H110" s="2341" t="str">
        <f>IF(H109="——","——",ROUND(H109*10000/'数据-汇总表'!E3,0))</f>
        <v>——</v>
      </c>
      <c r="I110" s="121"/>
    </row>
    <row r="111" spans="1:35" ht="18.75" customHeight="1">
      <c r="A111" s="121"/>
      <c r="B111" s="121"/>
      <c r="C111" s="121"/>
      <c r="D111" s="121"/>
      <c r="E111" s="3316" t="str">
        <f>IF(项目基本情况!E9="抵押净值",IF(OR(项目基本情况!E8="已注销",项目基本情况!E8="房地产抵押价值"),"4.抵押净值","5.抵押净值"),"——")</f>
        <v>——</v>
      </c>
      <c r="F111" s="3286"/>
      <c r="G111" s="1687" t="s">
        <v>1431</v>
      </c>
      <c r="H111" s="2381" t="str">
        <f>IF(E111="——","——",N59)</f>
        <v>——</v>
      </c>
      <c r="I111" s="121"/>
    </row>
    <row r="112" spans="1:35" ht="18.75" customHeight="1" thickBot="1">
      <c r="A112" s="121"/>
      <c r="B112" s="121"/>
      <c r="C112" s="121"/>
      <c r="D112" s="121"/>
      <c r="E112" s="3317"/>
      <c r="F112" s="3318"/>
      <c r="G112" s="1690" t="s">
        <v>1433</v>
      </c>
      <c r="H112" s="2385" t="str">
        <f>IF(E111="——","——",N61)</f>
        <v>——</v>
      </c>
      <c r="I112" s="121"/>
    </row>
    <row r="113" spans="1:27" ht="18.75" customHeight="1">
      <c r="A113" s="121"/>
      <c r="B113" s="121"/>
      <c r="C113" s="121"/>
      <c r="D113" s="121"/>
      <c r="E113" s="3289" t="s">
        <v>1439</v>
      </c>
      <c r="F113" s="3289"/>
      <c r="G113" s="3289"/>
      <c r="H113" s="3289"/>
      <c r="I113" s="121"/>
    </row>
    <row r="114" spans="1:27" ht="3.75" customHeight="1">
      <c r="A114" s="646"/>
      <c r="B114" s="646"/>
      <c r="C114" s="646"/>
      <c r="D114" s="646"/>
      <c r="E114" s="1671"/>
      <c r="F114" s="1671"/>
      <c r="G114" s="1671"/>
      <c r="H114" s="1671"/>
      <c r="I114" s="646"/>
    </row>
    <row r="115" spans="1:27" ht="18.75" customHeight="1">
      <c r="A115" s="3299" t="s">
        <v>1441</v>
      </c>
      <c r="B115" s="3300"/>
      <c r="C115" s="3300"/>
      <c r="D115" s="3300"/>
      <c r="E115" s="3300"/>
      <c r="F115" s="3300"/>
      <c r="G115" s="3300"/>
      <c r="H115" s="3300"/>
      <c r="I115" s="3301"/>
    </row>
    <row r="116" spans="1:27" ht="27" customHeight="1">
      <c r="A116" s="3255" t="s">
        <v>1442</v>
      </c>
      <c r="B116" s="3290" t="s">
        <v>1443</v>
      </c>
      <c r="C116" s="3290" t="s">
        <v>1444</v>
      </c>
      <c r="D116" s="3303" t="s">
        <v>1445</v>
      </c>
      <c r="E116" s="3304"/>
      <c r="F116" s="3298" t="s">
        <v>1446</v>
      </c>
      <c r="G116" s="3298"/>
      <c r="H116" s="3255" t="s">
        <v>1447</v>
      </c>
      <c r="I116" s="3255"/>
    </row>
    <row r="117" spans="1:27" ht="18.75" customHeight="1">
      <c r="A117" s="3255"/>
      <c r="B117" s="3291"/>
      <c r="C117" s="3291"/>
      <c r="D117" s="2150" t="s">
        <v>1448</v>
      </c>
      <c r="E117" s="2150" t="s">
        <v>1449</v>
      </c>
      <c r="F117" s="2150" t="s">
        <v>1448</v>
      </c>
      <c r="G117" s="2150" t="s">
        <v>1450</v>
      </c>
      <c r="H117" s="2150" t="s">
        <v>1448</v>
      </c>
      <c r="I117" s="2150" t="s">
        <v>1450</v>
      </c>
    </row>
    <row r="118" spans="1:27" ht="24.75" customHeight="1">
      <c r="A118" s="2386" t="str">
        <f>项目基本情况!S2</f>
        <v>北京市出让国有建设用地使用权及在建建筑物房地产</v>
      </c>
      <c r="B118" s="2150">
        <f>M18</f>
        <v>66288.099999999991</v>
      </c>
      <c r="C118" s="2150">
        <f>M19</f>
        <v>29724.79</v>
      </c>
      <c r="D118" s="2150">
        <f ca="1">ROUND(IF(D32="总价",C34,E118*B118/10000),0)</f>
        <v>5356</v>
      </c>
      <c r="E118" s="2150">
        <f ca="1">ROUND(IF(C33="自定义",IF(D32="楼面单价",C34,D118*10000/B118),I118-G118),0)</f>
        <v>808</v>
      </c>
      <c r="F118" s="2150">
        <f ca="1">ROUND(IF(D32="总价",C35,G118*B118/10000),0)</f>
        <v>28331</v>
      </c>
      <c r="G118" s="2150">
        <f ca="1">ROUND(IF(D32="楼面单价",C35,F118*10000/B118),0)</f>
        <v>4274</v>
      </c>
      <c r="H118" s="2150">
        <f ca="1">ROUND(IF(D32="总价",C32,I118*B118/10000),0)</f>
        <v>33687</v>
      </c>
      <c r="I118" s="2150">
        <f ca="1">ROUND(IF(D32="楼面单价",C32,H118*10000/B118),0)</f>
        <v>5082</v>
      </c>
    </row>
    <row r="119" spans="1:27" ht="18.75" customHeight="1">
      <c r="A119" s="3255" t="s">
        <v>1451</v>
      </c>
      <c r="B119" s="3255"/>
      <c r="C119" s="3255"/>
      <c r="D119" s="3295" t="str">
        <f ca="1">NUMBERSTRING(INT(D118*10000),2)&amp;"元整"</f>
        <v>伍仟叁佰伍拾陆万元整</v>
      </c>
      <c r="E119" s="3297"/>
      <c r="F119" s="3295" t="str">
        <f ca="1">NUMBERSTRING(INT(F118*10000),2)&amp;"元整"</f>
        <v>贰亿捌仟叁佰叁拾壹万元整</v>
      </c>
      <c r="G119" s="3297"/>
      <c r="H119" s="3295" t="str">
        <f ca="1">NUMBERSTRING(INT(H118*10000),2)&amp;"元整"</f>
        <v>叁亿叁仟陆佰捌拾柒万元整</v>
      </c>
      <c r="I119" s="3297"/>
    </row>
    <row r="120" spans="1:27" ht="18.75" customHeight="1">
      <c r="A120" s="3319" t="str">
        <f>IF(项目基本情况!B9="房地产市场价值","",MID(E103,3,LEN(E103)-2))</f>
        <v>估价师知悉的法定优先受偿款</v>
      </c>
      <c r="B120" s="3320"/>
      <c r="C120" s="3321"/>
      <c r="D120" s="3319">
        <f>H103</f>
        <v>0</v>
      </c>
      <c r="E120" s="3320"/>
      <c r="F120" s="3320"/>
      <c r="G120" s="3320"/>
      <c r="H120" s="3320"/>
      <c r="I120" s="3321"/>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95" t="s">
        <v>1451</v>
      </c>
      <c r="B121" s="3296"/>
      <c r="C121" s="3297"/>
      <c r="D121" s="3295" t="str">
        <f>IF(D120=0,"零元整",NUMBERSTRING(INT(D120*10000),2)&amp;"元整")</f>
        <v>零元整</v>
      </c>
      <c r="E121" s="3296"/>
      <c r="F121" s="3296"/>
      <c r="G121" s="3296"/>
      <c r="H121" s="3296"/>
      <c r="I121" s="3297"/>
      <c r="AA121" s="684"/>
    </row>
    <row r="122" spans="1:27" ht="18.75" customHeight="1">
      <c r="A122" s="3286" t="str">
        <f>IF(项目基本情况!B9="房地产市场价值","",MID(E107,3,LEN(E107)-2))</f>
        <v>房地产抵押价值</v>
      </c>
      <c r="B122" s="3286"/>
      <c r="C122" s="3286"/>
      <c r="D122" s="3319">
        <f ca="1">H107</f>
        <v>33687</v>
      </c>
      <c r="E122" s="3320"/>
      <c r="F122" s="3320"/>
      <c r="G122" s="3320"/>
      <c r="H122" s="3320"/>
      <c r="I122" s="3321"/>
      <c r="AA122" s="684"/>
    </row>
    <row r="123" spans="1:27" ht="18.75" customHeight="1">
      <c r="A123" s="3255" t="s">
        <v>1451</v>
      </c>
      <c r="B123" s="3255"/>
      <c r="C123" s="3255"/>
      <c r="D123" s="3295" t="str">
        <f ca="1">NUMBERSTRING(INT(D122*10000),2)&amp;"元整"</f>
        <v>叁亿叁仟陆佰捌拾柒万元整</v>
      </c>
      <c r="E123" s="3296"/>
      <c r="F123" s="3296"/>
      <c r="G123" s="3296"/>
      <c r="H123" s="3296"/>
      <c r="I123" s="3297"/>
      <c r="AA123" s="684"/>
    </row>
    <row r="124" spans="1:27" ht="18.75" customHeight="1">
      <c r="A124" s="3286" t="str">
        <f>IF(项目基本情况!B9="房地产市场价值","",MID(E109,3,LEN(E109)-2))</f>
        <v/>
      </c>
      <c r="B124" s="3286"/>
      <c r="C124" s="3286"/>
      <c r="D124" s="3319" t="str">
        <f>H109</f>
        <v>——</v>
      </c>
      <c r="E124" s="3320"/>
      <c r="F124" s="3320"/>
      <c r="G124" s="3320"/>
      <c r="H124" s="3320"/>
      <c r="I124" s="3321"/>
      <c r="AA124" s="684"/>
    </row>
    <row r="125" spans="1:27" ht="18.75" customHeight="1">
      <c r="A125" s="3255" t="s">
        <v>1451</v>
      </c>
      <c r="B125" s="3255"/>
      <c r="C125" s="3255"/>
      <c r="D125" s="3295" t="e">
        <f>NUMBERSTRING(INT(D124*10000),2)&amp;"元整"</f>
        <v>#VALUE!</v>
      </c>
      <c r="E125" s="3296"/>
      <c r="F125" s="3296"/>
      <c r="G125" s="3296"/>
      <c r="H125" s="3296"/>
      <c r="I125" s="3297"/>
      <c r="AA125" s="684"/>
    </row>
    <row r="126" spans="1:27" ht="18.75" customHeight="1">
      <c r="A126" s="3286" t="str">
        <f>IF(项目基本情况!B9="房地产市场价值","",MID(E111,3,LEN(E111)-2))</f>
        <v/>
      </c>
      <c r="B126" s="3286"/>
      <c r="C126" s="3286"/>
      <c r="D126" s="3319" t="str">
        <f>H111</f>
        <v>——</v>
      </c>
      <c r="E126" s="3320"/>
      <c r="F126" s="3320"/>
      <c r="G126" s="3320"/>
      <c r="H126" s="3320"/>
      <c r="I126" s="3321"/>
      <c r="AA126" s="684"/>
    </row>
    <row r="127" spans="1:27" ht="18.75" customHeight="1">
      <c r="A127" s="3255" t="s">
        <v>1451</v>
      </c>
      <c r="B127" s="3255"/>
      <c r="C127" s="3255"/>
      <c r="D127" s="3295" t="e">
        <f>NUMBERSTRING(INT(D126*10000),2)&amp;"元整"</f>
        <v>#VALUE!</v>
      </c>
      <c r="E127" s="3296"/>
      <c r="F127" s="3296"/>
      <c r="G127" s="3296"/>
      <c r="H127" s="3296"/>
      <c r="I127" s="3297"/>
      <c r="AA127" s="684"/>
    </row>
    <row r="128" spans="1:27" ht="21.75" customHeight="1">
      <c r="A128" s="3302" t="s">
        <v>1452</v>
      </c>
      <c r="B128" s="3302"/>
      <c r="C128" s="3302"/>
      <c r="D128" s="3302"/>
      <c r="E128" s="3302"/>
      <c r="F128" s="3302"/>
      <c r="G128" s="3302"/>
      <c r="H128" s="3302"/>
      <c r="I128" s="3302"/>
      <c r="AA128" s="684"/>
    </row>
    <row r="129" spans="1:35" ht="21.75" customHeight="1">
      <c r="A129" s="1691" t="s">
        <v>1453</v>
      </c>
      <c r="B129" s="1692"/>
      <c r="C129" s="1693" t="s">
        <v>1454</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1455</v>
      </c>
      <c r="G135" s="1706"/>
      <c r="H135" s="1706"/>
      <c r="I135" s="1707" t="s">
        <v>1456</v>
      </c>
    </row>
    <row r="136" spans="1:35" ht="21.75" customHeight="1">
      <c r="A136" s="684"/>
      <c r="B136" s="1708" t="s">
        <v>1457</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1458</v>
      </c>
    </row>
    <row r="139" spans="1:35" ht="21.75" customHeight="1">
      <c r="A139" s="684"/>
      <c r="B139" s="1708" t="s">
        <v>1459</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1458</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53" t="str">
        <f>项目基本情况!B1</f>
        <v>北京市出让国有建设用地使用权及在建建筑物房地产抵押价值预评估</v>
      </c>
      <c r="C37" s="3153"/>
      <c r="D37" s="3153"/>
      <c r="E37" s="3153"/>
      <c r="F37" s="3153"/>
      <c r="G37" s="3153"/>
      <c r="H37" s="3153"/>
      <c r="I37" s="3153"/>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topLeftCell="A7" zoomScale="85" zoomScaleNormal="70" zoomScaleSheetLayoutView="85" workbookViewId="0">
      <selection activeCell="J25" sqref="J25"/>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1460</v>
      </c>
      <c r="B1" s="1374"/>
      <c r="C1" s="190"/>
      <c r="D1" s="190"/>
      <c r="E1" s="190"/>
      <c r="F1" s="190"/>
      <c r="G1" s="1062">
        <f>MATCH(B1,'数据-取费表'!A6:A16,0)+5</f>
        <v>7</v>
      </c>
    </row>
    <row r="2" spans="1:9" s="192" customFormat="1" ht="18" customHeight="1">
      <c r="A2" s="193" t="s">
        <v>1461</v>
      </c>
      <c r="B2" s="194">
        <f ca="1">IF(D2="——",C52,C52-E2)</f>
        <v>34849</v>
      </c>
      <c r="C2" s="191" t="s">
        <v>1462</v>
      </c>
      <c r="D2" s="1711" t="s">
        <v>43</v>
      </c>
      <c r="E2" s="1089" t="e">
        <f ca="1">SUMIF(INDIRECT("'"&amp;G2&amp;"'"&amp;"!A:A"),"承租人权益价值",INDIRECT("'"&amp;G2&amp;"'"&amp;"!c:c"))</f>
        <v>#REF!</v>
      </c>
      <c r="F2" s="1712" t="s">
        <v>1462</v>
      </c>
      <c r="G2" s="1713"/>
    </row>
    <row r="3" spans="1:9" s="192" customFormat="1" ht="18" customHeight="1" thickBot="1">
      <c r="A3" s="195" t="s">
        <v>1463</v>
      </c>
      <c r="B3" s="196">
        <f ca="1">ROUND(B2*10000/(IF(B1="",'数据-汇总表'!E3,INDIRECT("'数据-取费表'!k"&amp;$G$1))),0)</f>
        <v>5257</v>
      </c>
      <c r="C3" s="191" t="s">
        <v>1464</v>
      </c>
      <c r="D3" s="191"/>
      <c r="E3" s="191"/>
      <c r="F3" s="191"/>
      <c r="G3" s="191"/>
    </row>
    <row r="4" spans="1:9" s="200" customFormat="1" ht="15.75">
      <c r="A4" s="197" t="s">
        <v>1465</v>
      </c>
      <c r="B4" s="198"/>
      <c r="C4" s="198"/>
      <c r="D4" s="198"/>
      <c r="E4" s="198"/>
      <c r="F4" s="198"/>
      <c r="G4" s="199"/>
    </row>
    <row r="5" spans="1:9" s="206" customFormat="1" ht="13.5" customHeight="1">
      <c r="A5" s="247" t="s">
        <v>1466</v>
      </c>
      <c r="B5" s="202" t="s">
        <v>1467</v>
      </c>
      <c r="C5" s="203">
        <f>C6+C7+C8</f>
        <v>4387</v>
      </c>
      <c r="D5" s="203" t="s">
        <v>1468</v>
      </c>
      <c r="E5" s="204" t="s">
        <v>1469</v>
      </c>
      <c r="F5" s="204" t="s">
        <v>1470</v>
      </c>
      <c r="G5" s="205"/>
    </row>
    <row r="6" spans="1:9" s="206" customFormat="1" ht="13.5" customHeight="1">
      <c r="A6" s="732" t="s">
        <v>1471</v>
      </c>
      <c r="B6" s="207" t="s">
        <v>1472</v>
      </c>
      <c r="C6" s="208">
        <f>'土地比较法-工业'!B2</f>
        <v>4257</v>
      </c>
      <c r="D6" s="209"/>
      <c r="E6" s="210"/>
      <c r="F6" s="210"/>
      <c r="G6" s="211"/>
    </row>
    <row r="7" spans="1:9" s="206" customFormat="1" ht="13.5" customHeight="1">
      <c r="A7" s="732" t="s">
        <v>1473</v>
      </c>
      <c r="B7" s="207" t="s">
        <v>1474</v>
      </c>
      <c r="C7" s="212">
        <f>ROUND(C6*F7,0)</f>
        <v>130</v>
      </c>
      <c r="D7" s="212"/>
      <c r="E7" s="210"/>
      <c r="F7" s="213">
        <f>IF(项目基本情况!B8="出让",0,'数据-取费表'!B48+'数据-取费表'!B49)</f>
        <v>3.0499999999999999E-2</v>
      </c>
      <c r="G7" s="211"/>
    </row>
    <row r="8" spans="1:9" s="215" customFormat="1">
      <c r="A8" s="732" t="s">
        <v>1475</v>
      </c>
      <c r="B8" s="207" t="s">
        <v>1476</v>
      </c>
      <c r="C8" s="212">
        <f>IF(G8="已包含在土地购买价格中","0",IF(B1="",'数据-取费表'!B29,IF(G9="全部缴纳",C9+C10,H9)))</f>
        <v>0</v>
      </c>
      <c r="D8" s="214"/>
      <c r="E8" s="212"/>
      <c r="F8" s="213"/>
      <c r="G8" s="1714" t="s">
        <v>3401</v>
      </c>
    </row>
    <row r="9" spans="1:9" s="206" customFormat="1" ht="13.5" customHeight="1">
      <c r="A9" s="733" t="s">
        <v>355</v>
      </c>
      <c r="B9" s="216" t="s">
        <v>1477</v>
      </c>
      <c r="C9" s="217">
        <f ca="1">ROUND(D9*E9/10000,0)</f>
        <v>0</v>
      </c>
      <c r="D9" s="795">
        <f ca="1">IF(B1="",'数据-汇总表'!E5,IF(INDIRECT("'数据-取费表'!c"&amp;$G$1)="住宅",INDIRECT("'数据-取费表'!k"&amp;$G$1),0))</f>
        <v>0</v>
      </c>
      <c r="E9" s="217">
        <f>'数据-取费表'!B27</f>
        <v>160</v>
      </c>
      <c r="F9" s="213"/>
      <c r="G9" s="1715"/>
      <c r="H9" s="1070"/>
      <c r="I9" s="1716" t="s">
        <v>1478</v>
      </c>
    </row>
    <row r="10" spans="1:9" s="206" customFormat="1" ht="13.5" customHeight="1">
      <c r="A10" s="733" t="s">
        <v>356</v>
      </c>
      <c r="B10" s="216" t="s">
        <v>1479</v>
      </c>
      <c r="C10" s="217">
        <f ca="1">ROUND(D10*E10/10000,0)</f>
        <v>1326</v>
      </c>
      <c r="D10" s="795">
        <f ca="1">IF(B1="",'数据-汇总表'!E6,IF(INDIRECT("'数据-取费表'!c"&amp;$G$1)="住宅",INDIRECT("'数据-取费表'!s"&amp;$G$1),INDIRECT("'数据-取费表'!k"&amp;$G$1)+INDIRECT("'数据-取费表'!s"&amp;$G$1)))</f>
        <v>66288.099999999991</v>
      </c>
      <c r="E10" s="217">
        <f>'数据-取费表'!B28</f>
        <v>200</v>
      </c>
      <c r="F10" s="213"/>
      <c r="G10" s="218"/>
    </row>
    <row r="11" spans="1:9" s="206" customFormat="1" ht="13.5" hidden="1" customHeight="1">
      <c r="A11" s="219" t="s">
        <v>4</v>
      </c>
      <c r="B11" s="207" t="s">
        <v>1480</v>
      </c>
      <c r="C11" s="203"/>
      <c r="D11" s="210"/>
      <c r="E11" s="210"/>
      <c r="F11" s="210"/>
      <c r="G11" s="211"/>
    </row>
    <row r="12" spans="1:9" s="206" customFormat="1" ht="13.5" hidden="1" customHeight="1">
      <c r="A12" s="219" t="s">
        <v>5</v>
      </c>
      <c r="B12" s="207" t="s">
        <v>1481</v>
      </c>
      <c r="C12" s="203">
        <v>0</v>
      </c>
      <c r="D12" s="210"/>
      <c r="E12" s="220"/>
      <c r="F12" s="213">
        <v>3.0499999999999999E-2</v>
      </c>
      <c r="G12" s="211"/>
    </row>
    <row r="13" spans="1:9" s="206" customFormat="1" ht="13.5" hidden="1" customHeight="1">
      <c r="A13" s="219" t="s">
        <v>6</v>
      </c>
      <c r="B13" s="207" t="s">
        <v>1482</v>
      </c>
      <c r="C13" s="203"/>
      <c r="D13" s="210"/>
      <c r="E13" s="210"/>
      <c r="F13" s="210"/>
      <c r="G13" s="211"/>
    </row>
    <row r="14" spans="1:9" s="206" customFormat="1" ht="13.5" hidden="1" customHeight="1">
      <c r="A14" s="219" t="s">
        <v>7</v>
      </c>
      <c r="B14" s="207" t="s">
        <v>1483</v>
      </c>
      <c r="C14" s="203"/>
      <c r="D14" s="210"/>
      <c r="E14" s="210"/>
      <c r="F14" s="210"/>
      <c r="G14" s="211" t="s">
        <v>1484</v>
      </c>
    </row>
    <row r="15" spans="1:9" s="206" customFormat="1" ht="13.5" hidden="1" customHeight="1">
      <c r="A15" s="219" t="s">
        <v>8</v>
      </c>
      <c r="B15" s="207" t="s">
        <v>1485</v>
      </c>
      <c r="C15" s="212"/>
      <c r="D15" s="210"/>
      <c r="E15" s="210"/>
      <c r="F15" s="210"/>
      <c r="G15" s="211" t="s">
        <v>1486</v>
      </c>
    </row>
    <row r="16" spans="1:9" s="206" customFormat="1" ht="13.5" hidden="1" customHeight="1">
      <c r="A16" s="219" t="s">
        <v>9</v>
      </c>
      <c r="B16" s="207" t="s">
        <v>1483</v>
      </c>
      <c r="C16" s="212"/>
      <c r="D16" s="210"/>
      <c r="E16" s="210"/>
      <c r="F16" s="210"/>
      <c r="G16" s="211"/>
    </row>
    <row r="17" spans="1:7" s="206" customFormat="1" ht="13.5" hidden="1" customHeight="1">
      <c r="A17" s="219" t="s">
        <v>10</v>
      </c>
      <c r="B17" s="207" t="s">
        <v>1487</v>
      </c>
      <c r="C17" s="221"/>
      <c r="D17" s="221"/>
      <c r="E17" s="221"/>
      <c r="F17" s="221"/>
      <c r="G17" s="211" t="s">
        <v>1486</v>
      </c>
    </row>
    <row r="18" spans="1:7" s="206" customFormat="1" ht="13.5" hidden="1" customHeight="1">
      <c r="A18" s="219" t="s">
        <v>11</v>
      </c>
      <c r="B18" s="207" t="s">
        <v>1488</v>
      </c>
      <c r="C18" s="212">
        <v>0</v>
      </c>
      <c r="D18" s="210"/>
      <c r="E18" s="210"/>
      <c r="F18" s="213">
        <v>3.0499999999999999E-2</v>
      </c>
      <c r="G18" s="211" t="s">
        <v>1489</v>
      </c>
    </row>
    <row r="19" spans="1:7" s="215" customFormat="1" ht="13.5" customHeight="1">
      <c r="A19" s="247" t="s">
        <v>1490</v>
      </c>
      <c r="B19" s="202" t="s">
        <v>1491</v>
      </c>
      <c r="C19" s="203" t="str">
        <f>IF(G19="已包含在土地取得成本中","0",ROUND(D19*E19/10000,0))</f>
        <v>0</v>
      </c>
      <c r="D19" s="204">
        <f ca="1">D9+D10</f>
        <v>66288.099999999991</v>
      </c>
      <c r="E19" s="203">
        <f>'数据-取费表'!B31</f>
        <v>200</v>
      </c>
      <c r="F19" s="223"/>
      <c r="G19" s="1714" t="s">
        <v>3402</v>
      </c>
    </row>
    <row r="20" spans="1:7" s="206" customFormat="1" ht="13.5" customHeight="1">
      <c r="A20" s="247" t="s">
        <v>1492</v>
      </c>
      <c r="B20" s="202" t="s">
        <v>1493</v>
      </c>
      <c r="C20" s="224">
        <f>ROUND((C5+C19)*F20,0)</f>
        <v>88</v>
      </c>
      <c r="D20" s="224"/>
      <c r="E20" s="224"/>
      <c r="F20" s="225">
        <f>'数据-取费表'!B37</f>
        <v>0.02</v>
      </c>
      <c r="G20" s="226" t="s">
        <v>1494</v>
      </c>
    </row>
    <row r="21" spans="1:7" s="206" customFormat="1" ht="13.5" customHeight="1">
      <c r="A21" s="247" t="s">
        <v>1495</v>
      </c>
      <c r="B21" s="202" t="s">
        <v>1496</v>
      </c>
      <c r="C21" s="227">
        <f>F21</f>
        <v>0.02</v>
      </c>
      <c r="D21" s="228" t="s">
        <v>1497</v>
      </c>
      <c r="E21" s="224"/>
      <c r="F21" s="225">
        <f>'数据-取费表'!B38</f>
        <v>0.02</v>
      </c>
      <c r="G21" s="226" t="s">
        <v>1498</v>
      </c>
    </row>
    <row r="22" spans="1:7" s="206" customFormat="1" ht="13.5" customHeight="1">
      <c r="A22" s="247" t="s">
        <v>1499</v>
      </c>
      <c r="B22" s="202" t="s">
        <v>1500</v>
      </c>
      <c r="C22" s="1041">
        <f ca="1">ROUND(SUM(C23:C25),0)</f>
        <v>250</v>
      </c>
      <c r="D22" s="227">
        <f ca="1">C26</f>
        <v>5.9999999999999995E-4</v>
      </c>
      <c r="E22" s="228" t="s">
        <v>1497</v>
      </c>
      <c r="F22" s="229">
        <f ca="1">'数据-取费表'!B40</f>
        <v>3.1E-2</v>
      </c>
      <c r="G22" s="226" t="str">
        <f>IF('数据-取费表'!B22&lt;=1,"单利计息","复利计息")</f>
        <v>复利计息</v>
      </c>
    </row>
    <row r="23" spans="1:7" s="206" customFormat="1" ht="13.5" customHeight="1">
      <c r="A23" s="734" t="s">
        <v>1501</v>
      </c>
      <c r="B23" s="207" t="s">
        <v>1502</v>
      </c>
      <c r="C23" s="1042">
        <f ca="1">ROUND(IF('数据-取费表'!B22&lt;=1,C5*F22*'数据-取费表'!B23,C5*(POWER((1+F22),'数据-取费表'!B23)-1)),0)</f>
        <v>248</v>
      </c>
      <c r="D23" s="230"/>
      <c r="E23" s="230"/>
      <c r="F23" s="231"/>
      <c r="G23" s="232" t="s">
        <v>1503</v>
      </c>
    </row>
    <row r="24" spans="1:7" s="206" customFormat="1" ht="13.5" customHeight="1">
      <c r="A24" s="734" t="s">
        <v>1504</v>
      </c>
      <c r="B24" s="207" t="s">
        <v>1505</v>
      </c>
      <c r="C24" s="1042">
        <f ca="1">ROUND(IF('数据-取费表'!B22&lt;=1,C19*F22*('数据-取费表'!B19/2+'数据-取费表'!B21),C19*(POWER((1+F22),('数据-取费表'!B19/2+'数据-取费表'!B21))-1)),0)</f>
        <v>0</v>
      </c>
      <c r="D24" s="230"/>
      <c r="E24" s="230"/>
      <c r="F24" s="231"/>
      <c r="G24" s="232" t="s">
        <v>1506</v>
      </c>
    </row>
    <row r="25" spans="1:7" s="206" customFormat="1" ht="24">
      <c r="A25" s="734" t="s">
        <v>1507</v>
      </c>
      <c r="B25" s="207" t="s">
        <v>1508</v>
      </c>
      <c r="C25" s="1042">
        <f ca="1">ROUND(IF('数据-取费表'!B22&lt;=1,C20*F22*'数据-取费表'!B23/2,C20*(POWER((1+F22),'数据-取费表'!B23/2)-1)),0)</f>
        <v>2</v>
      </c>
      <c r="D25" s="230"/>
      <c r="E25" s="233"/>
      <c r="F25" s="231"/>
      <c r="G25" s="234" t="s">
        <v>1509</v>
      </c>
    </row>
    <row r="26" spans="1:7" s="206" customFormat="1">
      <c r="A26" s="734" t="s">
        <v>350</v>
      </c>
      <c r="B26" s="207" t="s">
        <v>1510</v>
      </c>
      <c r="C26" s="230">
        <f ca="1">ROUND(IF('数据-取费表'!B22&lt;=1,F21*F22*'数据-取费表'!B23/2,F21*(POWER((1+F22),'数据-取费表'!B23/2)-1)),4)</f>
        <v>5.9999999999999995E-4</v>
      </c>
      <c r="D26" s="230"/>
      <c r="E26" s="233"/>
      <c r="F26" s="231"/>
      <c r="G26" s="235"/>
    </row>
    <row r="27" spans="1:7" s="206" customFormat="1" ht="24.75">
      <c r="A27" s="247" t="s">
        <v>1511</v>
      </c>
      <c r="B27" s="236" t="s">
        <v>1512</v>
      </c>
      <c r="C27" s="237">
        <f ca="1">C28</f>
        <v>403</v>
      </c>
      <c r="D27" s="227">
        <f ca="1">C29</f>
        <v>1.8E-3</v>
      </c>
      <c r="E27" s="228" t="s">
        <v>1513</v>
      </c>
      <c r="F27" s="238">
        <f ca="1">IF(B1="",'数据-取费表'!Q16,INDIRECT("'数据-取费表'!q"&amp;$G$1))</f>
        <v>0.1</v>
      </c>
      <c r="G27" s="239" t="s">
        <v>1514</v>
      </c>
    </row>
    <row r="28" spans="1:7" s="206" customFormat="1" ht="13.5" customHeight="1">
      <c r="A28" s="734" t="s">
        <v>346</v>
      </c>
      <c r="B28" s="240" t="s">
        <v>1515</v>
      </c>
      <c r="C28" s="241">
        <f ca="1">ROUND((C5+C19+C20)*F27*'数据-取费表'!B21/'数据-取费表'!B20,0)</f>
        <v>403</v>
      </c>
      <c r="D28" s="227"/>
      <c r="E28" s="228"/>
      <c r="F28" s="238"/>
      <c r="G28" s="239"/>
    </row>
    <row r="29" spans="1:7" s="206" customFormat="1" ht="13.5" customHeight="1">
      <c r="A29" s="734" t="s">
        <v>347</v>
      </c>
      <c r="B29" s="240" t="s">
        <v>1516</v>
      </c>
      <c r="C29" s="230">
        <f ca="1">ROUND(C21*F27*'数据-取费表'!B21/'数据-取费表'!B20,4)</f>
        <v>1.8E-3</v>
      </c>
      <c r="D29" s="227"/>
      <c r="E29" s="228"/>
      <c r="F29" s="238"/>
      <c r="G29" s="239"/>
    </row>
    <row r="30" spans="1:7" s="206" customFormat="1" ht="13.5" customHeight="1">
      <c r="A30" s="247" t="s">
        <v>1517</v>
      </c>
      <c r="B30" s="202" t="s">
        <v>1518</v>
      </c>
      <c r="C30" s="227">
        <f>ROUND(F30/(1+'数据-取费表'!C42),4)</f>
        <v>5.33E-2</v>
      </c>
      <c r="D30" s="228" t="s">
        <v>1513</v>
      </c>
      <c r="E30" s="233"/>
      <c r="F30" s="229">
        <f>'数据-取费表'!B41</f>
        <v>5.6000000000000001E-2</v>
      </c>
      <c r="G30" s="226" t="s">
        <v>1519</v>
      </c>
    </row>
    <row r="31" spans="1:7" ht="16.5" customHeight="1">
      <c r="A31" s="201">
        <v>1</v>
      </c>
      <c r="B31" s="202" t="s">
        <v>1520</v>
      </c>
      <c r="C31" s="203">
        <f ca="1">ROUND((C5+C19+C20+C22+C27)/(1-C21-D22-D27-C30),0)</f>
        <v>5548</v>
      </c>
      <c r="D31" s="222"/>
      <c r="E31" s="203"/>
      <c r="F31" s="242"/>
      <c r="G31" s="226" t="s">
        <v>1521</v>
      </c>
    </row>
    <row r="32" spans="1:7" s="200" customFormat="1" ht="15.75">
      <c r="A32" s="244" t="s">
        <v>1522</v>
      </c>
      <c r="B32" s="245"/>
      <c r="C32" s="245"/>
      <c r="D32" s="245"/>
      <c r="E32" s="245"/>
      <c r="F32" s="245"/>
      <c r="G32" s="246"/>
    </row>
    <row r="33" spans="1:7" s="206" customFormat="1" ht="13.5" customHeight="1">
      <c r="A33" s="247" t="s">
        <v>337</v>
      </c>
      <c r="B33" s="202" t="s">
        <v>1523</v>
      </c>
      <c r="C33" s="248">
        <f ca="1">SUM(C34:C38)</f>
        <v>23536</v>
      </c>
      <c r="D33" s="224"/>
      <c r="E33" s="204"/>
      <c r="F33" s="233"/>
      <c r="G33" s="226"/>
    </row>
    <row r="34" spans="1:7" s="250" customFormat="1" ht="13.5" customHeight="1">
      <c r="A34" s="734" t="s">
        <v>346</v>
      </c>
      <c r="B34" s="207" t="s">
        <v>1524</v>
      </c>
      <c r="C34" s="212">
        <f ca="1">IF(B1="",IF(F34=100%,'数据-取费表'!M16,'数据-取费表'!O16),IF(F34=100%,INDIRECT("'数据-取费表'!m"&amp;$G$1)+INDIRECT("'数据-取费表'!t"&amp;$G$1),INDIRECT("'数据-取费表'!o"&amp;$G$1)+INDIRECT("'数据-取费表'!aq"&amp;$G$1)))</f>
        <v>20881</v>
      </c>
      <c r="D34" s="209"/>
      <c r="E34" s="212"/>
      <c r="F34" s="249">
        <f ca="1">IF('数据-取费表'!B24=0,1,IF(B1="",'数据-取费表'!N16,INDIRECT("'数据-取费表'!n"&amp;$G$1)))</f>
        <v>0.9</v>
      </c>
      <c r="G34" s="211" t="s">
        <v>1525</v>
      </c>
    </row>
    <row r="35" spans="1:7" ht="13.5" customHeight="1">
      <c r="A35" s="734" t="s">
        <v>351</v>
      </c>
      <c r="B35" s="207" t="s">
        <v>1526</v>
      </c>
      <c r="C35" s="212">
        <f ca="1">ROUND(C34*F35,0)</f>
        <v>1044</v>
      </c>
      <c r="D35" s="212"/>
      <c r="E35" s="212"/>
      <c r="F35" s="251">
        <f>'数据-取费表'!B33</f>
        <v>0.05</v>
      </c>
      <c r="G35" s="211" t="s">
        <v>1527</v>
      </c>
    </row>
    <row r="36" spans="1:7" ht="24">
      <c r="A36" s="734" t="s">
        <v>352</v>
      </c>
      <c r="B36" s="207" t="s">
        <v>1528</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1529</v>
      </c>
    </row>
    <row r="37" spans="1:7" s="250" customFormat="1" ht="13.5" customHeight="1">
      <c r="A37" s="734" t="s">
        <v>353</v>
      </c>
      <c r="B37" s="207" t="s">
        <v>1530</v>
      </c>
      <c r="C37" s="241">
        <f ca="1">ROUND(E37*D37*F34/10000,0)</f>
        <v>1193</v>
      </c>
      <c r="D37" s="209">
        <f ca="1">D19</f>
        <v>66288.099999999991</v>
      </c>
      <c r="E37" s="241">
        <f>'数据-取费表'!B35</f>
        <v>200</v>
      </c>
      <c r="F37" s="251"/>
      <c r="G37" s="253" t="s">
        <v>1531</v>
      </c>
    </row>
    <row r="38" spans="1:7" ht="13.5" customHeight="1">
      <c r="A38" s="734" t="s">
        <v>354</v>
      </c>
      <c r="B38" s="207" t="s">
        <v>1532</v>
      </c>
      <c r="C38" s="212">
        <f ca="1">ROUND(C34*F38,0)</f>
        <v>418</v>
      </c>
      <c r="D38" s="212"/>
      <c r="E38" s="212"/>
      <c r="F38" s="251">
        <f>'数据-取费表'!B36</f>
        <v>0.02</v>
      </c>
      <c r="G38" s="211" t="s">
        <v>1527</v>
      </c>
    </row>
    <row r="39" spans="1:7" s="206" customFormat="1" ht="13.5" customHeight="1">
      <c r="A39" s="247" t="s">
        <v>1533</v>
      </c>
      <c r="B39" s="202" t="s">
        <v>1534</v>
      </c>
      <c r="C39" s="224">
        <f ca="1">ROUND(C33*F20,0)</f>
        <v>471</v>
      </c>
      <c r="D39" s="224"/>
      <c r="E39" s="224"/>
      <c r="F39" s="225">
        <f>F20</f>
        <v>0.02</v>
      </c>
      <c r="G39" s="226" t="s">
        <v>1535</v>
      </c>
    </row>
    <row r="40" spans="1:7" s="206" customFormat="1" ht="13.5" customHeight="1">
      <c r="A40" s="247" t="s">
        <v>1536</v>
      </c>
      <c r="B40" s="202" t="s">
        <v>1537</v>
      </c>
      <c r="C40" s="227">
        <f>F21</f>
        <v>0.02</v>
      </c>
      <c r="D40" s="228" t="s">
        <v>1538</v>
      </c>
      <c r="E40" s="224"/>
      <c r="F40" s="225">
        <f>F21</f>
        <v>0.02</v>
      </c>
      <c r="G40" s="226" t="s">
        <v>1539</v>
      </c>
    </row>
    <row r="41" spans="1:7" s="206" customFormat="1" ht="13.5" customHeight="1">
      <c r="A41" s="247" t="s">
        <v>1540</v>
      </c>
      <c r="B41" s="202" t="s">
        <v>1541</v>
      </c>
      <c r="C41" s="224">
        <f ca="1">ROUND(SUM(C42:C43),0)</f>
        <v>669</v>
      </c>
      <c r="D41" s="227">
        <f ca="1">C44</f>
        <v>5.9999999999999995E-4</v>
      </c>
      <c r="E41" s="228" t="s">
        <v>1538</v>
      </c>
      <c r="F41" s="229">
        <f ca="1">F22</f>
        <v>3.1E-2</v>
      </c>
      <c r="G41" s="226" t="str">
        <f>IF('数据-取费表'!B22&lt;=1,"单利计息","复利计息")</f>
        <v>复利计息</v>
      </c>
    </row>
    <row r="42" spans="1:7" ht="13.5" customHeight="1">
      <c r="A42" s="734" t="s">
        <v>346</v>
      </c>
      <c r="B42" s="207" t="s">
        <v>1542</v>
      </c>
      <c r="C42" s="230">
        <f ca="1">ROUND(IF('数据-取费表'!B22&lt;=1,C33*F22*'数据-取费表'!B21/2,C33*(POWER((1+F22),'数据-取费表'!B21/2)-1)),0)</f>
        <v>656</v>
      </c>
      <c r="D42" s="230"/>
      <c r="E42" s="230"/>
      <c r="F42" s="231"/>
      <c r="G42" s="3335" t="s">
        <v>1543</v>
      </c>
    </row>
    <row r="43" spans="1:7" ht="13.5" customHeight="1">
      <c r="A43" s="734" t="s">
        <v>347</v>
      </c>
      <c r="B43" s="207" t="s">
        <v>1544</v>
      </c>
      <c r="C43" s="230">
        <f ca="1">ROUND(IF('数据-取费表'!B22&lt;=1,C39*F22*'数据-取费表'!B21/2,C39*(POWER((1+F22),'数据-取费表'!B21/2)-1)),0)</f>
        <v>13</v>
      </c>
      <c r="D43" s="230"/>
      <c r="E43" s="230"/>
      <c r="F43" s="231"/>
      <c r="G43" s="3336"/>
    </row>
    <row r="44" spans="1:7" ht="13.5" customHeight="1">
      <c r="A44" s="734" t="s">
        <v>348</v>
      </c>
      <c r="B44" s="207" t="s">
        <v>1545</v>
      </c>
      <c r="C44" s="230">
        <f ca="1">ROUND(IF('数据-取费表'!B22&lt;=1,C40*F22*'数据-取费表'!B21/2,C40*(POWER((1+F22),'数据-取费表'!B21/2)-1)),4)</f>
        <v>5.9999999999999995E-4</v>
      </c>
      <c r="D44" s="230"/>
      <c r="E44" s="230"/>
      <c r="F44" s="231"/>
      <c r="G44" s="3337"/>
    </row>
    <row r="45" spans="1:7" s="206" customFormat="1" ht="13.5" customHeight="1">
      <c r="A45" s="247" t="s">
        <v>1546</v>
      </c>
      <c r="B45" s="236" t="s">
        <v>1512</v>
      </c>
      <c r="C45" s="237">
        <f ca="1">C46</f>
        <v>2401</v>
      </c>
      <c r="D45" s="227">
        <f ca="1">C47</f>
        <v>2E-3</v>
      </c>
      <c r="E45" s="228" t="s">
        <v>1538</v>
      </c>
      <c r="F45" s="238">
        <f ca="1">F27</f>
        <v>0.1</v>
      </c>
      <c r="G45" s="239" t="s">
        <v>1547</v>
      </c>
    </row>
    <row r="46" spans="1:7" s="206" customFormat="1" ht="13.5" customHeight="1">
      <c r="A46" s="734" t="s">
        <v>346</v>
      </c>
      <c r="B46" s="240" t="s">
        <v>1548</v>
      </c>
      <c r="C46" s="241">
        <f ca="1">ROUND((C33+C39)*F27,0)</f>
        <v>2401</v>
      </c>
      <c r="D46" s="255"/>
      <c r="E46" s="228"/>
      <c r="F46" s="238"/>
      <c r="G46" s="239"/>
    </row>
    <row r="47" spans="1:7" s="206" customFormat="1" ht="13.5" customHeight="1">
      <c r="A47" s="734" t="s">
        <v>347</v>
      </c>
      <c r="B47" s="240" t="s">
        <v>1549</v>
      </c>
      <c r="C47" s="230">
        <f ca="1">ROUND(C40*F27,4)</f>
        <v>2E-3</v>
      </c>
      <c r="D47" s="255"/>
      <c r="E47" s="228"/>
      <c r="F47" s="238"/>
      <c r="G47" s="239"/>
    </row>
    <row r="48" spans="1:7" s="206" customFormat="1" ht="13.5" customHeight="1">
      <c r="A48" s="247" t="s">
        <v>1511</v>
      </c>
      <c r="B48" s="202" t="s">
        <v>1550</v>
      </c>
      <c r="C48" s="227">
        <f>ROUND(F30/(1+'数据-取费表'!C42),4)</f>
        <v>5.33E-2</v>
      </c>
      <c r="D48" s="228" t="s">
        <v>1538</v>
      </c>
      <c r="E48" s="224"/>
      <c r="F48" s="229">
        <f>F30</f>
        <v>5.6000000000000001E-2</v>
      </c>
      <c r="G48" s="226" t="s">
        <v>1551</v>
      </c>
    </row>
    <row r="49" spans="1:7" ht="16.5" customHeight="1">
      <c r="A49" s="247" t="s">
        <v>1517</v>
      </c>
      <c r="B49" s="202" t="s">
        <v>1552</v>
      </c>
      <c r="C49" s="224">
        <f ca="1">ROUND((C33+C39+C41+C45)/(1-C40-D41-D45-C48),0)</f>
        <v>29301</v>
      </c>
      <c r="D49" s="224"/>
      <c r="E49" s="224"/>
      <c r="F49" s="256"/>
      <c r="G49" s="226" t="s">
        <v>1553</v>
      </c>
    </row>
    <row r="50" spans="1:7" s="250" customFormat="1" ht="24">
      <c r="A50" s="247" t="s">
        <v>1554</v>
      </c>
      <c r="B50" s="202" t="s">
        <v>1555</v>
      </c>
      <c r="C50" s="224"/>
      <c r="D50" s="224"/>
      <c r="E50" s="224"/>
      <c r="F50" s="256">
        <f>IF('数据-取费表'!B24=0,'数据-取费表'!N16,1)</f>
        <v>1</v>
      </c>
      <c r="G50" s="239" t="s">
        <v>1556</v>
      </c>
    </row>
    <row r="51" spans="1:7" ht="16.5" customHeight="1">
      <c r="A51" s="247" t="s">
        <v>1557</v>
      </c>
      <c r="B51" s="202" t="s">
        <v>1558</v>
      </c>
      <c r="C51" s="224">
        <f ca="1">ROUND(C49*F50,0)</f>
        <v>29301</v>
      </c>
      <c r="D51" s="224"/>
      <c r="E51" s="224"/>
      <c r="F51" s="256"/>
      <c r="G51" s="226" t="s">
        <v>1559</v>
      </c>
    </row>
    <row r="52" spans="1:7" s="200" customFormat="1" ht="16.5" thickBot="1">
      <c r="A52" s="257" t="s">
        <v>1560</v>
      </c>
      <c r="B52" s="258"/>
      <c r="C52" s="259">
        <f ca="1">C31+C51</f>
        <v>34849</v>
      </c>
      <c r="D52" s="258"/>
      <c r="E52" s="258"/>
      <c r="F52" s="258"/>
      <c r="G52" s="260"/>
    </row>
    <row r="55" spans="1:7" ht="15">
      <c r="B55" s="262" t="s">
        <v>1561</v>
      </c>
      <c r="C55" s="263"/>
    </row>
    <row r="56" spans="1:7">
      <c r="B56" s="265" t="s">
        <v>802</v>
      </c>
      <c r="C56" s="267">
        <f ca="1">1-C57</f>
        <v>0.15900000000000003</v>
      </c>
    </row>
    <row r="57" spans="1:7">
      <c r="B57" s="265" t="s">
        <v>803</v>
      </c>
      <c r="C57" s="266">
        <f ca="1">ROUND(C51/C52,3)</f>
        <v>0.84099999999999997</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1460</v>
      </c>
      <c r="B1" s="1374"/>
      <c r="C1" s="1717" t="s">
        <v>1562</v>
      </c>
      <c r="D1" s="190"/>
      <c r="E1" s="190"/>
      <c r="F1" s="190"/>
      <c r="G1" s="1062">
        <f>MATCH(B1,'数据-取费表'!A6:A16,0)+5</f>
        <v>7</v>
      </c>
      <c r="H1" s="998" t="str">
        <f>IF(ISERROR(FIND("住宅",B1)),"非住宅","住宅")</f>
        <v>非住宅</v>
      </c>
    </row>
    <row r="2" spans="1:8" s="192" customFormat="1" ht="18" customHeight="1">
      <c r="A2" s="193" t="s">
        <v>1461</v>
      </c>
      <c r="B2" s="3123">
        <f ca="1">ROUND(IF(D2="——",C52/10000,C52/10000-E2),4)</f>
        <v>36047.522700000001</v>
      </c>
      <c r="C2" s="191" t="s">
        <v>1462</v>
      </c>
      <c r="D2" s="1711" t="s">
        <v>43</v>
      </c>
      <c r="E2" s="1089" t="e">
        <f ca="1">SUMIF(INDIRECT("'"&amp;G2&amp;"'"&amp;"!A:A"),"承租人权益价值",INDIRECT("'"&amp;G2&amp;"'"&amp;"!c:c"))</f>
        <v>#REF!</v>
      </c>
      <c r="F2" s="1712" t="s">
        <v>1462</v>
      </c>
      <c r="G2" s="1713"/>
    </row>
    <row r="3" spans="1:8" s="192" customFormat="1" ht="18" customHeight="1" thickBot="1">
      <c r="A3" s="195" t="s">
        <v>1463</v>
      </c>
      <c r="B3" s="196">
        <f ca="1">ROUND(B2*10000/(IF(B1="",'数据-汇总表'!E3,INDIRECT("'数据-取费表'!k"&amp;$G$1))),0)</f>
        <v>5438</v>
      </c>
      <c r="C3" s="191" t="s">
        <v>1464</v>
      </c>
      <c r="D3" s="191"/>
      <c r="E3" s="191"/>
      <c r="F3" s="191"/>
      <c r="G3" s="191"/>
    </row>
    <row r="4" spans="1:8" s="200" customFormat="1" ht="15.75">
      <c r="A4" s="197" t="s">
        <v>1465</v>
      </c>
      <c r="B4" s="198"/>
      <c r="C4" s="198"/>
      <c r="D4" s="198"/>
      <c r="E4" s="198"/>
      <c r="F4" s="198"/>
      <c r="G4" s="199"/>
    </row>
    <row r="5" spans="1:8" s="206" customFormat="1" ht="13.5" customHeight="1">
      <c r="A5" s="247" t="s">
        <v>1466</v>
      </c>
      <c r="B5" s="202" t="s">
        <v>1467</v>
      </c>
      <c r="C5" s="203">
        <f ca="1">C6+C7+C8</f>
        <v>13257620</v>
      </c>
      <c r="D5" s="203" t="s">
        <v>1468</v>
      </c>
      <c r="E5" s="204" t="s">
        <v>1469</v>
      </c>
      <c r="F5" s="204" t="s">
        <v>1470</v>
      </c>
      <c r="G5" s="205"/>
    </row>
    <row r="6" spans="1:8" s="206" customFormat="1" ht="13.5" customHeight="1">
      <c r="A6" s="732" t="s">
        <v>1471</v>
      </c>
      <c r="B6" s="207" t="s">
        <v>1472</v>
      </c>
      <c r="C6" s="208"/>
      <c r="D6" s="209"/>
      <c r="E6" s="210"/>
      <c r="F6" s="210"/>
      <c r="G6" s="211"/>
    </row>
    <row r="7" spans="1:8" s="206" customFormat="1" ht="13.5" customHeight="1">
      <c r="A7" s="732" t="s">
        <v>1473</v>
      </c>
      <c r="B7" s="207" t="s">
        <v>1474</v>
      </c>
      <c r="C7" s="212">
        <f>ROUND(C6*F7,0)</f>
        <v>0</v>
      </c>
      <c r="D7" s="212"/>
      <c r="E7" s="210"/>
      <c r="F7" s="213">
        <f>IF(项目基本情况!B8="出让",0,'数据-取费表'!B48+'数据-取费表'!B49)</f>
        <v>3.0499999999999999E-2</v>
      </c>
      <c r="G7" s="211"/>
    </row>
    <row r="8" spans="1:8" s="215" customFormat="1">
      <c r="A8" s="732" t="s">
        <v>1475</v>
      </c>
      <c r="B8" s="207" t="s">
        <v>1476</v>
      </c>
      <c r="C8" s="212">
        <f ca="1">IF(G8="已包含在土地购买价格中",0,C9+C10)</f>
        <v>13257620</v>
      </c>
      <c r="D8" s="214"/>
      <c r="E8" s="212"/>
      <c r="F8" s="213"/>
      <c r="G8" s="1714"/>
    </row>
    <row r="9" spans="1:8" s="206" customFormat="1" ht="13.5" customHeight="1">
      <c r="A9" s="733" t="s">
        <v>355</v>
      </c>
      <c r="B9" s="216" t="s">
        <v>1477</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1479</v>
      </c>
      <c r="C10" s="217">
        <f ca="1">ROUND(D10*E10,0)</f>
        <v>13257620</v>
      </c>
      <c r="D10" s="795">
        <f ca="1">IF(B1="",'数据-汇总表'!E6,IF(INDIRECT("'数据-取费表'!c"&amp;$G$1)="住宅",INDIRECT("'数据-取费表'!s"&amp;$G$1),INDIRECT("'数据-取费表'!k"&amp;$G$1)+INDIRECT("'数据-取费表'!s"&amp;$G$1)))</f>
        <v>66288.099999999991</v>
      </c>
      <c r="E10" s="217">
        <f>'数据-取费表'!B28</f>
        <v>200</v>
      </c>
      <c r="F10" s="213"/>
      <c r="G10" s="218"/>
    </row>
    <row r="11" spans="1:8" s="206" customFormat="1" ht="13.5" hidden="1" customHeight="1">
      <c r="A11" s="219" t="s">
        <v>4</v>
      </c>
      <c r="B11" s="207" t="s">
        <v>1480</v>
      </c>
      <c r="C11" s="203"/>
      <c r="D11" s="210"/>
      <c r="E11" s="210"/>
      <c r="F11" s="210"/>
      <c r="G11" s="211"/>
    </row>
    <row r="12" spans="1:8" s="206" customFormat="1" ht="13.5" hidden="1" customHeight="1">
      <c r="A12" s="219" t="s">
        <v>5</v>
      </c>
      <c r="B12" s="207" t="s">
        <v>1563</v>
      </c>
      <c r="C12" s="203">
        <v>0</v>
      </c>
      <c r="D12" s="210"/>
      <c r="E12" s="220"/>
      <c r="F12" s="213">
        <v>3.0499999999999999E-2</v>
      </c>
      <c r="G12" s="211"/>
    </row>
    <row r="13" spans="1:8" s="206" customFormat="1" ht="13.5" hidden="1" customHeight="1">
      <c r="A13" s="219" t="s">
        <v>6</v>
      </c>
      <c r="B13" s="207" t="s">
        <v>1564</v>
      </c>
      <c r="C13" s="203"/>
      <c r="D13" s="210"/>
      <c r="E13" s="210"/>
      <c r="F13" s="210"/>
      <c r="G13" s="211"/>
    </row>
    <row r="14" spans="1:8" s="206" customFormat="1" ht="13.5" hidden="1" customHeight="1">
      <c r="A14" s="219" t="s">
        <v>7</v>
      </c>
      <c r="B14" s="207" t="s">
        <v>1476</v>
      </c>
      <c r="C14" s="203"/>
      <c r="D14" s="210"/>
      <c r="E14" s="210"/>
      <c r="F14" s="210"/>
      <c r="G14" s="211" t="s">
        <v>1565</v>
      </c>
    </row>
    <row r="15" spans="1:8" s="206" customFormat="1" ht="13.5" hidden="1" customHeight="1">
      <c r="A15" s="219" t="s">
        <v>8</v>
      </c>
      <c r="B15" s="207" t="s">
        <v>1566</v>
      </c>
      <c r="C15" s="212"/>
      <c r="D15" s="210"/>
      <c r="E15" s="210"/>
      <c r="F15" s="210"/>
      <c r="G15" s="211" t="s">
        <v>1567</v>
      </c>
    </row>
    <row r="16" spans="1:8" s="206" customFormat="1" ht="13.5" hidden="1" customHeight="1">
      <c r="A16" s="219" t="s">
        <v>9</v>
      </c>
      <c r="B16" s="207" t="s">
        <v>1476</v>
      </c>
      <c r="C16" s="212"/>
      <c r="D16" s="210"/>
      <c r="E16" s="210"/>
      <c r="F16" s="210"/>
      <c r="G16" s="211"/>
    </row>
    <row r="17" spans="1:7" s="206" customFormat="1" ht="13.5" hidden="1" customHeight="1">
      <c r="A17" s="219" t="s">
        <v>10</v>
      </c>
      <c r="B17" s="207" t="s">
        <v>1568</v>
      </c>
      <c r="C17" s="221"/>
      <c r="D17" s="221"/>
      <c r="E17" s="221"/>
      <c r="F17" s="221"/>
      <c r="G17" s="211" t="s">
        <v>1567</v>
      </c>
    </row>
    <row r="18" spans="1:7" s="206" customFormat="1" ht="13.5" hidden="1" customHeight="1">
      <c r="A18" s="219" t="s">
        <v>11</v>
      </c>
      <c r="B18" s="207" t="s">
        <v>1569</v>
      </c>
      <c r="C18" s="212">
        <v>0</v>
      </c>
      <c r="D18" s="210"/>
      <c r="E18" s="210"/>
      <c r="F18" s="213">
        <v>3.0499999999999999E-2</v>
      </c>
      <c r="G18" s="211" t="s">
        <v>1570</v>
      </c>
    </row>
    <row r="19" spans="1:7" s="215" customFormat="1" ht="13.5" customHeight="1">
      <c r="A19" s="247" t="s">
        <v>1571</v>
      </c>
      <c r="B19" s="202" t="s">
        <v>1572</v>
      </c>
      <c r="C19" s="203">
        <f ca="1">IF(G19="已包含在土地取得成本中","0",ROUND(D19*E19,0))</f>
        <v>13257620</v>
      </c>
      <c r="D19" s="204">
        <f ca="1">D9+D10</f>
        <v>66288.099999999991</v>
      </c>
      <c r="E19" s="203">
        <f>'数据-取费表'!B31</f>
        <v>200</v>
      </c>
      <c r="F19" s="223"/>
      <c r="G19" s="1714"/>
    </row>
    <row r="20" spans="1:7" s="206" customFormat="1" ht="13.5" customHeight="1">
      <c r="A20" s="247" t="s">
        <v>1573</v>
      </c>
      <c r="B20" s="202" t="s">
        <v>1574</v>
      </c>
      <c r="C20" s="224">
        <f ca="1">ROUND((C5+C19)*F20,0)</f>
        <v>530305</v>
      </c>
      <c r="D20" s="224"/>
      <c r="E20" s="224"/>
      <c r="F20" s="225">
        <f>'数据-取费表'!B37</f>
        <v>0.02</v>
      </c>
      <c r="G20" s="226" t="s">
        <v>1575</v>
      </c>
    </row>
    <row r="21" spans="1:7" s="206" customFormat="1" ht="13.5" customHeight="1">
      <c r="A21" s="247" t="s">
        <v>1576</v>
      </c>
      <c r="B21" s="202" t="s">
        <v>1577</v>
      </c>
      <c r="C21" s="227">
        <f>F21</f>
        <v>0.02</v>
      </c>
      <c r="D21" s="228" t="s">
        <v>1578</v>
      </c>
      <c r="E21" s="224"/>
      <c r="F21" s="225">
        <f>'数据-取费表'!B38</f>
        <v>0.02</v>
      </c>
      <c r="G21" s="226" t="s">
        <v>1579</v>
      </c>
    </row>
    <row r="22" spans="1:7" s="206" customFormat="1" ht="13.5" customHeight="1">
      <c r="A22" s="247" t="s">
        <v>1580</v>
      </c>
      <c r="B22" s="202" t="s">
        <v>1581</v>
      </c>
      <c r="C22" s="224">
        <f ca="1">ROUND(SUM(C23:C25),0)</f>
        <v>1685865</v>
      </c>
      <c r="D22" s="227">
        <f ca="1">C26</f>
        <v>5.9999999999999995E-4</v>
      </c>
      <c r="E22" s="228" t="s">
        <v>1578</v>
      </c>
      <c r="F22" s="229">
        <f ca="1">'数据-取费表'!B40</f>
        <v>3.1E-2</v>
      </c>
      <c r="G22" s="226" t="str">
        <f>IF('数据-取费表'!B22&lt;=1,"单利计息","复利计息")</f>
        <v>复利计息</v>
      </c>
    </row>
    <row r="23" spans="1:7" s="206" customFormat="1" ht="13.5" customHeight="1">
      <c r="A23" s="734" t="s">
        <v>1471</v>
      </c>
      <c r="B23" s="207" t="s">
        <v>1582</v>
      </c>
      <c r="C23" s="230">
        <f ca="1">ROUND(IF('数据-取费表'!B22&lt;=1,C5*F22*'数据-取费表'!B22,C5*(POWER((1+F22),'数据-取费表'!B22)-1)),0)</f>
        <v>834713</v>
      </c>
      <c r="D23" s="230"/>
      <c r="E23" s="230"/>
      <c r="F23" s="231"/>
      <c r="G23" s="232" t="s">
        <v>1583</v>
      </c>
    </row>
    <row r="24" spans="1:7" s="206" customFormat="1" ht="13.5" customHeight="1">
      <c r="A24" s="734" t="s">
        <v>1473</v>
      </c>
      <c r="B24" s="207" t="s">
        <v>1584</v>
      </c>
      <c r="C24" s="230">
        <f ca="1">ROUND(IF('数据-取费表'!B22&lt;=1,C19*F22*('数据-取费表'!B19/2+'数据-取费表'!B20),C19*(POWER((1+F22),('数据-取费表'!B19/2+'数据-取费表'!B20))-1)),0)</f>
        <v>834713</v>
      </c>
      <c r="D24" s="230"/>
      <c r="E24" s="230"/>
      <c r="F24" s="231"/>
      <c r="G24" s="232" t="s">
        <v>1585</v>
      </c>
    </row>
    <row r="25" spans="1:7" s="206" customFormat="1" ht="24">
      <c r="A25" s="734" t="s">
        <v>1475</v>
      </c>
      <c r="B25" s="207" t="s">
        <v>1586</v>
      </c>
      <c r="C25" s="230">
        <f ca="1">ROUND(IF('数据-取费表'!B22&lt;=1,C20*F22*'数据-取费表'!B22/2,C20*(POWER((1+F22),'数据-取费表'!B22/2)-1)),0)</f>
        <v>16439</v>
      </c>
      <c r="D25" s="230"/>
      <c r="E25" s="233"/>
      <c r="F25" s="231"/>
      <c r="G25" s="234" t="s">
        <v>1587</v>
      </c>
    </row>
    <row r="26" spans="1:7" s="206" customFormat="1">
      <c r="A26" s="734" t="s">
        <v>350</v>
      </c>
      <c r="B26" s="207" t="s">
        <v>1510</v>
      </c>
      <c r="C26" s="230">
        <f ca="1">ROUND(IF('数据-取费表'!B22&lt;=1,F21*F22*'数据-取费表'!B22/2,F21*(POWER((1+F22),'数据-取费表'!B22/2)-1)),4)</f>
        <v>5.9999999999999995E-4</v>
      </c>
      <c r="D26" s="230"/>
      <c r="E26" s="233"/>
      <c r="F26" s="231"/>
      <c r="G26" s="235"/>
    </row>
    <row r="27" spans="1:7" s="206" customFormat="1" ht="24.75">
      <c r="A27" s="247" t="s">
        <v>1511</v>
      </c>
      <c r="B27" s="236" t="s">
        <v>1512</v>
      </c>
      <c r="C27" s="237">
        <f ca="1">C28</f>
        <v>2704555</v>
      </c>
      <c r="D27" s="227">
        <f ca="1">C29</f>
        <v>2E-3</v>
      </c>
      <c r="E27" s="228" t="s">
        <v>1513</v>
      </c>
      <c r="F27" s="238">
        <f ca="1">IF(B1="",'数据-取费表'!Q16,INDIRECT("'数据-取费表'!q"&amp;$G$1))</f>
        <v>0.1</v>
      </c>
      <c r="G27" s="239" t="s">
        <v>1514</v>
      </c>
    </row>
    <row r="28" spans="1:7" s="206" customFormat="1" ht="13.5" customHeight="1">
      <c r="A28" s="734" t="s">
        <v>346</v>
      </c>
      <c r="B28" s="240" t="s">
        <v>1515</v>
      </c>
      <c r="C28" s="241">
        <f ca="1">ROUND((C5+C19+C20)*F27,0)</f>
        <v>2704555</v>
      </c>
      <c r="D28" s="227"/>
      <c r="E28" s="228"/>
      <c r="F28" s="238"/>
      <c r="G28" s="239"/>
    </row>
    <row r="29" spans="1:7" s="206" customFormat="1" ht="13.5" customHeight="1">
      <c r="A29" s="734" t="s">
        <v>347</v>
      </c>
      <c r="B29" s="240" t="s">
        <v>1516</v>
      </c>
      <c r="C29" s="230">
        <f ca="1">ROUND(C21*F27,4)</f>
        <v>2E-3</v>
      </c>
      <c r="D29" s="227"/>
      <c r="E29" s="228"/>
      <c r="F29" s="238"/>
      <c r="G29" s="239"/>
    </row>
    <row r="30" spans="1:7" s="206" customFormat="1" ht="13.5" customHeight="1">
      <c r="A30" s="247" t="s">
        <v>1517</v>
      </c>
      <c r="B30" s="202" t="s">
        <v>1518</v>
      </c>
      <c r="C30" s="227">
        <f>ROUND(F30/(1+'数据-取费表'!C42),4)</f>
        <v>5.33E-2</v>
      </c>
      <c r="D30" s="228" t="s">
        <v>1513</v>
      </c>
      <c r="E30" s="233"/>
      <c r="F30" s="229">
        <f>'数据-取费表'!B41</f>
        <v>5.6000000000000001E-2</v>
      </c>
      <c r="G30" s="226" t="s">
        <v>1519</v>
      </c>
    </row>
    <row r="31" spans="1:7" ht="16.5" customHeight="1">
      <c r="A31" s="201">
        <v>1</v>
      </c>
      <c r="B31" s="202" t="s">
        <v>1520</v>
      </c>
      <c r="C31" s="203">
        <f ca="1">ROUND((C5+C19+C20+C22+C27)/(1-C21-D22-D27-C30),0)</f>
        <v>34017926</v>
      </c>
      <c r="D31" s="222"/>
      <c r="E31" s="203"/>
      <c r="F31" s="242"/>
      <c r="G31" s="226" t="s">
        <v>1521</v>
      </c>
    </row>
    <row r="32" spans="1:7" s="200" customFormat="1" ht="15.75">
      <c r="A32" s="244" t="s">
        <v>1588</v>
      </c>
      <c r="B32" s="245"/>
      <c r="C32" s="245"/>
      <c r="D32" s="245"/>
      <c r="E32" s="245"/>
      <c r="F32" s="245"/>
      <c r="G32" s="246"/>
    </row>
    <row r="33" spans="1:7" s="206" customFormat="1" ht="13.5" customHeight="1">
      <c r="A33" s="247" t="s">
        <v>337</v>
      </c>
      <c r="B33" s="202" t="s">
        <v>1589</v>
      </c>
      <c r="C33" s="248">
        <f ca="1">SUM(C34:C38)</f>
        <v>261506555</v>
      </c>
      <c r="D33" s="224"/>
      <c r="E33" s="204"/>
      <c r="F33" s="233"/>
      <c r="G33" s="226"/>
    </row>
    <row r="34" spans="1:7" s="250" customFormat="1" ht="13.5" customHeight="1">
      <c r="A34" s="734" t="s">
        <v>346</v>
      </c>
      <c r="B34" s="207" t="s">
        <v>1524</v>
      </c>
      <c r="C34" s="212">
        <f ca="1">ROUND(IF(B1="",SUMPRODUCT('数据-取费表'!K6:K14,'数据-取费表'!L6:L14),INDIRECT("'数据-取费表'!l"&amp;$G$1)*INDIRECT("'数据-取费表'!k"&amp;$G$1)+'数据-取费表'!L14*INDIRECT("'数据-取费表'!S"&amp;$G$1)),0)</f>
        <v>232008350</v>
      </c>
      <c r="D34" s="209"/>
      <c r="E34" s="212"/>
      <c r="F34" s="249"/>
      <c r="G34" s="211"/>
    </row>
    <row r="35" spans="1:7" ht="13.5" customHeight="1">
      <c r="A35" s="734" t="s">
        <v>351</v>
      </c>
      <c r="B35" s="207" t="s">
        <v>1526</v>
      </c>
      <c r="C35" s="212">
        <f ca="1">ROUND(C34*F35,0)</f>
        <v>11600418</v>
      </c>
      <c r="D35" s="212"/>
      <c r="E35" s="212"/>
      <c r="F35" s="251">
        <f>'数据-取费表'!B33</f>
        <v>0.05</v>
      </c>
      <c r="G35" s="211" t="s">
        <v>1527</v>
      </c>
    </row>
    <row r="36" spans="1:7" ht="24">
      <c r="A36" s="734" t="s">
        <v>352</v>
      </c>
      <c r="B36" s="207" t="s">
        <v>1528</v>
      </c>
      <c r="C36" s="212">
        <f ca="1">ROUND(IF(B1="",SUM('数据-取费表'!AP6:AP13)*F36,IF(INDIRECT("'数据-取费表'!c"&amp;$G$1)="住宅",INDIRECT("'数据-取费表'!k"&amp;$G$1)*INDIRECT("'数据-取费表'!l"&amp;$G$1)*F36,0)),0)</f>
        <v>0</v>
      </c>
      <c r="D36" s="212"/>
      <c r="E36" s="212"/>
      <c r="F36" s="251">
        <f>'数据-取费表'!B34</f>
        <v>0</v>
      </c>
      <c r="G36" s="252" t="s">
        <v>1529</v>
      </c>
    </row>
    <row r="37" spans="1:7" s="250" customFormat="1" ht="13.5" customHeight="1">
      <c r="A37" s="734" t="s">
        <v>353</v>
      </c>
      <c r="B37" s="207" t="s">
        <v>1530</v>
      </c>
      <c r="C37" s="241">
        <f ca="1">ROUND(E37*D37,0)</f>
        <v>13257620</v>
      </c>
      <c r="D37" s="209">
        <f ca="1">D19</f>
        <v>66288.099999999991</v>
      </c>
      <c r="E37" s="241">
        <f>'数据-取费表'!B35</f>
        <v>200</v>
      </c>
      <c r="F37" s="251"/>
      <c r="G37" s="253"/>
    </row>
    <row r="38" spans="1:7" ht="13.5" customHeight="1">
      <c r="A38" s="734" t="s">
        <v>354</v>
      </c>
      <c r="B38" s="207" t="s">
        <v>1532</v>
      </c>
      <c r="C38" s="212">
        <f ca="1">ROUND(C34*F38,0)</f>
        <v>4640167</v>
      </c>
      <c r="D38" s="212"/>
      <c r="E38" s="212"/>
      <c r="F38" s="251">
        <f>'数据-取费表'!B36</f>
        <v>0.02</v>
      </c>
      <c r="G38" s="211" t="s">
        <v>1527</v>
      </c>
    </row>
    <row r="39" spans="1:7" s="206" customFormat="1" ht="13.5" customHeight="1">
      <c r="A39" s="247" t="s">
        <v>1533</v>
      </c>
      <c r="B39" s="202" t="s">
        <v>1534</v>
      </c>
      <c r="C39" s="224">
        <f ca="1">ROUND(C33*F20,0)</f>
        <v>5230131</v>
      </c>
      <c r="D39" s="224"/>
      <c r="E39" s="224"/>
      <c r="F39" s="225">
        <f>F20</f>
        <v>0.02</v>
      </c>
      <c r="G39" s="226" t="s">
        <v>1535</v>
      </c>
    </row>
    <row r="40" spans="1:7" s="206" customFormat="1" ht="13.5" customHeight="1">
      <c r="A40" s="247" t="s">
        <v>1536</v>
      </c>
      <c r="B40" s="202" t="s">
        <v>1537</v>
      </c>
      <c r="C40" s="227">
        <f>F21</f>
        <v>0.02</v>
      </c>
      <c r="D40" s="228" t="s">
        <v>1538</v>
      </c>
      <c r="E40" s="224"/>
      <c r="F40" s="225">
        <f>F21</f>
        <v>0.02</v>
      </c>
      <c r="G40" s="226" t="s">
        <v>1539</v>
      </c>
    </row>
    <row r="41" spans="1:7" s="206" customFormat="1" ht="13.5" customHeight="1">
      <c r="A41" s="247" t="s">
        <v>1540</v>
      </c>
      <c r="B41" s="202" t="s">
        <v>1541</v>
      </c>
      <c r="C41" s="224">
        <f ca="1">ROUND(SUM(C42:C43),0)</f>
        <v>8268837</v>
      </c>
      <c r="D41" s="227">
        <f ca="1">C44</f>
        <v>5.9999999999999995E-4</v>
      </c>
      <c r="E41" s="228" t="s">
        <v>1538</v>
      </c>
      <c r="F41" s="229">
        <f ca="1">F22</f>
        <v>3.1E-2</v>
      </c>
      <c r="G41" s="226" t="str">
        <f>IF('数据-取费表'!B22&lt;=1,"单利计息","复利计息")</f>
        <v>复利计息</v>
      </c>
    </row>
    <row r="42" spans="1:7" ht="13.5" customHeight="1">
      <c r="A42" s="734" t="s">
        <v>346</v>
      </c>
      <c r="B42" s="207" t="s">
        <v>1542</v>
      </c>
      <c r="C42" s="230">
        <f ca="1">ROUND(IF('数据-取费表'!B22&lt;=1,C33*F22*'数据-取费表'!B20/2,C33*(POWER((1+F22),'数据-取费表'!B20/2)-1)),0)</f>
        <v>8106703</v>
      </c>
      <c r="D42" s="230"/>
      <c r="E42" s="230"/>
      <c r="F42" s="231"/>
      <c r="G42" s="3335" t="s">
        <v>1590</v>
      </c>
    </row>
    <row r="43" spans="1:7" ht="13.5" customHeight="1">
      <c r="A43" s="734" t="s">
        <v>347</v>
      </c>
      <c r="B43" s="207" t="s">
        <v>1544</v>
      </c>
      <c r="C43" s="230">
        <f ca="1">ROUND(IF('数据-取费表'!B22&lt;=1,C39*F22*'数据-取费表'!B20/2,C39*(POWER((1+F22),'数据-取费表'!B20/2)-1)),0)</f>
        <v>162134</v>
      </c>
      <c r="D43" s="230"/>
      <c r="E43" s="230"/>
      <c r="F43" s="231"/>
      <c r="G43" s="3336"/>
    </row>
    <row r="44" spans="1:7" ht="13.5" customHeight="1">
      <c r="A44" s="734" t="s">
        <v>348</v>
      </c>
      <c r="B44" s="207" t="s">
        <v>1545</v>
      </c>
      <c r="C44" s="230">
        <f ca="1">ROUND(IF('数据-取费表'!B22&lt;=1,C40*F22*'数据-取费表'!B20/2,C40*(POWER((1+F22),'数据-取费表'!B20/2)-1)),4)</f>
        <v>5.9999999999999995E-4</v>
      </c>
      <c r="D44" s="230"/>
      <c r="E44" s="230"/>
      <c r="F44" s="231"/>
      <c r="G44" s="3337"/>
    </row>
    <row r="45" spans="1:7" s="206" customFormat="1" ht="13.5" customHeight="1">
      <c r="A45" s="247" t="s">
        <v>1546</v>
      </c>
      <c r="B45" s="236" t="s">
        <v>1512</v>
      </c>
      <c r="C45" s="237">
        <f ca="1">C46</f>
        <v>26673669</v>
      </c>
      <c r="D45" s="227">
        <f ca="1">C47</f>
        <v>2E-3</v>
      </c>
      <c r="E45" s="228" t="s">
        <v>1538</v>
      </c>
      <c r="F45" s="238">
        <f ca="1">F27</f>
        <v>0.1</v>
      </c>
      <c r="G45" s="239" t="s">
        <v>1547</v>
      </c>
    </row>
    <row r="46" spans="1:7" s="206" customFormat="1" ht="13.5" customHeight="1">
      <c r="A46" s="734" t="s">
        <v>346</v>
      </c>
      <c r="B46" s="240" t="s">
        <v>1548</v>
      </c>
      <c r="C46" s="241">
        <f ca="1">ROUND((C33+C39)*F27,0)</f>
        <v>26673669</v>
      </c>
      <c r="D46" s="255"/>
      <c r="E46" s="228"/>
      <c r="F46" s="238"/>
      <c r="G46" s="239"/>
    </row>
    <row r="47" spans="1:7" s="206" customFormat="1" ht="13.5" customHeight="1">
      <c r="A47" s="734" t="s">
        <v>347</v>
      </c>
      <c r="B47" s="240" t="s">
        <v>1549</v>
      </c>
      <c r="C47" s="230">
        <f ca="1">ROUND(C40*F27,4)</f>
        <v>2E-3</v>
      </c>
      <c r="D47" s="255"/>
      <c r="E47" s="228"/>
      <c r="F47" s="238"/>
      <c r="G47" s="239"/>
    </row>
    <row r="48" spans="1:7" s="206" customFormat="1" ht="13.5" customHeight="1">
      <c r="A48" s="247" t="s">
        <v>1511</v>
      </c>
      <c r="B48" s="202" t="s">
        <v>1550</v>
      </c>
      <c r="C48" s="254">
        <f>ROUND(F30/(1+'数据-取费表'!C42),4)</f>
        <v>5.33E-2</v>
      </c>
      <c r="D48" s="228" t="s">
        <v>1538</v>
      </c>
      <c r="E48" s="224"/>
      <c r="F48" s="229">
        <f>F30</f>
        <v>5.6000000000000001E-2</v>
      </c>
      <c r="G48" s="226" t="s">
        <v>1551</v>
      </c>
    </row>
    <row r="49" spans="1:7" ht="16.5" customHeight="1">
      <c r="A49" s="247" t="s">
        <v>1517</v>
      </c>
      <c r="B49" s="202" t="s">
        <v>1591</v>
      </c>
      <c r="C49" s="224">
        <f ca="1">ROUND((C33+C39+C41+C45)/(1-C40-D41-D45-C48),0)</f>
        <v>326457301</v>
      </c>
      <c r="D49" s="224"/>
      <c r="E49" s="224"/>
      <c r="F49" s="256"/>
      <c r="G49" s="226" t="s">
        <v>1553</v>
      </c>
    </row>
    <row r="50" spans="1:7" s="250" customFormat="1">
      <c r="A50" s="247" t="s">
        <v>1554</v>
      </c>
      <c r="B50" s="202" t="s">
        <v>1555</v>
      </c>
      <c r="C50" s="224"/>
      <c r="D50" s="224"/>
      <c r="E50" s="224"/>
      <c r="F50" s="256">
        <f>IF('数据-取费表'!B24=0,'数据-取费表'!N16,1)</f>
        <v>1</v>
      </c>
      <c r="G50" s="239"/>
    </row>
    <row r="51" spans="1:7" ht="16.5" customHeight="1">
      <c r="A51" s="247" t="s">
        <v>1557</v>
      </c>
      <c r="B51" s="202" t="s">
        <v>1592</v>
      </c>
      <c r="C51" s="224">
        <f ca="1">ROUND(C49*F50,0)</f>
        <v>326457301</v>
      </c>
      <c r="D51" s="224"/>
      <c r="E51" s="224"/>
      <c r="F51" s="256"/>
      <c r="G51" s="226" t="s">
        <v>1559</v>
      </c>
    </row>
    <row r="52" spans="1:7" s="200" customFormat="1" ht="16.5" thickBot="1">
      <c r="A52" s="257" t="s">
        <v>1560</v>
      </c>
      <c r="B52" s="258"/>
      <c r="C52" s="259">
        <f ca="1">C31+C51</f>
        <v>360475227</v>
      </c>
      <c r="D52" s="258"/>
      <c r="E52" s="258"/>
      <c r="F52" s="258"/>
      <c r="G52" s="260"/>
    </row>
    <row r="55" spans="1:7" ht="15">
      <c r="B55" s="262" t="s">
        <v>1561</v>
      </c>
      <c r="C55" s="263"/>
    </row>
    <row r="56" spans="1:7">
      <c r="B56" s="265" t="s">
        <v>802</v>
      </c>
      <c r="C56" s="267">
        <f ca="1">1-C57</f>
        <v>9.3999999999999972E-2</v>
      </c>
    </row>
    <row r="57" spans="1:7">
      <c r="B57" s="265" t="s">
        <v>803</v>
      </c>
      <c r="C57" s="266">
        <f ca="1">ROUND(C51/C52,3)</f>
        <v>0.90600000000000003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85" zoomScaleNormal="60" zoomScaleSheetLayoutView="85" workbookViewId="0">
      <selection activeCell="M18" sqref="M18"/>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1866</v>
      </c>
      <c r="B1" s="340"/>
      <c r="C1" s="341" t="s">
        <v>1917</v>
      </c>
      <c r="D1" s="651"/>
      <c r="E1" s="651"/>
      <c r="F1" s="650" t="s">
        <v>1766</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1461</v>
      </c>
      <c r="B2" s="591">
        <f>F61</f>
        <v>4257</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1463</v>
      </c>
      <c r="B3" s="536">
        <f>ROUND(IF(D3="",B2*10000/'数据-汇总表'!E3,B2*10000/D3),0)</f>
        <v>642</v>
      </c>
      <c r="C3" s="195" t="s">
        <v>1868</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1768</v>
      </c>
      <c r="B4" s="346"/>
      <c r="C4" s="3338" t="s">
        <v>1769</v>
      </c>
      <c r="D4" s="3364"/>
      <c r="E4" s="3365" t="s">
        <v>1770</v>
      </c>
      <c r="F4" s="3366"/>
      <c r="G4" s="3338" t="s">
        <v>1771</v>
      </c>
      <c r="H4" s="3364"/>
      <c r="I4" s="3338" t="s">
        <v>1772</v>
      </c>
      <c r="J4" s="3364"/>
      <c r="K4" s="537" t="s">
        <v>1773</v>
      </c>
      <c r="L4" s="2487"/>
      <c r="M4" s="2488"/>
      <c r="N4" s="2488"/>
      <c r="O4" s="2488"/>
      <c r="P4" s="3367" t="s">
        <v>1774</v>
      </c>
      <c r="Q4" s="3368"/>
      <c r="R4" s="3344" t="s">
        <v>1770</v>
      </c>
      <c r="S4" s="3345"/>
      <c r="T4" s="3344" t="s">
        <v>1771</v>
      </c>
      <c r="U4" s="3345"/>
      <c r="V4" s="3357" t="s">
        <v>1772</v>
      </c>
      <c r="W4" s="3357"/>
      <c r="X4" s="1265"/>
      <c r="Y4" s="3344" t="s">
        <v>1774</v>
      </c>
      <c r="Z4" s="3345"/>
      <c r="AA4" s="3361" t="s">
        <v>1770</v>
      </c>
      <c r="AB4" s="3362" t="s">
        <v>1771</v>
      </c>
      <c r="AC4" s="3361" t="s">
        <v>1772</v>
      </c>
    </row>
    <row r="5" spans="1:29" ht="41.25" customHeight="1">
      <c r="A5" s="348"/>
      <c r="B5" s="349"/>
      <c r="C5" s="3348" t="s">
        <v>1672</v>
      </c>
      <c r="D5" s="3349"/>
      <c r="E5" s="3373" t="str">
        <f>土地案例!A7</f>
        <v>北京经济技术开发区42M2地块工业项目</v>
      </c>
      <c r="F5" s="3374"/>
      <c r="G5" s="3348" t="str">
        <f>土地案例!A8</f>
        <v>亦庄新城0104街区34M4地块工业项目</v>
      </c>
      <c r="H5" s="3349"/>
      <c r="I5" s="3348" t="str">
        <f>土地案例!A9</f>
        <v>亦庄新城0107街区72M1地块工业项目</v>
      </c>
      <c r="J5" s="3349"/>
      <c r="K5" s="537"/>
      <c r="L5" s="2487"/>
      <c r="M5" s="2488"/>
      <c r="N5" s="2488"/>
      <c r="O5" s="2488"/>
      <c r="P5" s="3369"/>
      <c r="Q5" s="3370"/>
      <c r="R5" s="3346"/>
      <c r="S5" s="3347"/>
      <c r="T5" s="3346"/>
      <c r="U5" s="3347"/>
      <c r="V5" s="3357"/>
      <c r="W5" s="3357"/>
      <c r="X5" s="1265"/>
      <c r="Y5" s="3346"/>
      <c r="Z5" s="3347"/>
      <c r="AA5" s="3362"/>
      <c r="AB5" s="3362"/>
      <c r="AC5" s="3362"/>
    </row>
    <row r="6" spans="1:29" ht="15.75" thickBot="1">
      <c r="A6" s="350"/>
      <c r="B6" s="351"/>
      <c r="C6" s="3350" t="s">
        <v>1918</v>
      </c>
      <c r="D6" s="3351"/>
      <c r="E6" s="3353" t="s">
        <v>1918</v>
      </c>
      <c r="F6" s="3354"/>
      <c r="G6" s="3350" t="s">
        <v>1918</v>
      </c>
      <c r="H6" s="3351"/>
      <c r="I6" s="3350" t="s">
        <v>1918</v>
      </c>
      <c r="J6" s="3351"/>
      <c r="K6" s="537" t="s">
        <v>1677</v>
      </c>
      <c r="L6" s="2487"/>
      <c r="M6" s="2488"/>
      <c r="N6" s="2488"/>
      <c r="O6" s="2488"/>
      <c r="P6" s="3371"/>
      <c r="Q6" s="3372"/>
      <c r="R6" s="3346"/>
      <c r="S6" s="3347"/>
      <c r="T6" s="3355"/>
      <c r="U6" s="3356"/>
      <c r="V6" s="3357"/>
      <c r="W6" s="3357"/>
      <c r="X6" s="1265"/>
      <c r="Y6" s="3355"/>
      <c r="Z6" s="3356"/>
      <c r="AA6" s="3363"/>
      <c r="AB6" s="3363"/>
      <c r="AC6" s="3363"/>
    </row>
    <row r="7" spans="1:29" s="102" customFormat="1" ht="15.75" thickBot="1">
      <c r="A7" s="352" t="s">
        <v>1678</v>
      </c>
      <c r="B7" s="353"/>
      <c r="C7" s="354">
        <f>'数据-取费表'!B2</f>
        <v>45632</v>
      </c>
      <c r="D7" s="355">
        <v>100</v>
      </c>
      <c r="E7" s="356">
        <f>土地案例!J7</f>
        <v>44955</v>
      </c>
      <c r="F7" s="357">
        <f>SUMIF(65:65,YEAR(E7)&amp;"-"&amp;INT((MONTH(E7)+2)/3),66:66)</f>
        <v>96.5</v>
      </c>
      <c r="G7" s="1822">
        <f>土地案例!J8</f>
        <v>44955</v>
      </c>
      <c r="H7" s="355">
        <f>SUMIF(65:65,YEAR(G7)&amp;"-"&amp;INT((MONTH(G7)+2)/3),66:66)</f>
        <v>96.5</v>
      </c>
      <c r="I7" s="1822">
        <f>土地案例!J9</f>
        <v>44788</v>
      </c>
      <c r="J7" s="355">
        <f>SUMIF(65:65,YEAR(I7)&amp;"-"&amp;INT((MONTH(I7)+2)/3),66:66)</f>
        <v>95.5</v>
      </c>
      <c r="K7" s="38"/>
      <c r="L7" s="2489"/>
      <c r="M7" s="2440"/>
      <c r="N7" s="2440"/>
      <c r="O7" s="2440"/>
      <c r="P7" s="3342" t="s">
        <v>1679</v>
      </c>
      <c r="Q7" s="3352"/>
      <c r="R7" s="664" t="s">
        <v>14</v>
      </c>
      <c r="S7" s="665">
        <f t="shared" ref="S7:S15" si="0">F7</f>
        <v>96.5</v>
      </c>
      <c r="T7" s="664" t="s">
        <v>14</v>
      </c>
      <c r="U7" s="665">
        <f t="shared" ref="U7:U15" si="1">H7</f>
        <v>96.5</v>
      </c>
      <c r="V7" s="664" t="s">
        <v>14</v>
      </c>
      <c r="W7" s="665">
        <f t="shared" ref="W7:W15" si="2">J7</f>
        <v>95.5</v>
      </c>
      <c r="X7" s="666"/>
      <c r="Y7" s="3342" t="s">
        <v>1679</v>
      </c>
      <c r="Z7" s="3343"/>
      <c r="AA7" s="50">
        <f>D7/F7</f>
        <v>1.0362694300518134</v>
      </c>
      <c r="AB7" s="50">
        <f>D7/H7</f>
        <v>1.0362694300518134</v>
      </c>
      <c r="AC7" s="50">
        <f>D7/J7</f>
        <v>1.0471204188481675</v>
      </c>
    </row>
    <row r="8" spans="1:29" s="102" customFormat="1" ht="15.75" thickBot="1">
      <c r="A8" s="352" t="s">
        <v>1680</v>
      </c>
      <c r="B8" s="353"/>
      <c r="C8" s="358" t="s">
        <v>1681</v>
      </c>
      <c r="D8" s="355">
        <v>100</v>
      </c>
      <c r="E8" s="358" t="s">
        <v>3470</v>
      </c>
      <c r="F8" s="357">
        <f>SUMIF(68:68,E8,69:69)-SUMIF(68:68,C8,69:69)+100</f>
        <v>100</v>
      </c>
      <c r="G8" s="358" t="s">
        <v>3470</v>
      </c>
      <c r="H8" s="355">
        <f>SUMIF(68:68,G8,69:69)-SUMIF(68:68,C8,69:69)+100</f>
        <v>100</v>
      </c>
      <c r="I8" s="358" t="s">
        <v>3470</v>
      </c>
      <c r="J8" s="355">
        <f>SUMIF(68:68,I8,69:69)-SUMIF(68:68,C8,69:69)+100</f>
        <v>100</v>
      </c>
      <c r="K8" s="38"/>
      <c r="L8" s="2489"/>
      <c r="M8" s="2440"/>
      <c r="N8" s="2440"/>
      <c r="O8" s="2440"/>
      <c r="P8" s="3342" t="s">
        <v>1682</v>
      </c>
      <c r="Q8" s="3343"/>
      <c r="R8" s="664" t="s">
        <v>14</v>
      </c>
      <c r="S8" s="665">
        <f t="shared" si="0"/>
        <v>100</v>
      </c>
      <c r="T8" s="664" t="s">
        <v>14</v>
      </c>
      <c r="U8" s="665">
        <f t="shared" si="1"/>
        <v>100</v>
      </c>
      <c r="V8" s="664" t="s">
        <v>14</v>
      </c>
      <c r="W8" s="665">
        <f t="shared" si="2"/>
        <v>100</v>
      </c>
      <c r="X8" s="666"/>
      <c r="Y8" s="3342" t="s">
        <v>1682</v>
      </c>
      <c r="Z8" s="3343"/>
      <c r="AA8" s="50">
        <f t="shared" ref="AA8:AA40" si="3">D8/F8</f>
        <v>1</v>
      </c>
      <c r="AB8" s="50">
        <f t="shared" ref="AB8:AB40" si="4">D8/H8</f>
        <v>1</v>
      </c>
      <c r="AC8" s="50">
        <f t="shared" ref="AC8:AC40" si="5">D8/J8</f>
        <v>1</v>
      </c>
    </row>
    <row r="9" spans="1:29" s="102" customFormat="1">
      <c r="A9" s="359" t="s">
        <v>1683</v>
      </c>
      <c r="B9" s="60" t="s">
        <v>1684</v>
      </c>
      <c r="C9" s="3150" t="s">
        <v>3471</v>
      </c>
      <c r="D9" s="59">
        <v>100</v>
      </c>
      <c r="E9" s="1825" t="s">
        <v>3</v>
      </c>
      <c r="F9" s="59">
        <f>SUMIF(70:70,E9,71:71)-SUMIF(70:70,C9,71:71)+100</f>
        <v>100</v>
      </c>
      <c r="G9" s="1825" t="s">
        <v>3</v>
      </c>
      <c r="H9" s="59">
        <f>SUMIF(70:70,G9,71:71)-SUMIF(70:70,C9,71:71)+100</f>
        <v>100</v>
      </c>
      <c r="I9" s="1825" t="s">
        <v>3</v>
      </c>
      <c r="J9" s="59">
        <f>SUMIF(70:70,I9,71:71)-SUMIF(70:70,C9,71:71)+100</f>
        <v>100</v>
      </c>
      <c r="K9" s="38"/>
      <c r="L9" s="2489"/>
      <c r="M9" s="2440"/>
      <c r="N9" s="2440"/>
      <c r="O9" s="2541"/>
      <c r="P9" s="3341" t="s">
        <v>1685</v>
      </c>
      <c r="Q9" s="530" t="str">
        <f t="shared" ref="Q9:Q15" si="6">B9</f>
        <v>用途</v>
      </c>
      <c r="R9" s="664" t="s">
        <v>14</v>
      </c>
      <c r="S9" s="665">
        <f t="shared" si="0"/>
        <v>100</v>
      </c>
      <c r="T9" s="664" t="s">
        <v>14</v>
      </c>
      <c r="U9" s="665">
        <f t="shared" si="1"/>
        <v>100</v>
      </c>
      <c r="V9" s="664" t="s">
        <v>14</v>
      </c>
      <c r="W9" s="665">
        <f t="shared" si="2"/>
        <v>100</v>
      </c>
      <c r="X9" s="666"/>
      <c r="Y9" s="3242" t="s">
        <v>1686</v>
      </c>
      <c r="Z9" s="50" t="str">
        <f t="shared" ref="Z9:Z15" si="7">Q9</f>
        <v>用途</v>
      </c>
      <c r="AA9" s="50">
        <f t="shared" si="3"/>
        <v>1</v>
      </c>
      <c r="AB9" s="50">
        <f t="shared" si="4"/>
        <v>1</v>
      </c>
      <c r="AC9" s="50">
        <f t="shared" si="5"/>
        <v>1</v>
      </c>
    </row>
    <row r="10" spans="1:29" s="366" customFormat="1" ht="27">
      <c r="A10" s="363"/>
      <c r="B10" s="364" t="s">
        <v>1687</v>
      </c>
      <c r="C10" s="371">
        <f>项目基本情况!H15</f>
        <v>15.65</v>
      </c>
      <c r="D10" s="119">
        <v>100</v>
      </c>
      <c r="E10" s="371"/>
      <c r="F10" s="119">
        <f>ROUND(100/'数据-取费表'!G16,0)</f>
        <v>118</v>
      </c>
      <c r="G10" s="371"/>
      <c r="H10" s="119">
        <f>ROUND(100/'数据-取费表'!G16,0)</f>
        <v>118</v>
      </c>
      <c r="I10" s="371"/>
      <c r="J10" s="119">
        <f>ROUND(100/'数据-取费表'!G16,0)</f>
        <v>118</v>
      </c>
      <c r="K10" s="592"/>
      <c r="L10" s="2490"/>
      <c r="M10" s="2491"/>
      <c r="N10" s="2491"/>
      <c r="O10" s="2542"/>
      <c r="P10" s="3341"/>
      <c r="Q10" s="530" t="str">
        <f t="shared" si="6"/>
        <v>土地使用年限（年）</v>
      </c>
      <c r="R10" s="664" t="s">
        <v>14</v>
      </c>
      <c r="S10" s="665">
        <f t="shared" si="0"/>
        <v>118</v>
      </c>
      <c r="T10" s="664" t="s">
        <v>14</v>
      </c>
      <c r="U10" s="665">
        <f t="shared" si="1"/>
        <v>118</v>
      </c>
      <c r="V10" s="664" t="s">
        <v>14</v>
      </c>
      <c r="W10" s="665">
        <f t="shared" si="2"/>
        <v>118</v>
      </c>
      <c r="X10" s="666"/>
      <c r="Y10" s="3242"/>
      <c r="Z10" s="50" t="str">
        <f t="shared" si="7"/>
        <v>土地使用年限（年）</v>
      </c>
      <c r="AA10" s="50">
        <f t="shared" si="3"/>
        <v>0.84745762711864403</v>
      </c>
      <c r="AB10" s="50">
        <f t="shared" si="4"/>
        <v>0.84745762711864403</v>
      </c>
      <c r="AC10" s="50">
        <f t="shared" si="5"/>
        <v>0.84745762711864403</v>
      </c>
    </row>
    <row r="11" spans="1:29" ht="15.75" thickBot="1">
      <c r="A11" s="367"/>
      <c r="B11" s="364" t="s">
        <v>1688</v>
      </c>
      <c r="C11" s="368">
        <f>'数据-汇总表'!I6</f>
        <v>1.72</v>
      </c>
      <c r="D11" s="119">
        <v>100</v>
      </c>
      <c r="E11" s="368">
        <v>1.5</v>
      </c>
      <c r="F11" s="119">
        <f>LOOKUP(E11,75:75,76:76)-LOOKUP(C11,75:75,76:76)+100</f>
        <v>100</v>
      </c>
      <c r="G11" s="369">
        <v>1.07</v>
      </c>
      <c r="H11" s="119">
        <f>LOOKUP(G11,75:75,76:76)-LOOKUP(C11,75:75,76:76)+100</f>
        <v>105</v>
      </c>
      <c r="I11" s="368">
        <v>1.5</v>
      </c>
      <c r="J11" s="119">
        <f>LOOKUP(I11,75:75,76:76)-LOOKUP(C11,75:75,76:76)+100</f>
        <v>100</v>
      </c>
      <c r="K11" s="593">
        <v>5</v>
      </c>
      <c r="L11" s="2492"/>
      <c r="M11" s="2488"/>
      <c r="N11" s="2488"/>
      <c r="O11" s="2543"/>
      <c r="P11" s="3341"/>
      <c r="Q11" s="530" t="str">
        <f t="shared" si="6"/>
        <v>容积率</v>
      </c>
      <c r="R11" s="664" t="s">
        <v>14</v>
      </c>
      <c r="S11" s="665">
        <f t="shared" si="0"/>
        <v>100</v>
      </c>
      <c r="T11" s="664" t="s">
        <v>14</v>
      </c>
      <c r="U11" s="665">
        <f t="shared" si="1"/>
        <v>105</v>
      </c>
      <c r="V11" s="664" t="s">
        <v>14</v>
      </c>
      <c r="W11" s="665">
        <f t="shared" si="2"/>
        <v>100</v>
      </c>
      <c r="X11" s="666"/>
      <c r="Y11" s="3242"/>
      <c r="Z11" s="50" t="str">
        <f t="shared" si="7"/>
        <v>容积率</v>
      </c>
      <c r="AA11" s="50">
        <f t="shared" si="3"/>
        <v>1</v>
      </c>
      <c r="AB11" s="50">
        <f t="shared" si="4"/>
        <v>0.95238095238095233</v>
      </c>
      <c r="AC11" s="50">
        <f t="shared" si="5"/>
        <v>1</v>
      </c>
    </row>
    <row r="12" spans="1:29" s="102" customFormat="1" ht="15" hidden="1">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341"/>
      <c r="Q12" s="530">
        <f t="shared" si="6"/>
        <v>111</v>
      </c>
      <c r="R12" s="664" t="s">
        <v>14</v>
      </c>
      <c r="S12" s="665">
        <f t="shared" si="0"/>
        <v>100</v>
      </c>
      <c r="T12" s="664" t="s">
        <v>14</v>
      </c>
      <c r="U12" s="665">
        <f t="shared" si="1"/>
        <v>100</v>
      </c>
      <c r="V12" s="664" t="s">
        <v>14</v>
      </c>
      <c r="W12" s="665">
        <f t="shared" si="2"/>
        <v>100</v>
      </c>
      <c r="X12" s="666"/>
      <c r="Y12" s="3242"/>
      <c r="Z12" s="50">
        <f t="shared" si="7"/>
        <v>111</v>
      </c>
      <c r="AA12" s="50">
        <f>D12/F12</f>
        <v>1</v>
      </c>
      <c r="AB12" s="50">
        <f>D12/H12</f>
        <v>1</v>
      </c>
      <c r="AC12" s="50">
        <f>D12/J12</f>
        <v>1</v>
      </c>
    </row>
    <row r="13" spans="1:29" ht="15" hidden="1">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341"/>
      <c r="Q13" s="530">
        <f t="shared" si="6"/>
        <v>111</v>
      </c>
      <c r="R13" s="664" t="s">
        <v>14</v>
      </c>
      <c r="S13" s="665">
        <f t="shared" si="0"/>
        <v>100</v>
      </c>
      <c r="T13" s="664" t="s">
        <v>14</v>
      </c>
      <c r="U13" s="665">
        <f t="shared" si="1"/>
        <v>100</v>
      </c>
      <c r="V13" s="664" t="s">
        <v>14</v>
      </c>
      <c r="W13" s="665">
        <f t="shared" si="2"/>
        <v>100</v>
      </c>
      <c r="X13" s="666"/>
      <c r="Y13" s="3242"/>
      <c r="Z13" s="50">
        <f t="shared" si="7"/>
        <v>111</v>
      </c>
      <c r="AA13" s="50">
        <f t="shared" si="3"/>
        <v>1</v>
      </c>
      <c r="AB13" s="50">
        <f t="shared" si="4"/>
        <v>1</v>
      </c>
      <c r="AC13" s="50">
        <f t="shared" si="5"/>
        <v>1</v>
      </c>
    </row>
    <row r="14" spans="1:29" ht="15.75" hidden="1"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341"/>
      <c r="Q14" s="530">
        <f t="shared" si="6"/>
        <v>111</v>
      </c>
      <c r="R14" s="664" t="s">
        <v>14</v>
      </c>
      <c r="S14" s="665">
        <f t="shared" si="0"/>
        <v>100</v>
      </c>
      <c r="T14" s="664" t="s">
        <v>14</v>
      </c>
      <c r="U14" s="665">
        <f t="shared" si="1"/>
        <v>100</v>
      </c>
      <c r="V14" s="664" t="s">
        <v>14</v>
      </c>
      <c r="W14" s="665">
        <f t="shared" si="2"/>
        <v>100</v>
      </c>
      <c r="X14" s="666"/>
      <c r="Y14" s="3242"/>
      <c r="Z14" s="50">
        <f t="shared" si="7"/>
        <v>111</v>
      </c>
      <c r="AA14" s="50">
        <f t="shared" si="3"/>
        <v>1</v>
      </c>
      <c r="AB14" s="50">
        <f t="shared" si="4"/>
        <v>1</v>
      </c>
      <c r="AC14" s="50">
        <f t="shared" si="5"/>
        <v>1</v>
      </c>
    </row>
    <row r="15" spans="1:29" ht="15">
      <c r="A15" s="379" t="s">
        <v>1689</v>
      </c>
      <c r="B15" s="554" t="s">
        <v>1919</v>
      </c>
      <c r="C15" s="1819">
        <f>估价对象房地状况!G15</f>
        <v>0</v>
      </c>
      <c r="D15" s="380">
        <v>100</v>
      </c>
      <c r="E15" s="381"/>
      <c r="F15" s="380">
        <f>SUMIF(83:83,E16,84:84)-SUMIF(83:83,C16,84:84)+100</f>
        <v>100</v>
      </c>
      <c r="G15" s="381"/>
      <c r="H15" s="380">
        <f>SUMIF(83:83,G16,84:84)-SUMIF(83:83,C16,84:84)+100</f>
        <v>100</v>
      </c>
      <c r="I15" s="383"/>
      <c r="J15" s="380">
        <f>SUMIF(83:83,I16,84:84)-SUMIF(83:83,C16,84:84)+100</f>
        <v>100</v>
      </c>
      <c r="K15" s="593">
        <v>4</v>
      </c>
      <c r="L15" s="2493"/>
      <c r="M15" s="2488"/>
      <c r="N15" s="2488"/>
      <c r="O15" s="2543"/>
      <c r="P15" s="3358" t="s">
        <v>1690</v>
      </c>
      <c r="Q15" s="1263" t="str">
        <f t="shared" si="6"/>
        <v>产业集聚程度</v>
      </c>
      <c r="R15" s="667" t="s">
        <v>14</v>
      </c>
      <c r="S15" s="668">
        <f t="shared" si="0"/>
        <v>100</v>
      </c>
      <c r="T15" s="667" t="s">
        <v>14</v>
      </c>
      <c r="U15" s="668">
        <f t="shared" si="1"/>
        <v>100</v>
      </c>
      <c r="V15" s="667" t="s">
        <v>14</v>
      </c>
      <c r="W15" s="668">
        <f t="shared" si="2"/>
        <v>100</v>
      </c>
      <c r="X15" s="1265"/>
      <c r="Y15" s="3358" t="s">
        <v>1690</v>
      </c>
      <c r="Z15" s="1264" t="str">
        <f t="shared" si="7"/>
        <v>产业集聚程度</v>
      </c>
      <c r="AA15" s="1264">
        <f t="shared" si="3"/>
        <v>1</v>
      </c>
      <c r="AB15" s="1264">
        <f t="shared" si="4"/>
        <v>1</v>
      </c>
      <c r="AC15" s="1264">
        <f t="shared" si="5"/>
        <v>1</v>
      </c>
    </row>
    <row r="16" spans="1:29" ht="15">
      <c r="A16" s="367"/>
      <c r="B16" s="555"/>
      <c r="C16" s="386" t="s">
        <v>3472</v>
      </c>
      <c r="D16" s="387"/>
      <c r="E16" s="1758" t="s">
        <v>3472</v>
      </c>
      <c r="F16" s="387"/>
      <c r="G16" s="1758" t="s">
        <v>3472</v>
      </c>
      <c r="H16" s="389"/>
      <c r="I16" s="1758" t="s">
        <v>3472</v>
      </c>
      <c r="J16" s="387"/>
      <c r="K16" s="592"/>
      <c r="L16" s="2493"/>
      <c r="M16" s="2488"/>
      <c r="N16" s="2488"/>
      <c r="O16" s="2543"/>
      <c r="P16" s="3359"/>
      <c r="Q16" s="1263"/>
      <c r="R16" s="667"/>
      <c r="S16" s="668"/>
      <c r="T16" s="667"/>
      <c r="U16" s="668"/>
      <c r="V16" s="667"/>
      <c r="W16" s="668"/>
      <c r="X16" s="1265"/>
      <c r="Y16" s="3359"/>
      <c r="Z16" s="1264"/>
      <c r="AA16" s="1264">
        <v>1</v>
      </c>
      <c r="AB16" s="1264">
        <v>1</v>
      </c>
      <c r="AC16" s="1264">
        <v>1</v>
      </c>
    </row>
    <row r="17" spans="1:29" ht="15">
      <c r="A17" s="367"/>
      <c r="B17" s="556" t="s">
        <v>1832</v>
      </c>
      <c r="C17" s="1754">
        <f>估价对象房地状况!G16</f>
        <v>0</v>
      </c>
      <c r="D17" s="389">
        <v>100</v>
      </c>
      <c r="E17" s="391"/>
      <c r="F17" s="394">
        <f>SUMIF(85:85,E18,86:86)-SUMIF(85:85,C18,86:86)+100</f>
        <v>100</v>
      </c>
      <c r="G17" s="391"/>
      <c r="H17" s="394">
        <f>SUMIF(85:85,G18,86:86)-SUMIF(85:85,C18,86:86)+100</f>
        <v>100</v>
      </c>
      <c r="I17" s="391"/>
      <c r="J17" s="389">
        <f>SUMIF(85:85,I18,86:86)-SUMIF(85:85,C18,86:86)+100</f>
        <v>100</v>
      </c>
      <c r="K17" s="593">
        <v>4</v>
      </c>
      <c r="L17" s="2493"/>
      <c r="M17" s="2488"/>
      <c r="N17" s="2488"/>
      <c r="O17" s="2543"/>
      <c r="P17" s="3359"/>
      <c r="Q17" s="1263" t="str">
        <f>B17</f>
        <v>交通便捷度</v>
      </c>
      <c r="R17" s="667" t="s">
        <v>14</v>
      </c>
      <c r="S17" s="668">
        <f>F17</f>
        <v>100</v>
      </c>
      <c r="T17" s="667" t="s">
        <v>14</v>
      </c>
      <c r="U17" s="668">
        <f>H17</f>
        <v>100</v>
      </c>
      <c r="V17" s="667" t="s">
        <v>14</v>
      </c>
      <c r="W17" s="668">
        <f>J17</f>
        <v>100</v>
      </c>
      <c r="X17" s="1265"/>
      <c r="Y17" s="3359"/>
      <c r="Z17" s="1264" t="str">
        <f>Q17</f>
        <v>交通便捷度</v>
      </c>
      <c r="AA17" s="1264">
        <f t="shared" si="3"/>
        <v>1</v>
      </c>
      <c r="AB17" s="1264">
        <f t="shared" si="4"/>
        <v>1</v>
      </c>
      <c r="AC17" s="1264">
        <f t="shared" si="5"/>
        <v>1</v>
      </c>
    </row>
    <row r="18" spans="1:29" ht="15">
      <c r="A18" s="367"/>
      <c r="B18" s="401"/>
      <c r="C18" s="386" t="s">
        <v>3473</v>
      </c>
      <c r="D18" s="387"/>
      <c r="E18" s="1752" t="s">
        <v>3473</v>
      </c>
      <c r="F18" s="387"/>
      <c r="G18" s="1752" t="s">
        <v>3473</v>
      </c>
      <c r="H18" s="387"/>
      <c r="I18" s="1752" t="s">
        <v>3473</v>
      </c>
      <c r="J18" s="387"/>
      <c r="K18" s="592"/>
      <c r="L18" s="2493"/>
      <c r="M18" s="2488"/>
      <c r="N18" s="2488"/>
      <c r="O18" s="2543"/>
      <c r="P18" s="3359"/>
      <c r="Q18" s="1263"/>
      <c r="R18" s="667"/>
      <c r="S18" s="668"/>
      <c r="T18" s="667"/>
      <c r="U18" s="668"/>
      <c r="V18" s="667"/>
      <c r="W18" s="668"/>
      <c r="X18" s="1265"/>
      <c r="Y18" s="3359"/>
      <c r="Z18" s="1264"/>
      <c r="AA18" s="1264">
        <v>1</v>
      </c>
      <c r="AB18" s="1264">
        <v>1</v>
      </c>
      <c r="AC18" s="1264">
        <v>1</v>
      </c>
    </row>
    <row r="19" spans="1:29" ht="15">
      <c r="A19" s="367"/>
      <c r="B19" s="556" t="s">
        <v>1870</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v>3</v>
      </c>
      <c r="L19" s="2493"/>
      <c r="M19" s="2488"/>
      <c r="N19" s="2488"/>
      <c r="O19" s="2543"/>
      <c r="P19" s="3359"/>
      <c r="Q19" s="1263" t="str">
        <f t="shared" ref="Q19:Q33" si="8">B19</f>
        <v>区域土地利用方向</v>
      </c>
      <c r="R19" s="667" t="s">
        <v>14</v>
      </c>
      <c r="S19" s="668">
        <f>F19</f>
        <v>100</v>
      </c>
      <c r="T19" s="667" t="s">
        <v>14</v>
      </c>
      <c r="U19" s="668">
        <f>H19</f>
        <v>100</v>
      </c>
      <c r="V19" s="667" t="s">
        <v>14</v>
      </c>
      <c r="W19" s="668">
        <f>J19</f>
        <v>100</v>
      </c>
      <c r="X19" s="1265"/>
      <c r="Y19" s="3359"/>
      <c r="Z19" s="1264" t="str">
        <f>Q19</f>
        <v>区域土地利用方向</v>
      </c>
      <c r="AA19" s="1264">
        <f t="shared" si="3"/>
        <v>1</v>
      </c>
      <c r="AB19" s="1264">
        <f t="shared" si="4"/>
        <v>1</v>
      </c>
      <c r="AC19" s="1264">
        <f t="shared" si="5"/>
        <v>1</v>
      </c>
    </row>
    <row r="20" spans="1:29" ht="15">
      <c r="A20" s="348"/>
      <c r="B20" s="401"/>
      <c r="C20" s="386" t="s">
        <v>3472</v>
      </c>
      <c r="D20" s="387"/>
      <c r="E20" s="1752" t="s">
        <v>3472</v>
      </c>
      <c r="F20" s="387"/>
      <c r="G20" s="1752" t="s">
        <v>3472</v>
      </c>
      <c r="H20" s="387"/>
      <c r="I20" s="1752" t="s">
        <v>3472</v>
      </c>
      <c r="J20" s="387"/>
      <c r="K20" s="698"/>
      <c r="L20" s="2493"/>
      <c r="M20" s="2488"/>
      <c r="N20" s="2488"/>
      <c r="O20" s="2543"/>
      <c r="P20" s="3359"/>
      <c r="Q20" s="1263"/>
      <c r="R20" s="667"/>
      <c r="S20" s="668"/>
      <c r="T20" s="667"/>
      <c r="U20" s="668"/>
      <c r="V20" s="667"/>
      <c r="W20" s="668"/>
      <c r="X20" s="1265"/>
      <c r="Y20" s="3359"/>
      <c r="Z20" s="1264"/>
      <c r="AA20" s="1264"/>
      <c r="AB20" s="1264"/>
      <c r="AC20" s="1264"/>
    </row>
    <row r="21" spans="1:29" ht="15">
      <c r="A21" s="348"/>
      <c r="B21" s="556" t="s">
        <v>1920</v>
      </c>
      <c r="C21" s="1754">
        <f>估价对象房地状况!G18</f>
        <v>0</v>
      </c>
      <c r="D21" s="389">
        <v>100</v>
      </c>
      <c r="E21" s="391"/>
      <c r="F21" s="389">
        <f>SUMIF(89:89,E22,90:90)-SUMIF(89:89,C22,90:90)+100</f>
        <v>100</v>
      </c>
      <c r="G21" s="391"/>
      <c r="H21" s="389">
        <f>SUMIF(89:89,G22,90:90)-SUMIF(89:89,C22,90:90)+100</f>
        <v>100</v>
      </c>
      <c r="I21" s="391"/>
      <c r="J21" s="389">
        <f>SUMIF(89:89,I22,90:90)-SUMIF(89:89,C22,90:90)+100</f>
        <v>100</v>
      </c>
      <c r="K21" s="593">
        <v>4</v>
      </c>
      <c r="L21" s="2493"/>
      <c r="M21" s="2488"/>
      <c r="N21" s="2488"/>
      <c r="O21" s="2543"/>
      <c r="P21" s="3359"/>
      <c r="Q21" s="1263" t="str">
        <f t="shared" si="8"/>
        <v>环境状况</v>
      </c>
      <c r="R21" s="667" t="s">
        <v>14</v>
      </c>
      <c r="S21" s="668">
        <f>F21</f>
        <v>100</v>
      </c>
      <c r="T21" s="667" t="s">
        <v>14</v>
      </c>
      <c r="U21" s="668">
        <f>H21</f>
        <v>100</v>
      </c>
      <c r="V21" s="667" t="s">
        <v>14</v>
      </c>
      <c r="W21" s="668">
        <f>J21</f>
        <v>100</v>
      </c>
      <c r="X21" s="1265"/>
      <c r="Y21" s="3359"/>
      <c r="Z21" s="1264" t="str">
        <f>Q21</f>
        <v>环境状况</v>
      </c>
      <c r="AA21" s="1264">
        <f t="shared" si="3"/>
        <v>1</v>
      </c>
      <c r="AB21" s="1264">
        <f t="shared" si="4"/>
        <v>1</v>
      </c>
      <c r="AC21" s="1264">
        <f t="shared" si="5"/>
        <v>1</v>
      </c>
    </row>
    <row r="22" spans="1:29" ht="15">
      <c r="A22" s="348"/>
      <c r="B22" s="401"/>
      <c r="C22" s="386" t="s">
        <v>3473</v>
      </c>
      <c r="D22" s="387"/>
      <c r="E22" s="1758" t="s">
        <v>3473</v>
      </c>
      <c r="F22" s="387"/>
      <c r="G22" s="1758" t="s">
        <v>3473</v>
      </c>
      <c r="H22" s="387"/>
      <c r="I22" s="1758" t="s">
        <v>3473</v>
      </c>
      <c r="J22" s="387"/>
      <c r="K22" s="592"/>
      <c r="L22" s="2493"/>
      <c r="M22" s="2488"/>
      <c r="N22" s="2488"/>
      <c r="O22" s="2543"/>
      <c r="P22" s="3359"/>
      <c r="Q22" s="1263"/>
      <c r="R22" s="667"/>
      <c r="S22" s="668"/>
      <c r="T22" s="667"/>
      <c r="U22" s="668"/>
      <c r="V22" s="667"/>
      <c r="W22" s="668"/>
      <c r="X22" s="1265"/>
      <c r="Y22" s="3359"/>
      <c r="Z22" s="1264"/>
      <c r="AA22" s="1264">
        <v>1</v>
      </c>
      <c r="AB22" s="1264">
        <v>1</v>
      </c>
      <c r="AC22" s="1264">
        <v>1</v>
      </c>
    </row>
    <row r="23" spans="1:29" s="102" customFormat="1" ht="15">
      <c r="A23" s="443"/>
      <c r="B23" s="557" t="s">
        <v>1777</v>
      </c>
      <c r="C23" s="1754">
        <f>估价对象房地状况!G19</f>
        <v>0</v>
      </c>
      <c r="D23" s="389">
        <v>100</v>
      </c>
      <c r="E23" s="391"/>
      <c r="F23" s="389">
        <f>SUMIF(91:91,E24,92:92)-SUMIF(91:91,C24,92:92)+100</f>
        <v>104</v>
      </c>
      <c r="G23" s="391"/>
      <c r="H23" s="389">
        <f>SUMIF(91:91,G24,92:92)-SUMIF(91:91,C24,92:92)+100</f>
        <v>104</v>
      </c>
      <c r="I23" s="391"/>
      <c r="J23" s="389">
        <f>SUMIF(91:91,I24,92:92)-SUMIF(91:91,C24,92:92)+100</f>
        <v>104</v>
      </c>
      <c r="K23" s="593">
        <v>4</v>
      </c>
      <c r="L23" s="2489"/>
      <c r="M23" s="2440"/>
      <c r="N23" s="2440"/>
      <c r="O23" s="2541"/>
      <c r="P23" s="3359"/>
      <c r="Q23" s="530" t="str">
        <f t="shared" si="8"/>
        <v>公共配套设施</v>
      </c>
      <c r="R23" s="664" t="s">
        <v>14</v>
      </c>
      <c r="S23" s="665">
        <f>F23</f>
        <v>104</v>
      </c>
      <c r="T23" s="664" t="s">
        <v>14</v>
      </c>
      <c r="U23" s="665">
        <f>H23</f>
        <v>104</v>
      </c>
      <c r="V23" s="664" t="s">
        <v>14</v>
      </c>
      <c r="W23" s="665">
        <f>J23</f>
        <v>104</v>
      </c>
      <c r="X23" s="666"/>
      <c r="Y23" s="3359"/>
      <c r="Z23" s="50" t="str">
        <f>Q23</f>
        <v>公共配套设施</v>
      </c>
      <c r="AA23" s="1264">
        <f>D23/F23</f>
        <v>0.96153846153846156</v>
      </c>
      <c r="AB23" s="1264">
        <f>D23/H23</f>
        <v>0.96153846153846156</v>
      </c>
      <c r="AC23" s="1264">
        <f>D23/J23</f>
        <v>0.96153846153846156</v>
      </c>
    </row>
    <row r="24" spans="1:29" s="102" customFormat="1" ht="15">
      <c r="A24" s="443"/>
      <c r="B24" s="401"/>
      <c r="C24" s="1826" t="s">
        <v>3473</v>
      </c>
      <c r="D24" s="387"/>
      <c r="E24" s="1758" t="s">
        <v>3472</v>
      </c>
      <c r="F24" s="387"/>
      <c r="G24" s="1758" t="s">
        <v>3472</v>
      </c>
      <c r="H24" s="387"/>
      <c r="I24" s="1758" t="s">
        <v>3472</v>
      </c>
      <c r="J24" s="387"/>
      <c r="K24" s="592"/>
      <c r="L24" s="2489"/>
      <c r="M24" s="2440"/>
      <c r="N24" s="2440"/>
      <c r="O24" s="2541"/>
      <c r="P24" s="3359"/>
      <c r="Q24" s="530"/>
      <c r="R24" s="664"/>
      <c r="S24" s="665"/>
      <c r="T24" s="664"/>
      <c r="U24" s="665"/>
      <c r="V24" s="664"/>
      <c r="W24" s="665"/>
      <c r="X24" s="666"/>
      <c r="Y24" s="3359"/>
      <c r="Z24" s="50"/>
      <c r="AA24" s="50">
        <v>1</v>
      </c>
      <c r="AB24" s="50">
        <v>1</v>
      </c>
      <c r="AC24" s="50">
        <v>1</v>
      </c>
    </row>
    <row r="25" spans="1:29" s="102" customFormat="1" ht="15">
      <c r="A25" s="443"/>
      <c r="B25" s="557" t="s">
        <v>1778</v>
      </c>
      <c r="C25" s="1754">
        <f>估价对象房地状况!G20</f>
        <v>0</v>
      </c>
      <c r="D25" s="389">
        <v>100</v>
      </c>
      <c r="E25" s="391"/>
      <c r="F25" s="389">
        <f>SUMIF(93:93,E26,94:94)-SUMIF(93:93,C26,94:94)+100</f>
        <v>100</v>
      </c>
      <c r="G25" s="391"/>
      <c r="H25" s="389">
        <f>SUMIF(93:93,G26,94:94)-SUMIF(93:93,C26,94:94)+100</f>
        <v>100</v>
      </c>
      <c r="I25" s="391"/>
      <c r="J25" s="389">
        <f>SUMIF(93:93,I26,94:94)-SUMIF(93:93,C26,94:94)+100</f>
        <v>100</v>
      </c>
      <c r="K25" s="593">
        <v>2</v>
      </c>
      <c r="L25" s="2489"/>
      <c r="M25" s="2440"/>
      <c r="N25" s="2440"/>
      <c r="O25" s="2541"/>
      <c r="P25" s="3359"/>
      <c r="Q25" s="530" t="str">
        <f t="shared" ref="Q25" si="9">B25</f>
        <v>基础设施水平</v>
      </c>
      <c r="R25" s="664" t="s">
        <v>14</v>
      </c>
      <c r="S25" s="665">
        <f>F25</f>
        <v>100</v>
      </c>
      <c r="T25" s="664" t="s">
        <v>14</v>
      </c>
      <c r="U25" s="665">
        <f>H25</f>
        <v>100</v>
      </c>
      <c r="V25" s="664" t="s">
        <v>14</v>
      </c>
      <c r="W25" s="665">
        <f>J25</f>
        <v>100</v>
      </c>
      <c r="X25" s="666"/>
      <c r="Y25" s="3359"/>
      <c r="Z25" s="50" t="str">
        <f>Q25</f>
        <v>基础设施水平</v>
      </c>
      <c r="AA25" s="1264">
        <f>D25/F25</f>
        <v>1</v>
      </c>
      <c r="AB25" s="1264">
        <f>D25/H25</f>
        <v>1</v>
      </c>
      <c r="AC25" s="1264">
        <f>D25/J25</f>
        <v>1</v>
      </c>
    </row>
    <row r="26" spans="1:29" s="102" customFormat="1" ht="15.75" thickBot="1">
      <c r="A26" s="443"/>
      <c r="B26" s="401"/>
      <c r="C26" s="1826" t="s">
        <v>3474</v>
      </c>
      <c r="D26" s="387"/>
      <c r="E26" s="1827" t="s">
        <v>3474</v>
      </c>
      <c r="F26" s="387"/>
      <c r="G26" s="1827" t="s">
        <v>3474</v>
      </c>
      <c r="H26" s="387"/>
      <c r="I26" s="1827" t="s">
        <v>3474</v>
      </c>
      <c r="J26" s="387"/>
      <c r="K26" s="592"/>
      <c r="L26" s="2489"/>
      <c r="M26" s="2440"/>
      <c r="N26" s="2440"/>
      <c r="O26" s="2541"/>
      <c r="P26" s="3359"/>
      <c r="Q26" s="530"/>
      <c r="R26" s="664"/>
      <c r="S26" s="665"/>
      <c r="T26" s="664"/>
      <c r="U26" s="665"/>
      <c r="V26" s="664"/>
      <c r="W26" s="665"/>
      <c r="X26" s="666"/>
      <c r="Y26" s="3359"/>
      <c r="Z26" s="50"/>
      <c r="AA26" s="50">
        <v>1</v>
      </c>
      <c r="AB26" s="50">
        <v>1</v>
      </c>
      <c r="AC26" s="50">
        <v>1</v>
      </c>
    </row>
    <row r="27" spans="1:29" ht="15" hidden="1">
      <c r="A27" s="367"/>
      <c r="B27" s="401" t="s">
        <v>1779</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359"/>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59"/>
      <c r="Z27" s="1264" t="str">
        <f t="shared" ref="Z27:Z40" si="13">Q27</f>
        <v>临街状况</v>
      </c>
      <c r="AA27" s="1264">
        <f t="shared" si="3"/>
        <v>1</v>
      </c>
      <c r="AB27" s="1264">
        <f t="shared" si="4"/>
        <v>1</v>
      </c>
      <c r="AC27" s="1264">
        <f t="shared" si="5"/>
        <v>1</v>
      </c>
    </row>
    <row r="28" spans="1:29" ht="27" hidden="1">
      <c r="A28" s="367"/>
      <c r="B28" s="557" t="s">
        <v>1814</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359"/>
      <c r="Q28" s="1263" t="str">
        <f t="shared" si="8"/>
        <v>毗邻道路的类型与等级</v>
      </c>
      <c r="R28" s="667" t="s">
        <v>14</v>
      </c>
      <c r="S28" s="668">
        <f t="shared" si="10"/>
        <v>100</v>
      </c>
      <c r="T28" s="667" t="s">
        <v>14</v>
      </c>
      <c r="U28" s="668">
        <f t="shared" si="11"/>
        <v>100</v>
      </c>
      <c r="V28" s="667" t="s">
        <v>14</v>
      </c>
      <c r="W28" s="668">
        <f t="shared" si="12"/>
        <v>100</v>
      </c>
      <c r="X28" s="1265"/>
      <c r="Y28" s="3359"/>
      <c r="Z28" s="1264" t="str">
        <f t="shared" si="13"/>
        <v>毗邻道路的类型与等级</v>
      </c>
      <c r="AA28" s="1264">
        <f t="shared" si="3"/>
        <v>1</v>
      </c>
      <c r="AB28" s="1264">
        <f t="shared" si="4"/>
        <v>1</v>
      </c>
      <c r="AC28" s="1264">
        <f t="shared" si="5"/>
        <v>1</v>
      </c>
    </row>
    <row r="29" spans="1:29" ht="15" hidden="1">
      <c r="A29" s="367"/>
      <c r="B29" s="401"/>
      <c r="C29" s="386"/>
      <c r="D29" s="387"/>
      <c r="E29" s="1758"/>
      <c r="F29" s="387"/>
      <c r="G29" s="1758"/>
      <c r="H29" s="387"/>
      <c r="I29" s="1758"/>
      <c r="J29" s="387"/>
      <c r="K29" s="539"/>
      <c r="L29" s="2493"/>
      <c r="M29" s="2488"/>
      <c r="N29" s="2488"/>
      <c r="O29" s="2543"/>
      <c r="P29" s="3359"/>
      <c r="Q29" s="1263"/>
      <c r="R29" s="667"/>
      <c r="S29" s="668"/>
      <c r="T29" s="667"/>
      <c r="U29" s="668"/>
      <c r="V29" s="667"/>
      <c r="W29" s="668"/>
      <c r="X29" s="1265"/>
      <c r="Y29" s="3359"/>
      <c r="Z29" s="1264"/>
      <c r="AA29" s="1264">
        <v>1</v>
      </c>
      <c r="AB29" s="1264">
        <v>1</v>
      </c>
      <c r="AC29" s="1264">
        <v>1</v>
      </c>
    </row>
    <row r="30" spans="1:29" ht="15" hidden="1">
      <c r="A30" s="367"/>
      <c r="B30" s="119" t="s">
        <v>1872</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359"/>
      <c r="Q30" s="1263" t="str">
        <f t="shared" si="8"/>
        <v>土地级别</v>
      </c>
      <c r="R30" s="667" t="s">
        <v>14</v>
      </c>
      <c r="S30" s="668">
        <f t="shared" si="10"/>
        <v>100</v>
      </c>
      <c r="T30" s="667" t="s">
        <v>14</v>
      </c>
      <c r="U30" s="668">
        <f t="shared" si="11"/>
        <v>100</v>
      </c>
      <c r="V30" s="667" t="s">
        <v>14</v>
      </c>
      <c r="W30" s="668">
        <f t="shared" si="12"/>
        <v>100</v>
      </c>
      <c r="X30" s="1265"/>
      <c r="Y30" s="3359"/>
      <c r="Z30" s="1264" t="str">
        <f t="shared" si="13"/>
        <v>土地级别</v>
      </c>
      <c r="AA30" s="1264">
        <f t="shared" si="3"/>
        <v>1</v>
      </c>
      <c r="AB30" s="1264">
        <f t="shared" si="4"/>
        <v>1</v>
      </c>
      <c r="AC30" s="1264">
        <f t="shared" si="5"/>
        <v>1</v>
      </c>
    </row>
    <row r="31" spans="1:29" ht="15" hidden="1">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359"/>
      <c r="Q31" s="1263">
        <f t="shared" si="8"/>
        <v>111</v>
      </c>
      <c r="R31" s="667" t="s">
        <v>14</v>
      </c>
      <c r="S31" s="668">
        <f t="shared" si="10"/>
        <v>100</v>
      </c>
      <c r="T31" s="667" t="s">
        <v>14</v>
      </c>
      <c r="U31" s="668">
        <f t="shared" si="11"/>
        <v>100</v>
      </c>
      <c r="V31" s="667" t="s">
        <v>14</v>
      </c>
      <c r="W31" s="668">
        <f t="shared" si="12"/>
        <v>100</v>
      </c>
      <c r="X31" s="1265"/>
      <c r="Y31" s="3359"/>
      <c r="Z31" s="1264">
        <f t="shared" si="13"/>
        <v>111</v>
      </c>
      <c r="AA31" s="1264">
        <f t="shared" si="3"/>
        <v>1</v>
      </c>
      <c r="AB31" s="1264">
        <f t="shared" si="4"/>
        <v>1</v>
      </c>
      <c r="AC31" s="1264">
        <f t="shared" si="5"/>
        <v>1</v>
      </c>
    </row>
    <row r="32" spans="1:29" ht="15" hidden="1">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375" t="s">
        <v>1695</v>
      </c>
      <c r="Q32" s="1263">
        <f t="shared" si="8"/>
        <v>111</v>
      </c>
      <c r="R32" s="667" t="s">
        <v>14</v>
      </c>
      <c r="S32" s="668">
        <f t="shared" si="10"/>
        <v>100</v>
      </c>
      <c r="T32" s="667" t="s">
        <v>14</v>
      </c>
      <c r="U32" s="668">
        <f t="shared" si="11"/>
        <v>100</v>
      </c>
      <c r="V32" s="667" t="s">
        <v>14</v>
      </c>
      <c r="W32" s="668">
        <f t="shared" si="12"/>
        <v>100</v>
      </c>
      <c r="X32" s="1265"/>
      <c r="Y32" s="3360" t="s">
        <v>1695</v>
      </c>
      <c r="Z32" s="1264">
        <f t="shared" si="13"/>
        <v>111</v>
      </c>
      <c r="AA32" s="1264">
        <f t="shared" si="3"/>
        <v>1</v>
      </c>
      <c r="AB32" s="1264">
        <f t="shared" si="4"/>
        <v>1</v>
      </c>
      <c r="AC32" s="1264">
        <f t="shared" si="5"/>
        <v>1</v>
      </c>
    </row>
    <row r="33" spans="1:31" s="408" customFormat="1" ht="15.75" hidden="1"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360"/>
      <c r="Q33" s="1263">
        <f t="shared" si="8"/>
        <v>111</v>
      </c>
      <c r="R33" s="669" t="s">
        <v>14</v>
      </c>
      <c r="S33" s="670">
        <f t="shared" si="10"/>
        <v>100</v>
      </c>
      <c r="T33" s="669" t="s">
        <v>14</v>
      </c>
      <c r="U33" s="670">
        <f t="shared" si="11"/>
        <v>100</v>
      </c>
      <c r="V33" s="669" t="s">
        <v>14</v>
      </c>
      <c r="W33" s="670">
        <f t="shared" si="12"/>
        <v>100</v>
      </c>
      <c r="X33" s="671"/>
      <c r="Y33" s="3360"/>
      <c r="Z33" s="672">
        <f t="shared" si="13"/>
        <v>111</v>
      </c>
      <c r="AA33" s="1264">
        <f t="shared" si="3"/>
        <v>1</v>
      </c>
      <c r="AB33" s="1264">
        <f t="shared" si="4"/>
        <v>1</v>
      </c>
      <c r="AC33" s="1264">
        <f t="shared" si="5"/>
        <v>1</v>
      </c>
    </row>
    <row r="34" spans="1:31" ht="15">
      <c r="A34" s="379" t="s">
        <v>1693</v>
      </c>
      <c r="B34" s="395" t="s">
        <v>1873</v>
      </c>
      <c r="C34" s="599">
        <f>'数据-基础表'!A3</f>
        <v>30911.9</v>
      </c>
      <c r="D34" s="405">
        <v>100</v>
      </c>
      <c r="E34" s="599">
        <f>土地案例!D7</f>
        <v>21884.6</v>
      </c>
      <c r="F34" s="405">
        <f>LOOKUP(E34,108:108,109:109)-LOOKUP(C34,108:108,109:109)+100</f>
        <v>100</v>
      </c>
      <c r="G34" s="599">
        <f>土地案例!E8</f>
        <v>3900</v>
      </c>
      <c r="H34" s="405">
        <f>LOOKUP(G34,108:108,109:109)-LOOKUP(C34,108:108,109:109)+100</f>
        <v>98</v>
      </c>
      <c r="I34" s="462">
        <f>土地案例!E9</f>
        <v>11259.75</v>
      </c>
      <c r="J34" s="405">
        <f>LOOKUP(I34,108:108,109:109)-LOOKUP(C34,108:108,109:109)+100</f>
        <v>99</v>
      </c>
      <c r="K34" s="539"/>
      <c r="L34" s="2493"/>
      <c r="M34" s="2488"/>
      <c r="N34" s="2488"/>
      <c r="O34" s="2543"/>
      <c r="P34" s="3360"/>
      <c r="Q34" s="1263" t="str">
        <f>B34</f>
        <v>宗地面积</v>
      </c>
      <c r="R34" s="667" t="s">
        <v>14</v>
      </c>
      <c r="S34" s="668">
        <f t="shared" si="10"/>
        <v>100</v>
      </c>
      <c r="T34" s="667" t="s">
        <v>14</v>
      </c>
      <c r="U34" s="668">
        <f t="shared" si="11"/>
        <v>98</v>
      </c>
      <c r="V34" s="667" t="s">
        <v>14</v>
      </c>
      <c r="W34" s="668">
        <f t="shared" si="12"/>
        <v>99</v>
      </c>
      <c r="X34" s="1265"/>
      <c r="Y34" s="3360"/>
      <c r="Z34" s="1264" t="str">
        <f t="shared" si="13"/>
        <v>宗地面积</v>
      </c>
      <c r="AA34" s="1264">
        <f t="shared" si="3"/>
        <v>1</v>
      </c>
      <c r="AB34" s="1264">
        <f t="shared" si="4"/>
        <v>1.0204081632653061</v>
      </c>
      <c r="AC34" s="1264">
        <f t="shared" si="5"/>
        <v>1.0101010101010102</v>
      </c>
    </row>
    <row r="35" spans="1:31" ht="15">
      <c r="A35" s="409"/>
      <c r="B35" s="364" t="s">
        <v>1874</v>
      </c>
      <c r="C35" s="3151" t="s">
        <v>3475</v>
      </c>
      <c r="D35" s="374">
        <v>100</v>
      </c>
      <c r="E35" s="3151" t="s">
        <v>3475</v>
      </c>
      <c r="F35" s="374">
        <f>SUMIF(110:110,E35,111:111)-SUMIF(110:110,C35,111:111)+100</f>
        <v>100</v>
      </c>
      <c r="G35" s="3151" t="s">
        <v>3475</v>
      </c>
      <c r="H35" s="374">
        <f>SUMIF(110:110,G35,111:111)-SUMIF(110:110,C35,111:111)+100</f>
        <v>100</v>
      </c>
      <c r="I35" s="3151" t="s">
        <v>3475</v>
      </c>
      <c r="J35" s="374">
        <f>SUMIF(110:110,I35,111:111)-SUMIF(110:110,C35,111:111)+100</f>
        <v>100</v>
      </c>
      <c r="K35" s="538">
        <v>2</v>
      </c>
      <c r="L35" s="2493"/>
      <c r="M35" s="2488"/>
      <c r="N35" s="2488"/>
      <c r="O35" s="2543"/>
      <c r="P35" s="3360"/>
      <c r="Q35" s="1263" t="str">
        <f t="shared" ref="Q35:Q40" si="14">B35</f>
        <v>宗地形状</v>
      </c>
      <c r="R35" s="667" t="s">
        <v>14</v>
      </c>
      <c r="S35" s="668">
        <f t="shared" si="10"/>
        <v>100</v>
      </c>
      <c r="T35" s="667" t="s">
        <v>14</v>
      </c>
      <c r="U35" s="668">
        <f t="shared" si="11"/>
        <v>100</v>
      </c>
      <c r="V35" s="667" t="s">
        <v>14</v>
      </c>
      <c r="W35" s="668">
        <f t="shared" si="12"/>
        <v>100</v>
      </c>
      <c r="X35" s="1265"/>
      <c r="Y35" s="3360"/>
      <c r="Z35" s="1264" t="str">
        <f t="shared" si="13"/>
        <v>宗地形状</v>
      </c>
      <c r="AA35" s="1264">
        <f t="shared" si="3"/>
        <v>1</v>
      </c>
      <c r="AB35" s="1264">
        <f t="shared" si="4"/>
        <v>1</v>
      </c>
      <c r="AC35" s="1264">
        <f t="shared" si="5"/>
        <v>1</v>
      </c>
    </row>
    <row r="36" spans="1:31" s="102" customFormat="1" ht="15">
      <c r="A36" s="410"/>
      <c r="B36" s="364" t="s">
        <v>1876</v>
      </c>
      <c r="C36" s="3152" t="s">
        <v>3476</v>
      </c>
      <c r="D36" s="119">
        <v>100</v>
      </c>
      <c r="E36" s="3152" t="s">
        <v>3476</v>
      </c>
      <c r="F36" s="374">
        <f>SUMIF(112:112,E36,113:113)-SUMIF(112:112,C36,113:113)+100</f>
        <v>100</v>
      </c>
      <c r="G36" s="3152" t="s">
        <v>3476</v>
      </c>
      <c r="H36" s="374">
        <f>SUMIF(112:112,G36,113:113)-SUMIF(112:112,C36,113:113)+100</f>
        <v>100</v>
      </c>
      <c r="I36" s="3152" t="s">
        <v>3476</v>
      </c>
      <c r="J36" s="374">
        <f>SUMIF(112:112,I36,113:113)-SUMIF(112:112,C36,113:113)+100</f>
        <v>100</v>
      </c>
      <c r="K36" s="538">
        <v>2</v>
      </c>
      <c r="L36" s="2489"/>
      <c r="M36" s="2440"/>
      <c r="N36" s="2440"/>
      <c r="O36" s="2541"/>
      <c r="P36" s="3360"/>
      <c r="Q36" s="1263" t="str">
        <f t="shared" si="14"/>
        <v>宗地开发程度</v>
      </c>
      <c r="R36" s="664" t="s">
        <v>14</v>
      </c>
      <c r="S36" s="665">
        <f t="shared" si="10"/>
        <v>100</v>
      </c>
      <c r="T36" s="664" t="s">
        <v>14</v>
      </c>
      <c r="U36" s="665">
        <f t="shared" si="11"/>
        <v>100</v>
      </c>
      <c r="V36" s="664" t="s">
        <v>14</v>
      </c>
      <c r="W36" s="665">
        <f t="shared" si="12"/>
        <v>100</v>
      </c>
      <c r="X36" s="666"/>
      <c r="Y36" s="3360"/>
      <c r="Z36" s="50" t="str">
        <f t="shared" si="13"/>
        <v>宗地开发程度</v>
      </c>
      <c r="AA36" s="50">
        <f t="shared" si="3"/>
        <v>1</v>
      </c>
      <c r="AB36" s="50">
        <f t="shared" si="4"/>
        <v>1</v>
      </c>
      <c r="AC36" s="50">
        <f t="shared" si="5"/>
        <v>1</v>
      </c>
    </row>
    <row r="37" spans="1:31" ht="15.75" thickBot="1">
      <c r="A37" s="409"/>
      <c r="B37" s="364" t="s">
        <v>1877</v>
      </c>
      <c r="C37" s="3151" t="s">
        <v>3477</v>
      </c>
      <c r="D37" s="374">
        <v>100</v>
      </c>
      <c r="E37" s="3151" t="s">
        <v>3477</v>
      </c>
      <c r="F37" s="374">
        <f>SUMIF(114:114,E37,115:115)-SUMIF(114:114,C37,115:115)+100</f>
        <v>100</v>
      </c>
      <c r="G37" s="3151" t="s">
        <v>3477</v>
      </c>
      <c r="H37" s="374">
        <f>SUMIF(114:114,G37,115:115)-SUMIF(114:114,C37,115:115)+100</f>
        <v>100</v>
      </c>
      <c r="I37" s="3151" t="s">
        <v>3477</v>
      </c>
      <c r="J37" s="374">
        <f>SUMIF(114:114,I37,115:115)-SUMIF(114:114,C37,115:115)+100</f>
        <v>100</v>
      </c>
      <c r="K37" s="538">
        <v>2</v>
      </c>
      <c r="L37" s="2493"/>
      <c r="M37" s="2488"/>
      <c r="N37" s="2488"/>
      <c r="O37" s="2543"/>
      <c r="P37" s="3360" t="s">
        <v>1695</v>
      </c>
      <c r="Q37" s="1263" t="str">
        <f t="shared" si="14"/>
        <v>工程地质条件</v>
      </c>
      <c r="R37" s="667" t="s">
        <v>14</v>
      </c>
      <c r="S37" s="668">
        <f t="shared" si="10"/>
        <v>100</v>
      </c>
      <c r="T37" s="667" t="s">
        <v>14</v>
      </c>
      <c r="U37" s="668">
        <f t="shared" si="11"/>
        <v>100</v>
      </c>
      <c r="V37" s="667" t="s">
        <v>14</v>
      </c>
      <c r="W37" s="668">
        <f t="shared" si="12"/>
        <v>100</v>
      </c>
      <c r="X37" s="1265"/>
      <c r="Y37" s="3360" t="s">
        <v>1695</v>
      </c>
      <c r="Z37" s="1264" t="str">
        <f t="shared" si="13"/>
        <v>工程地质条件</v>
      </c>
      <c r="AA37" s="1264">
        <f t="shared" si="3"/>
        <v>1</v>
      </c>
      <c r="AB37" s="1264">
        <f t="shared" si="4"/>
        <v>1</v>
      </c>
      <c r="AC37" s="1264">
        <f t="shared" si="5"/>
        <v>1</v>
      </c>
    </row>
    <row r="38" spans="1:31" ht="15" hidden="1">
      <c r="A38" s="409"/>
      <c r="B38" s="1067"/>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360"/>
      <c r="Q38" s="1263">
        <f t="shared" si="14"/>
        <v>0</v>
      </c>
      <c r="R38" s="667" t="s">
        <v>14</v>
      </c>
      <c r="S38" s="668">
        <f t="shared" si="10"/>
        <v>100</v>
      </c>
      <c r="T38" s="667" t="s">
        <v>14</v>
      </c>
      <c r="U38" s="668">
        <f t="shared" si="11"/>
        <v>100</v>
      </c>
      <c r="V38" s="667" t="s">
        <v>14</v>
      </c>
      <c r="W38" s="668">
        <f t="shared" si="12"/>
        <v>100</v>
      </c>
      <c r="X38" s="1265"/>
      <c r="Y38" s="3360"/>
      <c r="Z38" s="1264">
        <f t="shared" si="13"/>
        <v>0</v>
      </c>
      <c r="AA38" s="1264">
        <f t="shared" si="3"/>
        <v>1</v>
      </c>
      <c r="AB38" s="1264">
        <f t="shared" si="4"/>
        <v>1</v>
      </c>
      <c r="AC38" s="1264">
        <f t="shared" si="5"/>
        <v>1</v>
      </c>
    </row>
    <row r="39" spans="1:31" ht="15" hidden="1">
      <c r="A39" s="409"/>
      <c r="B39" s="1067"/>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360"/>
      <c r="Q39" s="1263">
        <f t="shared" si="14"/>
        <v>0</v>
      </c>
      <c r="R39" s="667" t="s">
        <v>14</v>
      </c>
      <c r="S39" s="668">
        <f t="shared" si="10"/>
        <v>100</v>
      </c>
      <c r="T39" s="667" t="s">
        <v>14</v>
      </c>
      <c r="U39" s="668">
        <f t="shared" si="11"/>
        <v>100</v>
      </c>
      <c r="V39" s="667" t="s">
        <v>14</v>
      </c>
      <c r="W39" s="668">
        <f t="shared" si="12"/>
        <v>100</v>
      </c>
      <c r="X39" s="1265"/>
      <c r="Y39" s="3360"/>
      <c r="Z39" s="1264">
        <f t="shared" si="13"/>
        <v>0</v>
      </c>
      <c r="AA39" s="1264">
        <f t="shared" si="3"/>
        <v>1</v>
      </c>
      <c r="AB39" s="1264">
        <f t="shared" si="4"/>
        <v>1</v>
      </c>
      <c r="AC39" s="1264">
        <f t="shared" si="5"/>
        <v>1</v>
      </c>
    </row>
    <row r="40" spans="1:31" s="408" customFormat="1" ht="15.75" hidden="1" thickBot="1">
      <c r="A40" s="406"/>
      <c r="B40" s="1067"/>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360"/>
      <c r="Q40" s="1263">
        <f t="shared" si="14"/>
        <v>0</v>
      </c>
      <c r="R40" s="669" t="s">
        <v>14</v>
      </c>
      <c r="S40" s="670">
        <f t="shared" si="10"/>
        <v>100</v>
      </c>
      <c r="T40" s="669" t="s">
        <v>14</v>
      </c>
      <c r="U40" s="670">
        <f t="shared" si="11"/>
        <v>100</v>
      </c>
      <c r="V40" s="669" t="s">
        <v>14</v>
      </c>
      <c r="W40" s="670">
        <f t="shared" si="12"/>
        <v>100</v>
      </c>
      <c r="X40" s="671"/>
      <c r="Y40" s="3360"/>
      <c r="Z40" s="672">
        <f t="shared" si="13"/>
        <v>0</v>
      </c>
      <c r="AA40" s="1264">
        <f t="shared" si="3"/>
        <v>1</v>
      </c>
      <c r="AB40" s="1264">
        <f t="shared" si="4"/>
        <v>1</v>
      </c>
      <c r="AC40" s="1264">
        <f t="shared" si="5"/>
        <v>1</v>
      </c>
    </row>
    <row r="41" spans="1:31" ht="15">
      <c r="A41" s="416" t="s">
        <v>1843</v>
      </c>
      <c r="B41" s="1830" t="s">
        <v>3417</v>
      </c>
      <c r="C41" s="602" t="s">
        <v>0</v>
      </c>
      <c r="D41" s="418"/>
      <c r="E41" s="419">
        <f>土地案例!N7</f>
        <v>1008</v>
      </c>
      <c r="F41" s="420"/>
      <c r="G41" s="421">
        <f>土地案例!N8</f>
        <v>946</v>
      </c>
      <c r="H41" s="422"/>
      <c r="I41" s="419">
        <f>土地案例!N9</f>
        <v>1008</v>
      </c>
      <c r="J41" s="422"/>
      <c r="K41" s="674"/>
      <c r="L41" s="2495"/>
      <c r="M41" s="2488"/>
      <c r="N41" s="2488"/>
      <c r="O41" s="2488"/>
      <c r="P41" s="3341" t="str">
        <f>A41</f>
        <v>成交单价</v>
      </c>
      <c r="Q41" s="3341"/>
      <c r="R41" s="3357">
        <f>E41</f>
        <v>1008</v>
      </c>
      <c r="S41" s="3357"/>
      <c r="T41" s="3357">
        <f>G41</f>
        <v>946</v>
      </c>
      <c r="U41" s="3357"/>
      <c r="V41" s="3357">
        <f>I41</f>
        <v>1008</v>
      </c>
      <c r="W41" s="3357"/>
      <c r="X41" s="385"/>
      <c r="Y41" s="673"/>
      <c r="Z41" s="385"/>
      <c r="AA41" s="385"/>
      <c r="AB41" s="385"/>
      <c r="AC41" s="385"/>
    </row>
    <row r="42" spans="1:31" ht="15.75" thickBot="1">
      <c r="A42" s="423" t="s">
        <v>1792</v>
      </c>
      <c r="B42" s="603"/>
      <c r="C42" s="426">
        <f>R43</f>
        <v>832</v>
      </c>
      <c r="D42" s="2141" t="s">
        <v>2136</v>
      </c>
      <c r="E42" s="426">
        <f>R42</f>
        <v>851</v>
      </c>
      <c r="F42" s="2142"/>
      <c r="G42" s="425">
        <f>T42</f>
        <v>776</v>
      </c>
      <c r="H42" s="2142"/>
      <c r="I42" s="426">
        <f>V42</f>
        <v>869</v>
      </c>
      <c r="J42" s="2142"/>
      <c r="K42" s="2144">
        <f>F42+H42+J42</f>
        <v>0</v>
      </c>
      <c r="L42" s="2495"/>
      <c r="M42" s="2488"/>
      <c r="N42" s="2488"/>
      <c r="O42" s="2488"/>
      <c r="P42" s="3341" t="str">
        <f>A42</f>
        <v>比较价值（元/平方米）</v>
      </c>
      <c r="Q42" s="3341"/>
      <c r="R42" s="3379">
        <f>ROUND(PRODUCT(R41,AA7:AA40),0)</f>
        <v>851</v>
      </c>
      <c r="S42" s="3379"/>
      <c r="T42" s="3379">
        <f>ROUND(PRODUCT(T41,AB7:AB40),0)</f>
        <v>776</v>
      </c>
      <c r="U42" s="3379"/>
      <c r="V42" s="3379">
        <f>ROUND(PRODUCT(V41,AC7:AC40),0)</f>
        <v>869</v>
      </c>
      <c r="W42" s="3379"/>
      <c r="X42" s="385"/>
      <c r="Y42" s="385"/>
      <c r="Z42" s="385"/>
      <c r="AA42" s="385"/>
      <c r="AB42" s="385"/>
      <c r="AC42" s="385"/>
    </row>
    <row r="43" spans="1:31" ht="15.75" thickBot="1">
      <c r="A43" s="427" t="s">
        <v>1793</v>
      </c>
      <c r="B43" s="428"/>
      <c r="C43" s="429">
        <f>R43</f>
        <v>832</v>
      </c>
      <c r="D43" s="429"/>
      <c r="E43" s="429"/>
      <c r="F43" s="429"/>
      <c r="G43" s="429"/>
      <c r="H43" s="429"/>
      <c r="I43" s="429"/>
      <c r="J43" s="429"/>
      <c r="K43" s="675"/>
      <c r="L43" s="2495"/>
      <c r="M43" s="2488"/>
      <c r="N43" s="2488"/>
      <c r="O43" s="2488"/>
      <c r="P43" s="3376" t="str">
        <f>A43</f>
        <v>估价对象XX用房的比较价值（楼面单价，元/平方米）</v>
      </c>
      <c r="Q43" s="3377"/>
      <c r="R43" s="3378">
        <f>ROUND(IF(D42="简单平均",AVERAGE(R42:W42),R42*F42+T42*H42+V42*J42),0)</f>
        <v>832</v>
      </c>
      <c r="S43" s="3378"/>
      <c r="T43" s="3378"/>
      <c r="U43" s="3378"/>
      <c r="V43" s="3378"/>
      <c r="W43" s="3378"/>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1794</v>
      </c>
      <c r="D46" s="433"/>
      <c r="E46" s="434">
        <f>IF(E41&lt;E42,E42/E41-1,E41/E42-1)</f>
        <v>0.18448883666274973</v>
      </c>
      <c r="F46" s="435" t="str">
        <f>IF(OR(E46&gt;=0.3,E46&lt;=-0.3),"超过30%","")</f>
        <v/>
      </c>
      <c r="G46" s="434">
        <f>IF(G41&lt;G42,G42/G41-1,G41/G42-1)</f>
        <v>0.21907216494845372</v>
      </c>
      <c r="H46" s="435" t="str">
        <f>IF(OR(G46&gt;=0.3,G46&lt;=-0.3),"超过30%","")</f>
        <v/>
      </c>
      <c r="I46" s="434">
        <f>IF(I41&lt;I42,I42/I41-1,I41/I42-1)</f>
        <v>0.15995397008055234</v>
      </c>
      <c r="J46" s="435" t="str">
        <f>IF(OR(I46&gt;=0.3,I46&lt;=-0.3),"超过30%","")</f>
        <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1795</v>
      </c>
      <c r="D47" s="436"/>
      <c r="E47" s="434">
        <f>IF(E42&lt;G42,G42/E42-1,E42/G42-1)</f>
        <v>9.6649484536082575E-2</v>
      </c>
      <c r="F47" s="435" t="str">
        <f>IF(OR(E47&gt;=0.2,E47&lt;=-0.2),"超过20%","")</f>
        <v/>
      </c>
      <c r="G47" s="434">
        <f>IF(G42&lt;I42,I42/G42-1,G42/I42-1)</f>
        <v>0.11984536082474229</v>
      </c>
      <c r="H47" s="435" t="str">
        <f>IF(OR(G47&gt;=0.2,G47&lt;=-0.2),"超过20%","")</f>
        <v/>
      </c>
      <c r="I47" s="434">
        <f>IF(I42&lt;E42,E42/I42-1,I42/E42-1)</f>
        <v>2.1151586368977737E-2</v>
      </c>
      <c r="J47" s="435" t="str">
        <f>IF(OR(I47&gt;=0.2,I47&lt;=-0.2),"超过20%","")</f>
        <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1796</v>
      </c>
      <c r="D48" s="436"/>
      <c r="E48" s="434">
        <f>IF(E41&lt;G41,G41/E41-1,E41/G41-1)</f>
        <v>6.5539112050740034E-2</v>
      </c>
      <c r="F48" s="435" t="str">
        <f>IF(OR(E48&gt;=0.3,E48&lt;=-0.3),"超过30%","")</f>
        <v/>
      </c>
      <c r="G48" s="434">
        <f>IF(G41&lt;I41,I41/G41-1,G41/I41-1)</f>
        <v>6.5539112050740034E-2</v>
      </c>
      <c r="H48" s="435" t="str">
        <f>IF(OR(G48&gt;=0.3,G48&lt;=-0.3),"超过30%","")</f>
        <v/>
      </c>
      <c r="I48" s="434">
        <f>IF(I41&lt;E41,E41/I41-1,I41/E41-1)</f>
        <v>0</v>
      </c>
      <c r="J48" s="435" t="str">
        <f>IF(OR(I48&gt;=0.3,I48&lt;=-0.3),"超过30%","")</f>
        <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1880</v>
      </c>
      <c r="B50" s="605" t="s">
        <v>1881</v>
      </c>
      <c r="C50" s="1831" t="s">
        <v>1882</v>
      </c>
      <c r="D50" s="1832" t="s">
        <v>1883</v>
      </c>
      <c r="E50" s="606" t="s">
        <v>1884</v>
      </c>
      <c r="F50" s="607" t="s">
        <v>1885</v>
      </c>
      <c r="G50" s="3338" t="s">
        <v>1886</v>
      </c>
      <c r="H50" s="3339"/>
      <c r="I50" s="1264" t="s">
        <v>1921</v>
      </c>
      <c r="J50" s="1264">
        <f>项目基本情况!F35</f>
        <v>0</v>
      </c>
      <c r="K50" s="1834" t="s">
        <v>1888</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1889</v>
      </c>
      <c r="B51" s="609">
        <f>C43</f>
        <v>832</v>
      </c>
      <c r="C51" s="610">
        <v>1</v>
      </c>
      <c r="D51" s="890">
        <v>1</v>
      </c>
      <c r="E51" s="610">
        <f>'数据-汇总表'!E8+'数据-汇总表'!E9</f>
        <v>51170.55999999999</v>
      </c>
      <c r="F51" s="611">
        <f t="shared" ref="F51:F60" si="15">ROUND(B51*E51/10000,0)</f>
        <v>4257</v>
      </c>
      <c r="G51" s="3340"/>
      <c r="H51" s="3341"/>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1890</v>
      </c>
      <c r="B52" s="210">
        <f>ROUND($C$43*C52*D52,0)</f>
        <v>0</v>
      </c>
      <c r="C52" s="163">
        <f t="shared" ref="C52:C60" si="16">IF($C$50="北京市系数",I52,J52)</f>
        <v>0</v>
      </c>
      <c r="D52" s="891">
        <v>0.25</v>
      </c>
      <c r="E52" s="614"/>
      <c r="F52" s="611">
        <f t="shared" si="15"/>
        <v>0</v>
      </c>
      <c r="G52" s="2751" t="s">
        <v>1891</v>
      </c>
      <c r="H52" s="834">
        <f>项目基本情况!B37</f>
        <v>0</v>
      </c>
      <c r="I52" s="727">
        <f>SUMIF(修正!A57:A68,H52,修正!B57:B68)</f>
        <v>0</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1892</v>
      </c>
      <c r="B53" s="210">
        <f t="shared" ref="B53:B60" si="17">ROUND($C$43*C53*D53,0)</f>
        <v>0</v>
      </c>
      <c r="C53" s="163">
        <f t="shared" si="16"/>
        <v>0</v>
      </c>
      <c r="D53" s="891">
        <v>0.25</v>
      </c>
      <c r="E53" s="614"/>
      <c r="F53" s="611">
        <f t="shared" si="15"/>
        <v>0</v>
      </c>
      <c r="G53" s="2752"/>
      <c r="H53" s="834">
        <f>项目基本情况!B37</f>
        <v>0</v>
      </c>
      <c r="I53" s="727">
        <f>SUMIF(修正!A57:A68,H53,修正!C57:C68)</f>
        <v>0</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1893</v>
      </c>
      <c r="B54" s="210">
        <f t="shared" si="17"/>
        <v>0</v>
      </c>
      <c r="C54" s="163">
        <f t="shared" si="16"/>
        <v>0</v>
      </c>
      <c r="D54" s="891">
        <v>0.25</v>
      </c>
      <c r="E54" s="614"/>
      <c r="F54" s="611">
        <f t="shared" si="15"/>
        <v>0</v>
      </c>
      <c r="G54" s="2752"/>
      <c r="H54" s="834">
        <f>项目基本情况!B37</f>
        <v>0</v>
      </c>
      <c r="I54" s="727">
        <f>SUMIF(修正!A57:A68,H54,修正!D57:D68)</f>
        <v>0</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1894</v>
      </c>
      <c r="B56" s="210">
        <f t="shared" si="17"/>
        <v>0</v>
      </c>
      <c r="C56" s="163">
        <f t="shared" si="16"/>
        <v>0</v>
      </c>
      <c r="D56" s="891">
        <v>0.25</v>
      </c>
      <c r="E56" s="209">
        <f>'数据-汇总表'!E11</f>
        <v>0</v>
      </c>
      <c r="F56" s="611">
        <f t="shared" si="15"/>
        <v>0</v>
      </c>
      <c r="G56" s="1835" t="s">
        <v>1895</v>
      </c>
      <c r="H56" s="834">
        <f>项目基本情况!C37</f>
        <v>0</v>
      </c>
      <c r="I56" s="727">
        <f>SUMIF(修正!A57:A68,H56,修正!E57:E68)</f>
        <v>0</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1896</v>
      </c>
      <c r="B57" s="210">
        <f t="shared" si="17"/>
        <v>0</v>
      </c>
      <c r="C57" s="163">
        <f t="shared" si="16"/>
        <v>0</v>
      </c>
      <c r="D57" s="891">
        <v>0.25</v>
      </c>
      <c r="E57" s="209">
        <f>'数据-汇总表'!E12</f>
        <v>0</v>
      </c>
      <c r="F57" s="611">
        <f t="shared" si="15"/>
        <v>0</v>
      </c>
      <c r="G57" s="839" t="s">
        <v>1897</v>
      </c>
      <c r="H57" s="834">
        <f>IF(G57="商业",项目基本情况!B37,IF(G57="办公",项目基本情况!C37,IF(G57="住宅",项目基本情况!D37,项目基本情况!E37)))</f>
        <v>0</v>
      </c>
      <c r="I57" s="727">
        <f>SUMIF(修正!A57:A68,H57,修正!F57:F68)</f>
        <v>0</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1898</v>
      </c>
      <c r="B58" s="210">
        <f t="shared" si="17"/>
        <v>0</v>
      </c>
      <c r="C58" s="163">
        <f t="shared" si="16"/>
        <v>0</v>
      </c>
      <c r="D58" s="891">
        <v>0.25</v>
      </c>
      <c r="E58" s="209">
        <f>'数据-汇总表'!E13</f>
        <v>15117.54</v>
      </c>
      <c r="F58" s="611">
        <f t="shared" si="15"/>
        <v>0</v>
      </c>
      <c r="G58" s="839" t="s">
        <v>1899</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1900</v>
      </c>
      <c r="B59" s="210">
        <f t="shared" si="17"/>
        <v>0</v>
      </c>
      <c r="C59" s="163">
        <f t="shared" si="16"/>
        <v>0</v>
      </c>
      <c r="D59" s="891">
        <v>0.25</v>
      </c>
      <c r="E59" s="209">
        <f>'数据-汇总表'!E14</f>
        <v>0</v>
      </c>
      <c r="F59" s="611">
        <f t="shared" si="15"/>
        <v>0</v>
      </c>
      <c r="G59" s="1835" t="s">
        <v>1891</v>
      </c>
      <c r="H59" s="834">
        <f>项目基本情况!B37</f>
        <v>0</v>
      </c>
      <c r="I59" s="727">
        <f>SUMIF(修正!A57:A68,H59,修正!G57:G68)</f>
        <v>0</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1901</v>
      </c>
      <c r="B60" s="210">
        <f t="shared" si="17"/>
        <v>0</v>
      </c>
      <c r="C60" s="163">
        <f t="shared" si="16"/>
        <v>0</v>
      </c>
      <c r="D60" s="891">
        <v>0.25</v>
      </c>
      <c r="E60" s="209">
        <f>'数据-汇总表'!E15</f>
        <v>0</v>
      </c>
      <c r="F60" s="611">
        <f t="shared" si="15"/>
        <v>0</v>
      </c>
      <c r="G60" s="1836" t="s">
        <v>1895</v>
      </c>
      <c r="H60" s="844">
        <f>项目基本情况!C37</f>
        <v>0</v>
      </c>
      <c r="I60" s="727">
        <f>SUMIF(修正!A57:A68,H60,修正!G57:G68)</f>
        <v>0</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1902</v>
      </c>
      <c r="B61" s="616" t="s">
        <v>22</v>
      </c>
      <c r="C61" s="616" t="s">
        <v>23</v>
      </c>
      <c r="D61" s="616" t="s">
        <v>392</v>
      </c>
      <c r="E61" s="616">
        <f>IF(B41="楼面地价",SUM(E51:E60),'数据-汇总表'!D3)</f>
        <v>66288.099999999991</v>
      </c>
      <c r="F61" s="617">
        <f>IF(B41="楼面地价",SUM(F51:F60),ROUND(C43*E61/10000,0))</f>
        <v>4257</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2024-12-1</v>
      </c>
      <c r="D63" s="656">
        <f>EDATE(C63,-3)</f>
        <v>45536</v>
      </c>
      <c r="E63" s="656">
        <f>EDATE(D63,-3)</f>
        <v>45444</v>
      </c>
      <c r="F63" s="656">
        <f t="shared" ref="F63:O63" si="18">EDATE(E63,-3)</f>
        <v>45352</v>
      </c>
      <c r="G63" s="656">
        <f t="shared" si="18"/>
        <v>45261</v>
      </c>
      <c r="H63" s="656">
        <f t="shared" si="18"/>
        <v>45170</v>
      </c>
      <c r="I63" s="656">
        <f t="shared" si="18"/>
        <v>45078</v>
      </c>
      <c r="J63" s="656">
        <f t="shared" si="18"/>
        <v>44986</v>
      </c>
      <c r="K63" s="656">
        <f t="shared" si="18"/>
        <v>44896</v>
      </c>
      <c r="L63" s="656">
        <f t="shared" si="18"/>
        <v>44805</v>
      </c>
      <c r="M63" s="656">
        <f t="shared" si="18"/>
        <v>44713</v>
      </c>
      <c r="N63" s="656">
        <f t="shared" si="18"/>
        <v>44621</v>
      </c>
      <c r="O63" s="656">
        <f t="shared" si="18"/>
        <v>44531</v>
      </c>
      <c r="P63" s="2488"/>
      <c r="Q63" s="2488"/>
      <c r="R63" s="2488"/>
      <c r="S63" s="2488"/>
      <c r="T63" s="2488"/>
      <c r="U63" s="2488"/>
      <c r="V63" s="2488"/>
      <c r="W63" s="2488"/>
      <c r="X63" s="2488"/>
      <c r="Y63" s="2488"/>
      <c r="Z63" s="2488"/>
      <c r="AA63" s="2488"/>
      <c r="AB63" s="2488"/>
      <c r="AC63" s="2488"/>
      <c r="AD63" s="2488"/>
      <c r="AE63" s="2488"/>
    </row>
    <row r="64" spans="1:31" ht="21.75" thickBot="1">
      <c r="A64" s="658" t="s">
        <v>1797</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1903</v>
      </c>
      <c r="B65" s="1046"/>
      <c r="C65" s="1101" t="str">
        <f>YEAR(C63)&amp;"-"&amp;ROUNDUP(MONTH(C63)/3,0)</f>
        <v>2024-4</v>
      </c>
      <c r="D65" s="1101" t="str">
        <f t="shared" ref="D65:O65" si="19">YEAR(D63)&amp;"-"&amp;ROUNDUP(MONTH(D63)/3,0)</f>
        <v>2024-3</v>
      </c>
      <c r="E65" s="1101" t="str">
        <f t="shared" si="19"/>
        <v>2024-2</v>
      </c>
      <c r="F65" s="1101" t="str">
        <f t="shared" si="19"/>
        <v>2024-1</v>
      </c>
      <c r="G65" s="1101" t="str">
        <f t="shared" si="19"/>
        <v>2023-4</v>
      </c>
      <c r="H65" s="1101" t="str">
        <f t="shared" si="19"/>
        <v>2023-3</v>
      </c>
      <c r="I65" s="1101" t="str">
        <f t="shared" si="19"/>
        <v>2023-2</v>
      </c>
      <c r="J65" s="1101" t="str">
        <f t="shared" si="19"/>
        <v>2023-1</v>
      </c>
      <c r="K65" s="1101" t="str">
        <f t="shared" si="19"/>
        <v>2022-4</v>
      </c>
      <c r="L65" s="1101" t="str">
        <f t="shared" si="19"/>
        <v>2022-3</v>
      </c>
      <c r="M65" s="1101" t="str">
        <f t="shared" si="19"/>
        <v>2022-2</v>
      </c>
      <c r="N65" s="1101" t="str">
        <f t="shared" si="19"/>
        <v>2022-1</v>
      </c>
      <c r="O65" s="1101" t="str">
        <f t="shared" si="19"/>
        <v>2021-4</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1922</v>
      </c>
      <c r="B66" s="280" t="str">
        <f>"北京市平均增长率"&amp;TEXT(基准地价修正!P28,"0.00%")</f>
        <v>北京市平均增长率0.00%</v>
      </c>
      <c r="C66" s="530">
        <v>100</v>
      </c>
      <c r="D66" s="6">
        <f>C66-$C$67</f>
        <v>99.5</v>
      </c>
      <c r="E66" s="6">
        <f t="shared" ref="E66:M66" si="20">D66-$C$67</f>
        <v>99</v>
      </c>
      <c r="F66" s="6">
        <f t="shared" si="20"/>
        <v>98.5</v>
      </c>
      <c r="G66" s="6">
        <f t="shared" si="20"/>
        <v>98</v>
      </c>
      <c r="H66" s="6">
        <f t="shared" si="20"/>
        <v>97.5</v>
      </c>
      <c r="I66" s="6">
        <f t="shared" si="20"/>
        <v>97</v>
      </c>
      <c r="J66" s="6">
        <f t="shared" si="20"/>
        <v>96.5</v>
      </c>
      <c r="K66" s="6">
        <f t="shared" si="20"/>
        <v>96</v>
      </c>
      <c r="L66" s="6">
        <f t="shared" si="20"/>
        <v>95.5</v>
      </c>
      <c r="M66" s="6">
        <f t="shared" si="20"/>
        <v>95</v>
      </c>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1715</v>
      </c>
      <c r="B67" s="450"/>
      <c r="C67" s="451">
        <v>0.5</v>
      </c>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1680</v>
      </c>
      <c r="B68" s="444"/>
      <c r="C68" s="456" t="s">
        <v>1775</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1718</v>
      </c>
      <c r="B70" s="460" t="s">
        <v>1684</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1687</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1688</v>
      </c>
      <c r="C74" s="478" t="str">
        <f>C75&amp;"（含）"&amp;"-"&amp;D75</f>
        <v>0（含）-1</v>
      </c>
      <c r="D74" s="478" t="str">
        <f t="shared" ref="D74:L74" si="21">D75&amp;"（含）"&amp;"-"&amp;E75</f>
        <v>1（含）-1.5</v>
      </c>
      <c r="E74" s="478" t="str">
        <f t="shared" si="21"/>
        <v>1.5（含）-2</v>
      </c>
      <c r="F74" s="478" t="str">
        <f t="shared" si="21"/>
        <v>2（含）-</v>
      </c>
      <c r="G74" s="478" t="str">
        <f t="shared" si="21"/>
        <v>（含）-</v>
      </c>
      <c r="H74" s="478" t="str">
        <f t="shared" si="21"/>
        <v>（含）-</v>
      </c>
      <c r="I74" s="478" t="str">
        <f t="shared" si="21"/>
        <v>（含）-</v>
      </c>
      <c r="J74" s="478" t="str">
        <f t="shared" si="21"/>
        <v>（含）-</v>
      </c>
      <c r="K74" s="478" t="str">
        <f t="shared" si="21"/>
        <v>（含）-</v>
      </c>
      <c r="L74" s="478" t="str">
        <f t="shared" si="21"/>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v>0</v>
      </c>
      <c r="D75" s="480">
        <v>1</v>
      </c>
      <c r="E75" s="480">
        <v>1.5</v>
      </c>
      <c r="F75" s="480">
        <v>2</v>
      </c>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95</v>
      </c>
      <c r="E76" s="475">
        <f t="shared" ref="E76:M76" si="22">IF($B$41="单位面积地价",D76+$K11,D76-$K11)</f>
        <v>90</v>
      </c>
      <c r="F76" s="475">
        <f t="shared" si="22"/>
        <v>85</v>
      </c>
      <c r="G76" s="475">
        <f t="shared" si="22"/>
        <v>80</v>
      </c>
      <c r="H76" s="475">
        <f t="shared" si="22"/>
        <v>75</v>
      </c>
      <c r="I76" s="475">
        <f t="shared" si="22"/>
        <v>70</v>
      </c>
      <c r="J76" s="475">
        <f t="shared" si="22"/>
        <v>65</v>
      </c>
      <c r="K76" s="475">
        <f t="shared" si="22"/>
        <v>60</v>
      </c>
      <c r="L76" s="475">
        <f t="shared" si="22"/>
        <v>55</v>
      </c>
      <c r="M76" s="475">
        <f t="shared" si="22"/>
        <v>50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1689</v>
      </c>
      <c r="B83" s="460" t="s">
        <v>1828</v>
      </c>
      <c r="C83" s="504" t="s">
        <v>1720</v>
      </c>
      <c r="D83" s="504" t="s">
        <v>1721</v>
      </c>
      <c r="E83" s="504" t="s">
        <v>1722</v>
      </c>
      <c r="F83" s="504" t="s">
        <v>1723</v>
      </c>
      <c r="G83" s="504" t="s">
        <v>1724</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96</v>
      </c>
      <c r="E84" s="475">
        <f>D84-$K15</f>
        <v>92</v>
      </c>
      <c r="F84" s="475">
        <f>E84-$K15</f>
        <v>88</v>
      </c>
      <c r="G84" s="475">
        <f>F84-$K15</f>
        <v>84</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1725</v>
      </c>
      <c r="C85" s="509" t="s">
        <v>1720</v>
      </c>
      <c r="D85" s="509" t="s">
        <v>1721</v>
      </c>
      <c r="E85" s="509" t="s">
        <v>1722</v>
      </c>
      <c r="F85" s="509" t="s">
        <v>1723</v>
      </c>
      <c r="G85" s="509" t="s">
        <v>1724</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96</v>
      </c>
      <c r="E86" s="475">
        <f>D86-$K17</f>
        <v>92</v>
      </c>
      <c r="F86" s="475">
        <f>E86-$K17</f>
        <v>88</v>
      </c>
      <c r="G86" s="475">
        <f>F86-$K17</f>
        <v>84</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1906</v>
      </c>
      <c r="C87" s="504" t="s">
        <v>1720</v>
      </c>
      <c r="D87" s="504" t="s">
        <v>1721</v>
      </c>
      <c r="E87" s="504" t="s">
        <v>1722</v>
      </c>
      <c r="F87" s="504" t="s">
        <v>1723</v>
      </c>
      <c r="G87" s="504" t="s">
        <v>1724</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97</v>
      </c>
      <c r="E88" s="475">
        <f>D88-$K19</f>
        <v>94</v>
      </c>
      <c r="F88" s="475">
        <f>E88-$K19</f>
        <v>91</v>
      </c>
      <c r="G88" s="475">
        <f>F88-$K19</f>
        <v>88</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1907</v>
      </c>
      <c r="C89" s="504" t="s">
        <v>1720</v>
      </c>
      <c r="D89" s="504" t="s">
        <v>1721</v>
      </c>
      <c r="E89" s="504" t="s">
        <v>1722</v>
      </c>
      <c r="F89" s="504" t="s">
        <v>1723</v>
      </c>
      <c r="G89" s="504" t="s">
        <v>1724</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96</v>
      </c>
      <c r="E90" s="475">
        <f>D90-$K21</f>
        <v>92</v>
      </c>
      <c r="F90" s="475">
        <f>E90-$K21</f>
        <v>88</v>
      </c>
      <c r="G90" s="475">
        <f>F90-$K21</f>
        <v>84</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1777</v>
      </c>
      <c r="C91" s="504" t="s">
        <v>1720</v>
      </c>
      <c r="D91" s="504" t="s">
        <v>1721</v>
      </c>
      <c r="E91" s="504" t="s">
        <v>1722</v>
      </c>
      <c r="F91" s="504" t="s">
        <v>1723</v>
      </c>
      <c r="G91" s="504" t="s">
        <v>1724</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96</v>
      </c>
      <c r="E92" s="475">
        <f>D92-$K23</f>
        <v>92</v>
      </c>
      <c r="F92" s="475">
        <f>E92-$K23</f>
        <v>88</v>
      </c>
      <c r="G92" s="475">
        <f>F92-$K23</f>
        <v>84</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1923</v>
      </c>
      <c r="C93" s="581" t="s">
        <v>1798</v>
      </c>
      <c r="D93" s="581" t="s">
        <v>1799</v>
      </c>
      <c r="E93" s="581" t="s">
        <v>1800</v>
      </c>
      <c r="F93" s="581" t="s">
        <v>1801</v>
      </c>
      <c r="G93" s="581" t="s">
        <v>1802</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98</v>
      </c>
      <c r="E94" s="475">
        <f>D94-$K25</f>
        <v>96</v>
      </c>
      <c r="F94" s="475">
        <f>E94-$K25</f>
        <v>94</v>
      </c>
      <c r="G94" s="475">
        <f>F94-$K25</f>
        <v>92</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1908</v>
      </c>
      <c r="D95" s="470" t="s">
        <v>1909</v>
      </c>
      <c r="E95" s="470" t="s">
        <v>1910</v>
      </c>
      <c r="F95" s="470" t="s">
        <v>1911</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3">C96-$K27</f>
        <v>100</v>
      </c>
      <c r="E96" s="475">
        <f t="shared" si="23"/>
        <v>100</v>
      </c>
      <c r="F96" s="475">
        <f t="shared" si="23"/>
        <v>100</v>
      </c>
      <c r="G96" s="475">
        <f t="shared" si="23"/>
        <v>100</v>
      </c>
      <c r="H96" s="475">
        <f t="shared" si="23"/>
        <v>100</v>
      </c>
      <c r="I96" s="475">
        <f t="shared" si="23"/>
        <v>100</v>
      </c>
      <c r="J96" s="475">
        <f t="shared" si="23"/>
        <v>100</v>
      </c>
      <c r="K96" s="475">
        <f t="shared" si="23"/>
        <v>100</v>
      </c>
      <c r="L96" s="475">
        <f t="shared" si="23"/>
        <v>100</v>
      </c>
      <c r="M96" s="475">
        <f t="shared" si="23"/>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1814</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4">C98-$K28</f>
        <v>100</v>
      </c>
      <c r="E98" s="475">
        <f t="shared" si="24"/>
        <v>100</v>
      </c>
      <c r="F98" s="475">
        <f t="shared" si="24"/>
        <v>100</v>
      </c>
      <c r="G98" s="475">
        <f t="shared" si="24"/>
        <v>100</v>
      </c>
      <c r="H98" s="475">
        <f t="shared" si="24"/>
        <v>100</v>
      </c>
      <c r="I98" s="475">
        <f t="shared" si="24"/>
        <v>100</v>
      </c>
      <c r="J98" s="475">
        <f t="shared" si="24"/>
        <v>100</v>
      </c>
      <c r="K98" s="475">
        <f t="shared" si="24"/>
        <v>100</v>
      </c>
      <c r="L98" s="475">
        <f t="shared" si="24"/>
        <v>100</v>
      </c>
      <c r="M98" s="475">
        <f t="shared" si="24"/>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1872</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5">C100-$K30</f>
        <v>100</v>
      </c>
      <c r="E100" s="475">
        <f t="shared" si="25"/>
        <v>100</v>
      </c>
      <c r="F100" s="475">
        <f t="shared" si="25"/>
        <v>100</v>
      </c>
      <c r="G100" s="475">
        <f t="shared" si="25"/>
        <v>100</v>
      </c>
      <c r="H100" s="475">
        <f t="shared" si="25"/>
        <v>100</v>
      </c>
      <c r="I100" s="475">
        <f t="shared" si="25"/>
        <v>100</v>
      </c>
      <c r="J100" s="475">
        <f t="shared" si="25"/>
        <v>100</v>
      </c>
      <c r="K100" s="475">
        <f t="shared" si="25"/>
        <v>100</v>
      </c>
      <c r="L100" s="475">
        <f t="shared" si="25"/>
        <v>100</v>
      </c>
      <c r="M100" s="475">
        <f t="shared" si="25"/>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ht="28.5">
      <c r="A107" s="379" t="s">
        <v>1693</v>
      </c>
      <c r="B107" s="460" t="s">
        <v>1912</v>
      </c>
      <c r="C107" s="461" t="str">
        <f t="shared" ref="C107:L107" si="26">C108&amp;"(含)"&amp;"-"&amp;D108</f>
        <v>0(含)-10000</v>
      </c>
      <c r="D107" s="461" t="str">
        <f t="shared" si="26"/>
        <v>10000(含)-20000</v>
      </c>
      <c r="E107" s="461" t="str">
        <f t="shared" si="26"/>
        <v>20000(含)-50000</v>
      </c>
      <c r="F107" s="461" t="str">
        <f t="shared" si="26"/>
        <v>50000(含)-</v>
      </c>
      <c r="G107" s="461" t="str">
        <f t="shared" si="26"/>
        <v>(含)-</v>
      </c>
      <c r="H107" s="461" t="str">
        <f t="shared" si="26"/>
        <v>(含)-</v>
      </c>
      <c r="I107" s="461" t="str">
        <f t="shared" si="26"/>
        <v>(含)-</v>
      </c>
      <c r="J107" s="461" t="str">
        <f t="shared" si="26"/>
        <v>(含)-</v>
      </c>
      <c r="K107" s="1246" t="str">
        <f t="shared" si="26"/>
        <v>(含)-</v>
      </c>
      <c r="L107" s="1246" t="str">
        <f t="shared" si="26"/>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v>0</v>
      </c>
      <c r="D108" s="6">
        <v>10000</v>
      </c>
      <c r="E108" s="6">
        <v>20000</v>
      </c>
      <c r="F108" s="6">
        <v>50000</v>
      </c>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v>100</v>
      </c>
      <c r="D109" s="521">
        <v>101</v>
      </c>
      <c r="E109" s="521">
        <v>102</v>
      </c>
      <c r="F109" s="521">
        <v>103</v>
      </c>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1913</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7">C111-$K35</f>
        <v>98</v>
      </c>
      <c r="E111" s="475">
        <f t="shared" si="27"/>
        <v>96</v>
      </c>
      <c r="F111" s="475">
        <f t="shared" si="27"/>
        <v>94</v>
      </c>
      <c r="G111" s="475">
        <f t="shared" si="27"/>
        <v>92</v>
      </c>
      <c r="H111" s="475">
        <f t="shared" si="27"/>
        <v>90</v>
      </c>
      <c r="I111" s="475">
        <f t="shared" si="27"/>
        <v>88</v>
      </c>
      <c r="J111" s="475">
        <f t="shared" si="27"/>
        <v>86</v>
      </c>
      <c r="K111" s="475">
        <f t="shared" si="27"/>
        <v>84</v>
      </c>
      <c r="L111" s="475">
        <f t="shared" si="27"/>
        <v>82</v>
      </c>
      <c r="M111" s="476">
        <f t="shared" si="27"/>
        <v>80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1915</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8">C113-$K36</f>
        <v>98</v>
      </c>
      <c r="E113" s="475">
        <f t="shared" si="28"/>
        <v>96</v>
      </c>
      <c r="F113" s="475">
        <f t="shared" si="28"/>
        <v>94</v>
      </c>
      <c r="G113" s="475">
        <f t="shared" si="28"/>
        <v>92</v>
      </c>
      <c r="H113" s="475">
        <f t="shared" si="28"/>
        <v>90</v>
      </c>
      <c r="I113" s="475">
        <f t="shared" si="28"/>
        <v>88</v>
      </c>
      <c r="J113" s="475">
        <f t="shared" si="28"/>
        <v>86</v>
      </c>
      <c r="K113" s="475">
        <f t="shared" si="28"/>
        <v>84</v>
      </c>
      <c r="L113" s="475">
        <f t="shared" si="28"/>
        <v>82</v>
      </c>
      <c r="M113" s="476">
        <f t="shared" si="28"/>
        <v>80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1916</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9">C115-$K37</f>
        <v>98</v>
      </c>
      <c r="E115" s="475">
        <f t="shared" si="29"/>
        <v>96</v>
      </c>
      <c r="F115" s="475">
        <f t="shared" si="29"/>
        <v>94</v>
      </c>
      <c r="G115" s="475">
        <f t="shared" si="29"/>
        <v>92</v>
      </c>
      <c r="H115" s="475">
        <f t="shared" si="29"/>
        <v>90</v>
      </c>
      <c r="I115" s="475">
        <f t="shared" si="29"/>
        <v>88</v>
      </c>
      <c r="J115" s="475">
        <f t="shared" si="29"/>
        <v>86</v>
      </c>
      <c r="K115" s="475">
        <f t="shared" si="29"/>
        <v>84</v>
      </c>
      <c r="L115" s="475">
        <f t="shared" si="29"/>
        <v>82</v>
      </c>
      <c r="M115" s="476">
        <f t="shared" si="29"/>
        <v>80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0</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0</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0</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31" priority="13" stopIfTrue="1">
      <formula>$F$46="超过30%"</formula>
    </cfRule>
  </conditionalFormatting>
  <conditionalFormatting sqref="E47">
    <cfRule type="expression" dxfId="130" priority="53" stopIfTrue="1">
      <formula>#REF!+$F$47="超过20%"</formula>
    </cfRule>
  </conditionalFormatting>
  <conditionalFormatting sqref="E48">
    <cfRule type="expression" dxfId="129" priority="10" stopIfTrue="1">
      <formula>$F$48="超过30%"</formula>
    </cfRule>
  </conditionalFormatting>
  <conditionalFormatting sqref="F7:F40 H7:H40 J7:J40">
    <cfRule type="cellIs" dxfId="128" priority="1" operator="notEqual">
      <formula>100</formula>
    </cfRule>
  </conditionalFormatting>
  <conditionalFormatting sqref="F42">
    <cfRule type="expression" dxfId="127" priority="4">
      <formula>$D$42="简单平均"</formula>
    </cfRule>
  </conditionalFormatting>
  <conditionalFormatting sqref="F46:F48 H46:H48 J46:J48">
    <cfRule type="containsText" dxfId="126" priority="14" stopIfTrue="1" operator="containsText" text="超过">
      <formula>NOT(ISERROR(SEARCH("超过",F46)))</formula>
    </cfRule>
  </conditionalFormatting>
  <conditionalFormatting sqref="G46">
    <cfRule type="expression" dxfId="125" priority="9" stopIfTrue="1">
      <formula>$H$46="超过30%"</formula>
    </cfRule>
  </conditionalFormatting>
  <conditionalFormatting sqref="G47">
    <cfRule type="expression" dxfId="124" priority="8" stopIfTrue="1">
      <formula>$H$47="超过20%"</formula>
    </cfRule>
  </conditionalFormatting>
  <conditionalFormatting sqref="G48">
    <cfRule type="expression" dxfId="123" priority="12" stopIfTrue="1">
      <formula>$H$48="超过30%"</formula>
    </cfRule>
  </conditionalFormatting>
  <conditionalFormatting sqref="H42">
    <cfRule type="expression" dxfId="122" priority="3">
      <formula>$D$42="简单平均"</formula>
    </cfRule>
  </conditionalFormatting>
  <conditionalFormatting sqref="I46">
    <cfRule type="expression" dxfId="121" priority="7" stopIfTrue="1">
      <formula>$J$46="超过30%"</formula>
    </cfRule>
  </conditionalFormatting>
  <conditionalFormatting sqref="I47">
    <cfRule type="expression" dxfId="120" priority="6" stopIfTrue="1">
      <formula>$J$47="超过20%"</formula>
    </cfRule>
  </conditionalFormatting>
  <conditionalFormatting sqref="I48">
    <cfRule type="expression" dxfId="119" priority="5" stopIfTrue="1">
      <formula>$J$48="超过30%"</formula>
    </cfRule>
  </conditionalFormatting>
  <conditionalFormatting sqref="J42">
    <cfRule type="expression" dxfId="118"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E52F1-7D84-4AD8-BA8C-B2847121E39F}">
  <dimension ref="A1:R20"/>
  <sheetViews>
    <sheetView zoomScale="85" zoomScaleNormal="85" workbookViewId="0">
      <selection activeCell="K12" sqref="K12"/>
    </sheetView>
  </sheetViews>
  <sheetFormatPr defaultRowHeight="13.5"/>
  <cols>
    <col min="1" max="1" width="29.5" customWidth="1"/>
    <col min="3" max="3" width="18.875" customWidth="1"/>
    <col min="8" max="8" width="11.625" customWidth="1"/>
    <col min="9" max="9" width="12.125" customWidth="1"/>
    <col min="10" max="10" width="9.625" bestFit="1" customWidth="1"/>
  </cols>
  <sheetData>
    <row r="1" spans="1:18" s="3145" customFormat="1" ht="12">
      <c r="A1" s="3383" t="s">
        <v>3418</v>
      </c>
      <c r="B1" s="3383" t="s">
        <v>3419</v>
      </c>
      <c r="C1" s="3383" t="s">
        <v>3420</v>
      </c>
      <c r="D1" s="3383" t="s">
        <v>3421</v>
      </c>
      <c r="E1" s="3383" t="s">
        <v>3422</v>
      </c>
      <c r="F1" s="3383" t="s">
        <v>3423</v>
      </c>
      <c r="G1" s="3383" t="s">
        <v>3424</v>
      </c>
      <c r="H1" s="3383" t="s">
        <v>3425</v>
      </c>
      <c r="I1" s="3383" t="s">
        <v>3426</v>
      </c>
      <c r="J1" s="3383" t="s">
        <v>3427</v>
      </c>
      <c r="K1" s="3383" t="s">
        <v>3428</v>
      </c>
      <c r="L1" s="3383" t="s">
        <v>3429</v>
      </c>
      <c r="M1" s="3383" t="s">
        <v>3430</v>
      </c>
      <c r="N1" s="3383" t="s">
        <v>3431</v>
      </c>
      <c r="O1" s="3380"/>
      <c r="P1" s="3380"/>
      <c r="Q1" s="3380"/>
      <c r="R1" s="3380"/>
    </row>
    <row r="2" spans="1:18" s="3145" customFormat="1" ht="12">
      <c r="A2" s="3383" t="s">
        <v>3436</v>
      </c>
      <c r="B2" s="3383" t="s">
        <v>3381</v>
      </c>
      <c r="C2" s="3383" t="s">
        <v>3437</v>
      </c>
      <c r="D2" s="3383">
        <v>72656</v>
      </c>
      <c r="E2" s="3383">
        <v>145312</v>
      </c>
      <c r="F2" s="3383" t="s">
        <v>2470</v>
      </c>
      <c r="G2" s="3383" t="s">
        <v>3438</v>
      </c>
      <c r="H2" s="3383" t="s">
        <v>3439</v>
      </c>
      <c r="I2" s="3383" t="s">
        <v>3433</v>
      </c>
      <c r="J2" s="3383" t="s">
        <v>3440</v>
      </c>
      <c r="K2" s="3383" t="s">
        <v>3441</v>
      </c>
      <c r="L2" s="3383">
        <v>19181.18</v>
      </c>
      <c r="M2" s="3383">
        <v>2639.99</v>
      </c>
      <c r="N2" s="3383">
        <v>1320</v>
      </c>
      <c r="O2" s="3380"/>
      <c r="P2" s="3380"/>
      <c r="Q2" s="3380"/>
      <c r="R2" s="3380"/>
    </row>
    <row r="3" spans="1:18" s="3145" customFormat="1" ht="12">
      <c r="A3" s="3383" t="s">
        <v>3442</v>
      </c>
      <c r="B3" s="3383" t="s">
        <v>3381</v>
      </c>
      <c r="C3" s="3383" t="s">
        <v>3443</v>
      </c>
      <c r="D3" s="3383">
        <v>16968</v>
      </c>
      <c r="E3" s="3383">
        <v>40904</v>
      </c>
      <c r="F3" s="3383" t="s">
        <v>2470</v>
      </c>
      <c r="G3" s="3383" t="s">
        <v>3444</v>
      </c>
      <c r="H3" s="3383" t="s">
        <v>3445</v>
      </c>
      <c r="I3" s="3383" t="s">
        <v>3433</v>
      </c>
      <c r="J3" s="3383" t="s">
        <v>3446</v>
      </c>
      <c r="K3" s="3383" t="s">
        <v>3447</v>
      </c>
      <c r="L3" s="3383">
        <v>7041.48</v>
      </c>
      <c r="M3" s="3383">
        <v>4149.8500000000004</v>
      </c>
      <c r="N3" s="3383">
        <v>1721</v>
      </c>
      <c r="O3" s="3380"/>
      <c r="P3" s="3380"/>
      <c r="Q3" s="3380"/>
      <c r="R3" s="3380"/>
    </row>
    <row r="4" spans="1:18" s="3145" customFormat="1" ht="12">
      <c r="A4" s="3383" t="s">
        <v>3448</v>
      </c>
      <c r="B4" s="3383" t="s">
        <v>3381</v>
      </c>
      <c r="C4" s="3383" t="s">
        <v>3449</v>
      </c>
      <c r="D4" s="3383">
        <v>14078.7</v>
      </c>
      <c r="E4" s="3383">
        <v>28157.4</v>
      </c>
      <c r="F4" s="3383" t="s">
        <v>2470</v>
      </c>
      <c r="G4" s="3383" t="s">
        <v>3</v>
      </c>
      <c r="H4" s="3383" t="s">
        <v>3434</v>
      </c>
      <c r="I4" s="3383" t="s">
        <v>3433</v>
      </c>
      <c r="J4" s="3383" t="s">
        <v>3450</v>
      </c>
      <c r="K4" s="3383" t="s">
        <v>3451</v>
      </c>
      <c r="L4" s="3383">
        <v>2044.23</v>
      </c>
      <c r="M4" s="3383">
        <v>1452</v>
      </c>
      <c r="N4" s="3383">
        <v>726</v>
      </c>
      <c r="O4" s="3380"/>
      <c r="P4" s="3380"/>
      <c r="Q4" s="3380"/>
      <c r="R4" s="3380"/>
    </row>
    <row r="5" spans="1:18" s="3145" customFormat="1" ht="12">
      <c r="A5" s="3383" t="s">
        <v>3452</v>
      </c>
      <c r="B5" s="3383" t="s">
        <v>3381</v>
      </c>
      <c r="C5" s="3383" t="s">
        <v>3453</v>
      </c>
      <c r="D5" s="3383">
        <v>6837.8</v>
      </c>
      <c r="E5" s="3383">
        <v>5470.24</v>
      </c>
      <c r="F5" s="3383" t="s">
        <v>2470</v>
      </c>
      <c r="G5" s="3383" t="s">
        <v>3454</v>
      </c>
      <c r="H5" s="3383" t="s">
        <v>3455</v>
      </c>
      <c r="I5" s="3383" t="s">
        <v>3433</v>
      </c>
      <c r="J5" s="3383" t="s">
        <v>3456</v>
      </c>
      <c r="K5" s="3383" t="s">
        <v>3457</v>
      </c>
      <c r="L5" s="3383">
        <v>496.42</v>
      </c>
      <c r="M5" s="3383">
        <v>725.99</v>
      </c>
      <c r="N5" s="3383">
        <v>907</v>
      </c>
      <c r="O5" s="3380"/>
      <c r="P5" s="3380"/>
      <c r="Q5" s="3380"/>
      <c r="R5" s="3380"/>
    </row>
    <row r="6" spans="1:18" s="3145" customFormat="1" ht="12">
      <c r="A6" s="3383" t="s">
        <v>3458</v>
      </c>
      <c r="B6" s="3383" t="s">
        <v>3381</v>
      </c>
      <c r="C6" s="3383" t="s">
        <v>3459</v>
      </c>
      <c r="D6" s="3383">
        <v>15343</v>
      </c>
      <c r="E6" s="3383">
        <v>36000</v>
      </c>
      <c r="F6" s="3383" t="s">
        <v>2470</v>
      </c>
      <c r="G6" s="3383" t="s">
        <v>3460</v>
      </c>
      <c r="H6" s="3383" t="s">
        <v>3461</v>
      </c>
      <c r="I6" s="3383" t="s">
        <v>3433</v>
      </c>
      <c r="J6" s="3383" t="s">
        <v>3462</v>
      </c>
      <c r="K6" s="3383" t="s">
        <v>3463</v>
      </c>
      <c r="L6" s="3383">
        <v>11401.2</v>
      </c>
      <c r="M6" s="3383">
        <v>7430.88</v>
      </c>
      <c r="N6" s="3383">
        <v>3167</v>
      </c>
      <c r="O6" s="3380"/>
      <c r="P6" s="3380"/>
      <c r="Q6" s="3380"/>
      <c r="R6" s="3380"/>
    </row>
    <row r="7" spans="1:18" s="3149" customFormat="1" ht="12">
      <c r="A7" s="3381" t="s">
        <v>3464</v>
      </c>
      <c r="B7" s="3381" t="s">
        <v>3381</v>
      </c>
      <c r="C7" s="3381" t="s">
        <v>3465</v>
      </c>
      <c r="D7" s="3381">
        <v>21884.6</v>
      </c>
      <c r="E7" s="3381">
        <v>32826.9</v>
      </c>
      <c r="F7" s="3381" t="s">
        <v>2470</v>
      </c>
      <c r="G7" s="3381" t="s">
        <v>3435</v>
      </c>
      <c r="H7" s="3381" t="s">
        <v>3432</v>
      </c>
      <c r="I7" s="3381" t="s">
        <v>3433</v>
      </c>
      <c r="J7" s="3492">
        <v>44955</v>
      </c>
      <c r="K7" s="3381" t="s">
        <v>3466</v>
      </c>
      <c r="L7" s="3381">
        <v>3308.95</v>
      </c>
      <c r="M7" s="3381">
        <v>1511.99</v>
      </c>
      <c r="N7" s="3381">
        <v>1008</v>
      </c>
      <c r="O7" s="3382"/>
      <c r="P7" s="3382"/>
      <c r="Q7" s="3382"/>
      <c r="R7" s="3382"/>
    </row>
    <row r="8" spans="1:18" s="3149" customFormat="1" ht="12">
      <c r="A8" s="3381" t="s">
        <v>3467</v>
      </c>
      <c r="B8" s="3381" t="s">
        <v>3381</v>
      </c>
      <c r="C8" s="3381" t="s">
        <v>3468</v>
      </c>
      <c r="D8" s="3381">
        <v>3658.3</v>
      </c>
      <c r="E8" s="3381">
        <v>3900</v>
      </c>
      <c r="F8" s="3381" t="s">
        <v>2470</v>
      </c>
      <c r="G8" s="3381" t="s">
        <v>3435</v>
      </c>
      <c r="H8" s="3381" t="s">
        <v>3469</v>
      </c>
      <c r="I8" s="3381" t="s">
        <v>3433</v>
      </c>
      <c r="J8" s="3493">
        <v>44955</v>
      </c>
      <c r="K8" s="3381" t="s">
        <v>3466</v>
      </c>
      <c r="L8" s="3381">
        <v>368.94</v>
      </c>
      <c r="M8" s="3381">
        <v>1008.5</v>
      </c>
      <c r="N8" s="3381">
        <v>946</v>
      </c>
      <c r="O8" s="3382"/>
      <c r="P8" s="3382"/>
      <c r="Q8" s="3382"/>
      <c r="R8" s="3382"/>
    </row>
    <row r="9" spans="1:18" s="3149" customFormat="1" ht="12">
      <c r="A9" s="3381" t="s">
        <v>3483</v>
      </c>
      <c r="B9" s="3381" t="s">
        <v>3381</v>
      </c>
      <c r="C9" s="3381" t="s">
        <v>3484</v>
      </c>
      <c r="D9" s="3381">
        <v>7506.5</v>
      </c>
      <c r="E9" s="3381">
        <v>11259.75</v>
      </c>
      <c r="F9" s="3381" t="s">
        <v>2470</v>
      </c>
      <c r="G9" s="3381" t="s">
        <v>3485</v>
      </c>
      <c r="H9" s="3381" t="s">
        <v>3486</v>
      </c>
      <c r="I9" s="3381" t="s">
        <v>3433</v>
      </c>
      <c r="J9" s="3492">
        <v>44788</v>
      </c>
      <c r="K9" s="3381" t="s">
        <v>3487</v>
      </c>
      <c r="L9" s="3381">
        <v>1134.98</v>
      </c>
      <c r="M9" s="3381">
        <v>1511.99</v>
      </c>
      <c r="N9" s="3381">
        <v>1008</v>
      </c>
      <c r="O9" s="3382"/>
      <c r="P9" s="3382"/>
      <c r="Q9" s="3382"/>
      <c r="R9" s="3382"/>
    </row>
    <row r="10" spans="1:18" s="3145" customFormat="1" ht="12">
      <c r="A10" s="3380"/>
      <c r="B10" s="3380"/>
      <c r="C10" s="3380"/>
      <c r="D10" s="3380"/>
      <c r="E10" s="3380"/>
      <c r="F10" s="3380"/>
      <c r="G10" s="3380"/>
      <c r="H10" s="3380"/>
      <c r="I10" s="3380"/>
      <c r="J10" s="3380"/>
      <c r="K10" s="3380"/>
      <c r="L10" s="3380"/>
      <c r="M10" s="3380"/>
      <c r="N10" s="3380"/>
      <c r="O10" s="3380"/>
      <c r="P10" s="3380"/>
      <c r="Q10" s="3380"/>
      <c r="R10" s="3380"/>
    </row>
    <row r="11" spans="1:18" s="3145" customFormat="1" ht="12">
      <c r="A11" s="3380"/>
      <c r="B11" s="3380"/>
      <c r="C11" s="3380"/>
      <c r="D11" s="3380"/>
      <c r="E11" s="3380"/>
      <c r="F11" s="3380"/>
      <c r="G11" s="3380"/>
      <c r="H11" s="3380"/>
      <c r="I11" s="3380"/>
      <c r="J11" s="3380"/>
      <c r="K11" s="3380"/>
      <c r="L11" s="3380"/>
      <c r="M11" s="3380"/>
      <c r="N11" s="3380"/>
      <c r="O11" s="3380"/>
      <c r="P11" s="3380"/>
      <c r="Q11" s="3380"/>
      <c r="R11" s="3380"/>
    </row>
    <row r="12" spans="1:18" s="3145" customFormat="1" ht="12">
      <c r="A12" s="3380"/>
      <c r="B12" s="3380"/>
      <c r="C12" s="3380"/>
      <c r="D12" s="3380"/>
      <c r="E12" s="3380"/>
      <c r="F12" s="3380"/>
      <c r="G12" s="3380"/>
      <c r="H12" s="3380"/>
      <c r="I12" s="3380"/>
      <c r="J12" s="3380"/>
      <c r="K12" s="3380"/>
      <c r="L12" s="3380"/>
      <c r="M12" s="3380"/>
      <c r="N12" s="3380"/>
      <c r="O12" s="3380"/>
      <c r="P12" s="3380"/>
      <c r="Q12" s="3380"/>
      <c r="R12" s="3380"/>
    </row>
    <row r="13" spans="1:18" s="3145" customFormat="1" ht="12">
      <c r="A13" s="3380"/>
      <c r="B13" s="3380"/>
      <c r="C13" s="3380"/>
      <c r="D13" s="3380"/>
      <c r="E13" s="3380"/>
      <c r="F13" s="3380"/>
      <c r="G13" s="3380"/>
      <c r="H13" s="3380"/>
      <c r="I13" s="3380"/>
      <c r="J13" s="3380"/>
      <c r="K13" s="3380"/>
      <c r="L13" s="3380"/>
      <c r="M13" s="3380"/>
      <c r="N13" s="3380"/>
      <c r="O13" s="3380"/>
      <c r="P13" s="3380"/>
      <c r="Q13" s="3380"/>
      <c r="R13" s="3380"/>
    </row>
    <row r="14" spans="1:18" s="3145" customFormat="1" ht="12">
      <c r="A14" s="3380"/>
      <c r="B14" s="3380"/>
      <c r="C14" s="3380"/>
      <c r="D14" s="3380"/>
      <c r="E14" s="3380"/>
      <c r="F14" s="3380"/>
      <c r="G14" s="3380"/>
      <c r="H14" s="3380"/>
      <c r="I14" s="3380"/>
      <c r="J14" s="3380"/>
      <c r="K14" s="3380"/>
      <c r="L14" s="3380"/>
      <c r="M14" s="3380"/>
      <c r="N14" s="3380"/>
      <c r="O14" s="3380"/>
      <c r="P14" s="3380"/>
      <c r="Q14" s="3380"/>
      <c r="R14" s="3380"/>
    </row>
    <row r="15" spans="1:18" s="3145" customFormat="1" ht="12">
      <c r="A15" s="3380"/>
      <c r="B15" s="3380"/>
      <c r="C15" s="3380"/>
      <c r="D15" s="3380"/>
      <c r="E15" s="3380"/>
      <c r="F15" s="3380"/>
      <c r="G15" s="3380"/>
      <c r="H15" s="3380"/>
      <c r="I15" s="3380"/>
      <c r="J15" s="3380"/>
      <c r="K15" s="3380"/>
      <c r="L15" s="3380"/>
      <c r="M15" s="3380"/>
      <c r="N15" s="3380"/>
      <c r="O15" s="3380"/>
      <c r="P15" s="3380"/>
      <c r="Q15" s="3380"/>
      <c r="R15" s="3380"/>
    </row>
    <row r="16" spans="1:18" s="3145" customFormat="1" ht="12">
      <c r="A16" s="3380"/>
      <c r="B16" s="3380"/>
      <c r="C16" s="3380"/>
      <c r="D16" s="3380"/>
      <c r="E16" s="3380"/>
      <c r="F16" s="3380"/>
      <c r="G16" s="3380"/>
      <c r="H16" s="3380"/>
      <c r="I16" s="3380"/>
      <c r="J16" s="3380"/>
      <c r="K16" s="3380"/>
      <c r="L16" s="3380"/>
      <c r="M16" s="3380"/>
      <c r="N16" s="3380"/>
      <c r="O16" s="3380"/>
      <c r="P16" s="3380"/>
      <c r="Q16" s="3380"/>
      <c r="R16" s="3380"/>
    </row>
    <row r="17" spans="1:18" s="3145" customFormat="1" ht="12">
      <c r="A17" s="3380"/>
      <c r="B17" s="3380"/>
      <c r="C17" s="3380"/>
      <c r="D17" s="3380"/>
      <c r="E17" s="3380"/>
      <c r="F17" s="3380"/>
      <c r="G17" s="3380"/>
      <c r="H17" s="3380"/>
      <c r="I17" s="3380"/>
      <c r="J17" s="3380"/>
      <c r="K17" s="3380"/>
      <c r="L17" s="3380"/>
      <c r="M17" s="3380"/>
      <c r="N17" s="3380"/>
      <c r="O17" s="3380"/>
      <c r="P17" s="3380"/>
      <c r="Q17" s="3380"/>
      <c r="R17" s="3380"/>
    </row>
    <row r="18" spans="1:18" s="3145" customFormat="1" ht="12">
      <c r="A18" s="3380"/>
      <c r="B18" s="3380"/>
      <c r="C18" s="3380"/>
      <c r="D18" s="3380"/>
      <c r="E18" s="3380"/>
      <c r="F18" s="3380"/>
      <c r="G18" s="3380"/>
      <c r="H18" s="3380"/>
      <c r="I18" s="3380"/>
      <c r="J18" s="3380"/>
      <c r="K18" s="3380"/>
      <c r="L18" s="3380"/>
      <c r="M18" s="3380"/>
      <c r="N18" s="3380"/>
      <c r="O18" s="3380"/>
      <c r="P18" s="3380"/>
      <c r="Q18" s="3380"/>
      <c r="R18" s="3380"/>
    </row>
    <row r="19" spans="1:18" s="3145" customFormat="1" ht="12">
      <c r="A19" s="3380"/>
      <c r="B19" s="3380"/>
      <c r="C19" s="3380"/>
      <c r="D19" s="3380"/>
      <c r="E19" s="3380"/>
      <c r="F19" s="3380"/>
      <c r="G19" s="3380"/>
      <c r="H19" s="3380"/>
      <c r="I19" s="3380"/>
      <c r="J19" s="3380"/>
      <c r="K19" s="3380"/>
      <c r="L19" s="3380"/>
      <c r="M19" s="3380"/>
      <c r="N19" s="3380"/>
      <c r="O19" s="3380"/>
      <c r="P19" s="3380"/>
      <c r="Q19" s="3380"/>
      <c r="R19" s="3380"/>
    </row>
    <row r="20" spans="1:18" s="3145" customFormat="1" ht="12">
      <c r="A20" s="3380"/>
      <c r="B20" s="3380"/>
      <c r="C20" s="3380"/>
      <c r="D20" s="3380"/>
      <c r="E20" s="3380"/>
      <c r="F20" s="3380"/>
      <c r="G20" s="3380"/>
      <c r="H20" s="3380"/>
      <c r="I20" s="3380"/>
      <c r="J20" s="3380"/>
      <c r="K20" s="3380"/>
      <c r="L20" s="3380"/>
      <c r="M20" s="3380"/>
      <c r="N20" s="3380"/>
      <c r="O20" s="3380"/>
      <c r="P20" s="3380"/>
      <c r="Q20" s="3380"/>
      <c r="R20" s="3380"/>
    </row>
  </sheetData>
  <mergeCells count="359">
    <mergeCell ref="A2"/>
    <mergeCell ref="B2"/>
    <mergeCell ref="C2"/>
    <mergeCell ref="D2"/>
    <mergeCell ref="E2"/>
    <mergeCell ref="F2"/>
    <mergeCell ref="G2"/>
    <mergeCell ref="H2"/>
    <mergeCell ref="I2"/>
    <mergeCell ref="A1"/>
    <mergeCell ref="B1"/>
    <mergeCell ref="C1"/>
    <mergeCell ref="D1"/>
    <mergeCell ref="E1"/>
    <mergeCell ref="F1"/>
    <mergeCell ref="G1"/>
    <mergeCell ref="H1"/>
    <mergeCell ref="I1"/>
    <mergeCell ref="A4"/>
    <mergeCell ref="B4"/>
    <mergeCell ref="C4"/>
    <mergeCell ref="D4"/>
    <mergeCell ref="E4"/>
    <mergeCell ref="F4"/>
    <mergeCell ref="G4"/>
    <mergeCell ref="H4"/>
    <mergeCell ref="I4"/>
    <mergeCell ref="A3"/>
    <mergeCell ref="B3"/>
    <mergeCell ref="C3"/>
    <mergeCell ref="D3"/>
    <mergeCell ref="E3"/>
    <mergeCell ref="F3"/>
    <mergeCell ref="G3"/>
    <mergeCell ref="H3"/>
    <mergeCell ref="I3"/>
    <mergeCell ref="J6"/>
    <mergeCell ref="K6"/>
    <mergeCell ref="L6"/>
    <mergeCell ref="M6"/>
    <mergeCell ref="N6"/>
    <mergeCell ref="A5"/>
    <mergeCell ref="B5"/>
    <mergeCell ref="C5"/>
    <mergeCell ref="D5"/>
    <mergeCell ref="E5"/>
    <mergeCell ref="F5"/>
    <mergeCell ref="G5"/>
    <mergeCell ref="H5"/>
    <mergeCell ref="I5"/>
    <mergeCell ref="A6"/>
    <mergeCell ref="B6"/>
    <mergeCell ref="C6"/>
    <mergeCell ref="D6"/>
    <mergeCell ref="E6"/>
    <mergeCell ref="F6"/>
    <mergeCell ref="G6"/>
    <mergeCell ref="H6"/>
    <mergeCell ref="I6"/>
    <mergeCell ref="A8"/>
    <mergeCell ref="B8"/>
    <mergeCell ref="C8"/>
    <mergeCell ref="D8"/>
    <mergeCell ref="E8"/>
    <mergeCell ref="F8"/>
    <mergeCell ref="G8"/>
    <mergeCell ref="H8"/>
    <mergeCell ref="I8"/>
    <mergeCell ref="A7"/>
    <mergeCell ref="B7"/>
    <mergeCell ref="C7"/>
    <mergeCell ref="D7"/>
    <mergeCell ref="E7"/>
    <mergeCell ref="F7"/>
    <mergeCell ref="G7"/>
    <mergeCell ref="H7"/>
    <mergeCell ref="I7"/>
    <mergeCell ref="F9"/>
    <mergeCell ref="G9"/>
    <mergeCell ref="H9"/>
    <mergeCell ref="I9"/>
    <mergeCell ref="J7"/>
    <mergeCell ref="K7"/>
    <mergeCell ref="L7"/>
    <mergeCell ref="K8"/>
    <mergeCell ref="L8"/>
    <mergeCell ref="O1"/>
    <mergeCell ref="P1"/>
    <mergeCell ref="Q1"/>
    <mergeCell ref="J1"/>
    <mergeCell ref="K1"/>
    <mergeCell ref="L1"/>
    <mergeCell ref="M1"/>
    <mergeCell ref="N1"/>
    <mergeCell ref="R1"/>
    <mergeCell ref="O2"/>
    <mergeCell ref="P2"/>
    <mergeCell ref="Q2"/>
    <mergeCell ref="R2"/>
    <mergeCell ref="O3"/>
    <mergeCell ref="P3"/>
    <mergeCell ref="Q3"/>
    <mergeCell ref="J3"/>
    <mergeCell ref="K3"/>
    <mergeCell ref="L3"/>
    <mergeCell ref="M3"/>
    <mergeCell ref="N3"/>
    <mergeCell ref="R3"/>
    <mergeCell ref="J2"/>
    <mergeCell ref="K2"/>
    <mergeCell ref="L2"/>
    <mergeCell ref="M2"/>
    <mergeCell ref="N2"/>
    <mergeCell ref="O4"/>
    <mergeCell ref="P4"/>
    <mergeCell ref="Q4"/>
    <mergeCell ref="R4"/>
    <mergeCell ref="O5"/>
    <mergeCell ref="P5"/>
    <mergeCell ref="Q5"/>
    <mergeCell ref="J5"/>
    <mergeCell ref="K5"/>
    <mergeCell ref="L5"/>
    <mergeCell ref="M5"/>
    <mergeCell ref="N5"/>
    <mergeCell ref="R5"/>
    <mergeCell ref="J4"/>
    <mergeCell ref="K4"/>
    <mergeCell ref="L4"/>
    <mergeCell ref="M4"/>
    <mergeCell ref="N4"/>
    <mergeCell ref="O6"/>
    <mergeCell ref="P6"/>
    <mergeCell ref="Q6"/>
    <mergeCell ref="R6"/>
    <mergeCell ref="O7"/>
    <mergeCell ref="P7"/>
    <mergeCell ref="Q7"/>
    <mergeCell ref="M7"/>
    <mergeCell ref="N7"/>
    <mergeCell ref="R7"/>
    <mergeCell ref="O8"/>
    <mergeCell ref="P8"/>
    <mergeCell ref="Q8"/>
    <mergeCell ref="R8"/>
    <mergeCell ref="O9"/>
    <mergeCell ref="P9"/>
    <mergeCell ref="Q9"/>
    <mergeCell ref="J9"/>
    <mergeCell ref="K9"/>
    <mergeCell ref="L9"/>
    <mergeCell ref="M9"/>
    <mergeCell ref="N9"/>
    <mergeCell ref="M8"/>
    <mergeCell ref="N8"/>
    <mergeCell ref="A9"/>
    <mergeCell ref="B9"/>
    <mergeCell ref="C9"/>
    <mergeCell ref="D9"/>
    <mergeCell ref="R9"/>
    <mergeCell ref="A10"/>
    <mergeCell ref="B10"/>
    <mergeCell ref="C10"/>
    <mergeCell ref="D10"/>
    <mergeCell ref="E10"/>
    <mergeCell ref="F10"/>
    <mergeCell ref="G10"/>
    <mergeCell ref="H10"/>
    <mergeCell ref="I10"/>
    <mergeCell ref="J10"/>
    <mergeCell ref="K10"/>
    <mergeCell ref="L10"/>
    <mergeCell ref="M10"/>
    <mergeCell ref="N10"/>
    <mergeCell ref="O10"/>
    <mergeCell ref="P10"/>
    <mergeCell ref="Q10"/>
    <mergeCell ref="R10"/>
    <mergeCell ref="E9"/>
    <mergeCell ref="O11"/>
    <mergeCell ref="P11"/>
    <mergeCell ref="Q11"/>
    <mergeCell ref="A11"/>
    <mergeCell ref="B11"/>
    <mergeCell ref="C11"/>
    <mergeCell ref="D11"/>
    <mergeCell ref="E11"/>
    <mergeCell ref="F11"/>
    <mergeCell ref="G11"/>
    <mergeCell ref="H11"/>
    <mergeCell ref="I11"/>
    <mergeCell ref="R11"/>
    <mergeCell ref="A12"/>
    <mergeCell ref="B12"/>
    <mergeCell ref="C12"/>
    <mergeCell ref="D12"/>
    <mergeCell ref="E12"/>
    <mergeCell ref="F12"/>
    <mergeCell ref="G12"/>
    <mergeCell ref="H12"/>
    <mergeCell ref="I12"/>
    <mergeCell ref="J12"/>
    <mergeCell ref="K12"/>
    <mergeCell ref="L12"/>
    <mergeCell ref="M12"/>
    <mergeCell ref="N12"/>
    <mergeCell ref="O12"/>
    <mergeCell ref="P12"/>
    <mergeCell ref="Q12"/>
    <mergeCell ref="R12"/>
    <mergeCell ref="J11"/>
    <mergeCell ref="K11"/>
    <mergeCell ref="L11"/>
    <mergeCell ref="M11"/>
    <mergeCell ref="N11"/>
    <mergeCell ref="O13"/>
    <mergeCell ref="P13"/>
    <mergeCell ref="Q13"/>
    <mergeCell ref="A13"/>
    <mergeCell ref="B13"/>
    <mergeCell ref="C13"/>
    <mergeCell ref="D13"/>
    <mergeCell ref="E13"/>
    <mergeCell ref="F13"/>
    <mergeCell ref="G13"/>
    <mergeCell ref="H13"/>
    <mergeCell ref="I13"/>
    <mergeCell ref="R13"/>
    <mergeCell ref="A14"/>
    <mergeCell ref="B14"/>
    <mergeCell ref="C14"/>
    <mergeCell ref="D14"/>
    <mergeCell ref="E14"/>
    <mergeCell ref="F14"/>
    <mergeCell ref="G14"/>
    <mergeCell ref="H14"/>
    <mergeCell ref="I14"/>
    <mergeCell ref="J14"/>
    <mergeCell ref="K14"/>
    <mergeCell ref="L14"/>
    <mergeCell ref="M14"/>
    <mergeCell ref="N14"/>
    <mergeCell ref="O14"/>
    <mergeCell ref="P14"/>
    <mergeCell ref="Q14"/>
    <mergeCell ref="R14"/>
    <mergeCell ref="J13"/>
    <mergeCell ref="K13"/>
    <mergeCell ref="L13"/>
    <mergeCell ref="M13"/>
    <mergeCell ref="N13"/>
    <mergeCell ref="O15"/>
    <mergeCell ref="P15"/>
    <mergeCell ref="Q15"/>
    <mergeCell ref="A15"/>
    <mergeCell ref="B15"/>
    <mergeCell ref="C15"/>
    <mergeCell ref="D15"/>
    <mergeCell ref="E15"/>
    <mergeCell ref="F15"/>
    <mergeCell ref="G15"/>
    <mergeCell ref="H15"/>
    <mergeCell ref="I15"/>
    <mergeCell ref="R15"/>
    <mergeCell ref="A16"/>
    <mergeCell ref="B16"/>
    <mergeCell ref="C16"/>
    <mergeCell ref="D16"/>
    <mergeCell ref="E16"/>
    <mergeCell ref="F16"/>
    <mergeCell ref="G16"/>
    <mergeCell ref="H16"/>
    <mergeCell ref="I16"/>
    <mergeCell ref="J16"/>
    <mergeCell ref="K16"/>
    <mergeCell ref="L16"/>
    <mergeCell ref="M16"/>
    <mergeCell ref="N16"/>
    <mergeCell ref="O16"/>
    <mergeCell ref="P16"/>
    <mergeCell ref="Q16"/>
    <mergeCell ref="R16"/>
    <mergeCell ref="J15"/>
    <mergeCell ref="K15"/>
    <mergeCell ref="L15"/>
    <mergeCell ref="M15"/>
    <mergeCell ref="N15"/>
    <mergeCell ref="O17"/>
    <mergeCell ref="P17"/>
    <mergeCell ref="Q17"/>
    <mergeCell ref="A17"/>
    <mergeCell ref="B17"/>
    <mergeCell ref="C17"/>
    <mergeCell ref="D17"/>
    <mergeCell ref="E17"/>
    <mergeCell ref="F17"/>
    <mergeCell ref="G17"/>
    <mergeCell ref="H17"/>
    <mergeCell ref="I17"/>
    <mergeCell ref="R17"/>
    <mergeCell ref="A18"/>
    <mergeCell ref="B18"/>
    <mergeCell ref="C18"/>
    <mergeCell ref="D18"/>
    <mergeCell ref="E18"/>
    <mergeCell ref="F18"/>
    <mergeCell ref="G18"/>
    <mergeCell ref="H18"/>
    <mergeCell ref="I18"/>
    <mergeCell ref="J18"/>
    <mergeCell ref="K18"/>
    <mergeCell ref="L18"/>
    <mergeCell ref="M18"/>
    <mergeCell ref="N18"/>
    <mergeCell ref="O18"/>
    <mergeCell ref="P18"/>
    <mergeCell ref="Q18"/>
    <mergeCell ref="R18"/>
    <mergeCell ref="J17"/>
    <mergeCell ref="K17"/>
    <mergeCell ref="L17"/>
    <mergeCell ref="M17"/>
    <mergeCell ref="N17"/>
    <mergeCell ref="O19"/>
    <mergeCell ref="P19"/>
    <mergeCell ref="Q19"/>
    <mergeCell ref="A19"/>
    <mergeCell ref="B19"/>
    <mergeCell ref="C19"/>
    <mergeCell ref="D19"/>
    <mergeCell ref="E19"/>
    <mergeCell ref="F19"/>
    <mergeCell ref="G19"/>
    <mergeCell ref="H19"/>
    <mergeCell ref="I19"/>
    <mergeCell ref="R19"/>
    <mergeCell ref="A20"/>
    <mergeCell ref="B20"/>
    <mergeCell ref="C20"/>
    <mergeCell ref="D20"/>
    <mergeCell ref="E20"/>
    <mergeCell ref="F20"/>
    <mergeCell ref="G20"/>
    <mergeCell ref="H20"/>
    <mergeCell ref="I20"/>
    <mergeCell ref="J20"/>
    <mergeCell ref="K20"/>
    <mergeCell ref="L20"/>
    <mergeCell ref="M20"/>
    <mergeCell ref="N20"/>
    <mergeCell ref="O20"/>
    <mergeCell ref="P20"/>
    <mergeCell ref="Q20"/>
    <mergeCell ref="R20"/>
    <mergeCell ref="J19"/>
    <mergeCell ref="K19"/>
    <mergeCell ref="L19"/>
    <mergeCell ref="M19"/>
    <mergeCell ref="N19"/>
  </mergeCells>
  <phoneticPr fontId="134"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7" zoomScaleNormal="80" zoomScaleSheetLayoutView="100" workbookViewId="0">
      <selection activeCell="G24" sqref="G24"/>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1924</v>
      </c>
      <c r="B1" s="189"/>
      <c r="C1" s="193" t="s">
        <v>1925</v>
      </c>
      <c r="D1" s="333">
        <f>SUM(D33:D34,D37:D42)</f>
        <v>66288.099999999991</v>
      </c>
      <c r="E1" s="1842"/>
      <c r="F1" s="1842"/>
      <c r="G1" s="1842"/>
      <c r="H1" s="1842"/>
      <c r="I1" s="1842"/>
      <c r="J1" s="1842"/>
      <c r="K1" s="1056"/>
      <c r="L1" s="1843" t="s">
        <v>1926</v>
      </c>
      <c r="M1" s="810">
        <f>SUMPRODUCT((区片价!B5:B9=I2)*(区片价!C3:G3=E2)*(区片价!C5:G9))</f>
        <v>0</v>
      </c>
      <c r="N1" s="813">
        <f>SUMPRODUCT((因素修正幅度!B5:B9=I2)*(因素修正幅度!C3:G3=E2)*(因素修正幅度!C5:G9))</f>
        <v>0</v>
      </c>
      <c r="O1" s="1844"/>
      <c r="P1" s="1844"/>
      <c r="Q1" s="1056"/>
      <c r="R1" s="1129" t="s">
        <v>1927</v>
      </c>
      <c r="S1" s="1129" t="s">
        <v>1928</v>
      </c>
      <c r="T1" s="1129" t="s">
        <v>1929</v>
      </c>
      <c r="U1" s="1129" t="s">
        <v>1930</v>
      </c>
      <c r="V1" s="1129" t="s">
        <v>1931</v>
      </c>
      <c r="W1" s="1133"/>
      <c r="X1" s="1133"/>
      <c r="Y1" s="1133"/>
      <c r="Z1" s="1133"/>
      <c r="AA1" s="1133"/>
      <c r="AB1" s="1133"/>
      <c r="AC1" s="1134"/>
      <c r="AD1" s="1135"/>
      <c r="AE1" s="1135"/>
      <c r="AF1" s="1135"/>
      <c r="AG1" s="1135"/>
      <c r="AH1" s="1135"/>
      <c r="AI1" s="1135"/>
      <c r="AJ1" s="1136"/>
    </row>
    <row r="2" spans="1:36" ht="15.75">
      <c r="A2" s="193" t="s">
        <v>1932</v>
      </c>
      <c r="B2" s="196">
        <f>C30</f>
        <v>6108</v>
      </c>
      <c r="C2" s="1846" t="s">
        <v>1933</v>
      </c>
      <c r="D2" s="162" t="s">
        <v>1934</v>
      </c>
      <c r="E2" s="3121" t="s">
        <v>3</v>
      </c>
      <c r="F2" s="162" t="s">
        <v>1935</v>
      </c>
      <c r="G2" s="163" t="str">
        <f>IF(E2="商业",项目基本情况!B37,IF(E2="办公",项目基本情况!C37,IF(E2="住宅",项目基本情况!D37,IF(E2="工业",项目基本情况!E37,项目基本情况!F37))))</f>
        <v>六级</v>
      </c>
      <c r="H2" s="162" t="s">
        <v>1936</v>
      </c>
      <c r="I2" s="163" t="str">
        <f>IF(E2="商业",项目基本情况!B38,IF(E2="办公",项目基本情况!C38,IF(E2="住宅",项目基本情况!D38,IF(E2="工业",项目基本情况!E38,项目基本情况!F38))))</f>
        <v>Ⅵ-BDA东</v>
      </c>
      <c r="J2" s="1842"/>
      <c r="K2" s="1056"/>
      <c r="L2" s="1847" t="s">
        <v>1937</v>
      </c>
      <c r="M2" s="811">
        <f>SUMPRODUCT((区片价!B10:B29=I2)*(区片价!C3:G3=E2)*(区片价!C10:G29))</f>
        <v>0</v>
      </c>
      <c r="N2" s="813">
        <f>SUMPRODUCT((因素修正幅度!B10:B29=I2)*(因素修正幅度!C3:G3=E2)*(因素修正幅度!C10:G29))</f>
        <v>0</v>
      </c>
      <c r="O2" s="1056"/>
      <c r="P2" s="1056"/>
      <c r="Q2" s="1056"/>
      <c r="R2" s="1129">
        <v>1</v>
      </c>
      <c r="S2" s="3064">
        <f>ROUND(SUMPRODUCT((B106:B110=R2)*(C105:N105=G2)*(C106:N110)),4)</f>
        <v>1.5019</v>
      </c>
      <c r="T2" s="3064">
        <f t="shared" ref="T2:T16" si="0">ROUND($C$5*$C$22*$C$23*$C$24*S2*$C$28,0)</f>
        <v>1948</v>
      </c>
      <c r="U2" s="1130"/>
      <c r="V2" s="3064">
        <f>ROUND(T2*U2/10000,0)</f>
        <v>0</v>
      </c>
      <c r="W2" s="1133"/>
      <c r="X2" s="1133"/>
      <c r="Y2" s="1133"/>
      <c r="Z2" s="1133"/>
      <c r="AA2" s="1133"/>
      <c r="AB2" s="1133"/>
      <c r="AC2" s="1134"/>
      <c r="AD2" s="1135"/>
      <c r="AE2" s="1135"/>
      <c r="AF2" s="1135"/>
      <c r="AG2" s="1135"/>
      <c r="AH2" s="1135"/>
      <c r="AI2" s="1135"/>
      <c r="AJ2" s="1136"/>
    </row>
    <row r="3" spans="1:36" ht="15.75">
      <c r="A3" s="195" t="s">
        <v>1938</v>
      </c>
      <c r="B3" s="196">
        <f>ROUND(B2*10000/D1,0)</f>
        <v>921</v>
      </c>
      <c r="C3" s="1846" t="s">
        <v>1939</v>
      </c>
      <c r="D3" s="162" t="s">
        <v>1940</v>
      </c>
      <c r="E3" s="3119" t="s">
        <v>2470</v>
      </c>
      <c r="F3" s="1848" t="s">
        <v>3479</v>
      </c>
      <c r="G3" s="708">
        <f>IF(F3="宗地容积率",'数据-汇总表'!I4,IF(F3="估价对象容积率",'数据-汇总表'!I6,'数据-汇总表'!I7))</f>
        <v>1.72</v>
      </c>
      <c r="H3" s="162" t="s">
        <v>1941</v>
      </c>
      <c r="I3" s="729"/>
      <c r="J3" s="1842" t="s">
        <v>1942</v>
      </c>
      <c r="K3" s="1056"/>
      <c r="L3" s="1847" t="s">
        <v>1943</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1.1838</v>
      </c>
      <c r="T3" s="3064">
        <f t="shared" si="0"/>
        <v>1536</v>
      </c>
      <c r="U3" s="1130"/>
      <c r="V3" s="3064">
        <f t="shared" ref="V3:V16" si="1">ROUND(T3*U3/10000,0)</f>
        <v>0</v>
      </c>
      <c r="W3" s="1133"/>
      <c r="X3" s="1133"/>
      <c r="Y3" s="1133"/>
      <c r="Z3" s="1133"/>
      <c r="AA3" s="1133"/>
      <c r="AB3" s="1133"/>
      <c r="AC3" s="1134"/>
      <c r="AD3" s="1135"/>
      <c r="AE3" s="1135"/>
      <c r="AF3" s="1135"/>
      <c r="AG3" s="1135"/>
      <c r="AH3" s="1135"/>
      <c r="AI3" s="1135"/>
      <c r="AJ3" s="1136"/>
    </row>
    <row r="4" spans="1:36" ht="15.75">
      <c r="A4" s="3391"/>
      <c r="B4" s="3392"/>
      <c r="C4" s="3392"/>
      <c r="D4" s="3393"/>
      <c r="E4" s="3393"/>
      <c r="F4" s="3393"/>
      <c r="G4" s="3393"/>
      <c r="H4" s="3393"/>
      <c r="I4" s="3393"/>
      <c r="J4" s="3394"/>
      <c r="K4" s="1056"/>
      <c r="L4" s="1847" t="s">
        <v>1944</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1.0004999999999999</v>
      </c>
      <c r="T4" s="3064">
        <f t="shared" si="0"/>
        <v>1298</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1945</v>
      </c>
      <c r="C5" s="709">
        <f>ROUND(IF(E2="商业",C6*C7*C17+C20,(IF(E2="住宅",C6*C13*C17+C20,IF(E2="办公",C6*C12*C17+C20,C6+C20)))),0)</f>
        <v>2050</v>
      </c>
      <c r="D5" s="1252">
        <f>ROUND(C6*C17+C20,0)</f>
        <v>2050</v>
      </c>
      <c r="E5" s="1252"/>
      <c r="F5" s="1851"/>
      <c r="G5" s="1852"/>
      <c r="H5" s="1852"/>
      <c r="I5" s="1852"/>
      <c r="J5" s="1853"/>
      <c r="K5" s="1854"/>
      <c r="L5" s="1847" t="s">
        <v>1946</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0.88239999999999996</v>
      </c>
      <c r="T5" s="3064">
        <f t="shared" si="0"/>
        <v>1145</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1947</v>
      </c>
      <c r="B6" s="1860" t="s">
        <v>1948</v>
      </c>
      <c r="C6" s="710">
        <f>SUMIF(L1:L12,G2,M1:M12)</f>
        <v>2050</v>
      </c>
      <c r="D6" s="1861"/>
      <c r="E6" s="1862"/>
      <c r="F6" s="1862"/>
      <c r="G6" s="1863"/>
      <c r="H6" s="1863"/>
      <c r="I6" s="1863"/>
      <c r="J6" s="1864"/>
      <c r="K6" s="1292"/>
      <c r="L6" s="1847" t="s">
        <v>1949</v>
      </c>
      <c r="M6" s="811">
        <f>SUMPRODUCT((区片价!B127:B189=I2)*(区片价!C3:G3=E2)*(区片价!C127:G189))</f>
        <v>2050</v>
      </c>
      <c r="N6" s="813">
        <f>SUMPRODUCT((因素修正幅度!B127:B189=I2)*(因素修正幅度!C3:G3=E2)*(因素修正幅度!C127:G189))</f>
        <v>0.05</v>
      </c>
      <c r="O6" s="1056"/>
      <c r="P6" s="1056"/>
      <c r="Q6" s="1056"/>
      <c r="R6" s="1129">
        <v>5</v>
      </c>
      <c r="S6" s="3064">
        <f>ROUND(SUMPRODUCT((B106:B110=R6)*(C105:N105=G2)*(C106:N110)),4)</f>
        <v>0.84799999999999998</v>
      </c>
      <c r="T6" s="3064">
        <f t="shared" si="0"/>
        <v>1100</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3228</v>
      </c>
      <c r="B7" s="1865" t="s">
        <v>1950</v>
      </c>
      <c r="C7" s="711">
        <f>IF(C8="不临65条商业街",1,ROUND(1+(1.6*E8+1.2*E9+0.8*E10+0.4*E11)*C9,4))</f>
        <v>1</v>
      </c>
      <c r="D7" s="1866" t="s">
        <v>1951</v>
      </c>
      <c r="E7" s="730"/>
      <c r="F7" s="1867"/>
      <c r="G7" s="1868"/>
      <c r="H7" s="1868"/>
      <c r="I7" s="1868"/>
      <c r="J7" s="1869"/>
      <c r="K7" s="1292"/>
      <c r="L7" s="1847" t="s">
        <v>1952</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1953</v>
      </c>
      <c r="X7" s="1131" t="str">
        <f>G2</f>
        <v>六级</v>
      </c>
      <c r="Y7" s="1131" t="s">
        <v>1954</v>
      </c>
      <c r="Z7" s="1132">
        <f>G3</f>
        <v>1.72</v>
      </c>
      <c r="AA7" s="1133"/>
      <c r="AB7" s="1133"/>
      <c r="AC7" s="1134"/>
      <c r="AD7" s="1135"/>
      <c r="AE7" s="1135"/>
      <c r="AF7" s="1135"/>
      <c r="AG7" s="1135"/>
      <c r="AH7" s="1135"/>
      <c r="AI7" s="1135"/>
      <c r="AJ7" s="1136"/>
    </row>
    <row r="8" spans="1:36" ht="25.5">
      <c r="A8" s="3010"/>
      <c r="B8" s="162" t="s">
        <v>1955</v>
      </c>
      <c r="C8" s="1870" t="s">
        <v>3480</v>
      </c>
      <c r="D8" s="712" t="s">
        <v>112</v>
      </c>
      <c r="E8" s="713" t="e">
        <f>ROUND(C11/E7,4)</f>
        <v>#DIV/0!</v>
      </c>
      <c r="F8" s="1871" t="s">
        <v>1956</v>
      </c>
      <c r="G8" s="1872"/>
      <c r="H8" s="1872"/>
      <c r="I8" s="1872"/>
      <c r="J8" s="1873"/>
      <c r="K8" s="1056"/>
      <c r="L8" s="1847" t="s">
        <v>1957</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388" t="s">
        <v>1958</v>
      </c>
      <c r="X8" s="3389"/>
      <c r="Y8" s="1137" t="s">
        <v>1959</v>
      </c>
      <c r="Z8" s="1137" t="s">
        <v>1960</v>
      </c>
      <c r="AA8" s="1137" t="s">
        <v>1961</v>
      </c>
      <c r="AB8" s="1137" t="s">
        <v>1962</v>
      </c>
      <c r="AC8" s="1137" t="s">
        <v>1963</v>
      </c>
      <c r="AD8" s="1137" t="s">
        <v>1964</v>
      </c>
      <c r="AE8" s="1137" t="s">
        <v>1965</v>
      </c>
      <c r="AF8" s="1137" t="s">
        <v>1966</v>
      </c>
      <c r="AG8" s="1137" t="s">
        <v>1967</v>
      </c>
      <c r="AH8" s="1137" t="s">
        <v>1968</v>
      </c>
      <c r="AI8" s="1137" t="s">
        <v>1969</v>
      </c>
      <c r="AJ8" s="1137" t="s">
        <v>1970</v>
      </c>
    </row>
    <row r="9" spans="1:36" ht="15">
      <c r="A9" s="3010"/>
      <c r="B9" s="162" t="s">
        <v>1971</v>
      </c>
      <c r="C9" s="714">
        <f>SUMIF(修正!C71:C138,C8,修正!E71:E138)</f>
        <v>0</v>
      </c>
      <c r="D9" s="163" t="s">
        <v>113</v>
      </c>
      <c r="E9" s="163" t="e">
        <f>ROUND(C11/E7,4)</f>
        <v>#DIV/0!</v>
      </c>
      <c r="F9" s="1871" t="s">
        <v>1972</v>
      </c>
      <c r="G9" s="1872"/>
      <c r="H9" s="1872"/>
      <c r="I9" s="1872"/>
      <c r="J9" s="1873"/>
      <c r="K9" s="1056"/>
      <c r="L9" s="1847" t="s">
        <v>1973</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390"/>
      <c r="X9" s="3065" t="s">
        <v>3259</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1974</v>
      </c>
      <c r="C10" s="163">
        <f>SUMIF(修正!C71:C138,C8,修正!F71:F138)</f>
        <v>0</v>
      </c>
      <c r="D10" s="163" t="s">
        <v>114</v>
      </c>
      <c r="E10" s="163" t="e">
        <f>ROUND(C11/E7,4)</f>
        <v>#DIV/0!</v>
      </c>
      <c r="F10" s="1871" t="s">
        <v>1975</v>
      </c>
      <c r="G10" s="1872"/>
      <c r="H10" s="1872"/>
      <c r="I10" s="1872"/>
      <c r="J10" s="1873"/>
      <c r="K10" s="1056"/>
      <c r="L10" s="1847" t="s">
        <v>1976</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390"/>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1977</v>
      </c>
      <c r="C11" s="715">
        <f>C10/4</f>
        <v>0</v>
      </c>
      <c r="D11" s="715" t="s">
        <v>115</v>
      </c>
      <c r="E11" s="715" t="e">
        <f>ROUND(C11/E7,4)</f>
        <v>#DIV/0!</v>
      </c>
      <c r="F11" s="1875" t="s">
        <v>1978</v>
      </c>
      <c r="G11" s="1876"/>
      <c r="H11" s="1876"/>
      <c r="I11" s="1876"/>
      <c r="J11" s="1877"/>
      <c r="K11" s="1056"/>
      <c r="L11" s="1847" t="s">
        <v>1979</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3229</v>
      </c>
      <c r="B12" s="3014" t="s">
        <v>3230</v>
      </c>
      <c r="C12" s="3015"/>
      <c r="D12" s="3016" t="s">
        <v>3231</v>
      </c>
      <c r="E12" s="3017" t="s">
        <v>3232</v>
      </c>
      <c r="F12" s="3018"/>
      <c r="G12" s="3019"/>
      <c r="H12" s="3019"/>
      <c r="I12" s="3019"/>
      <c r="J12" s="3020"/>
      <c r="K12" s="1056"/>
      <c r="L12" s="1796" t="s">
        <v>1982</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3233</v>
      </c>
      <c r="B13" s="1878" t="s">
        <v>1980</v>
      </c>
      <c r="C13" s="711">
        <f>ROUND(C16*D16*E16*F16*G16*H16*I16*J16,4)</f>
        <v>0</v>
      </c>
      <c r="D13" s="1879" t="s">
        <v>1981</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1983</v>
      </c>
      <c r="C14" s="1884" t="s">
        <v>1984</v>
      </c>
      <c r="D14" s="1261" t="s">
        <v>1985</v>
      </c>
      <c r="E14" s="27" t="s">
        <v>1986</v>
      </c>
      <c r="F14" s="3021" t="s">
        <v>3234</v>
      </c>
      <c r="G14" s="3021" t="s">
        <v>3234</v>
      </c>
      <c r="H14" s="3021" t="s">
        <v>3234</v>
      </c>
      <c r="I14" s="3021" t="s">
        <v>3234</v>
      </c>
      <c r="J14" s="3021" t="s">
        <v>3234</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3235</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1987</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3236</v>
      </c>
      <c r="B17" s="3028" t="s">
        <v>3237</v>
      </c>
      <c r="C17" s="3037">
        <f>ROUND(IF(OR(E2="工业",E2="公共服务"),1,IF(AND(E18=0,E19=0),1,IF(AND(E18=J24,E19=G19),0.8,IF(E19=0,1+E17*(-0.2),1+E17*G17*(-0.2))))),4)</f>
        <v>1</v>
      </c>
      <c r="D17" s="3029" t="s">
        <v>3238</v>
      </c>
      <c r="E17" s="3037">
        <f>ROUND(G18/I18,2)</f>
        <v>0</v>
      </c>
      <c r="F17" s="3029" t="s">
        <v>3241</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3239</v>
      </c>
      <c r="E18" s="2357"/>
      <c r="F18" s="3031" t="s">
        <v>3242</v>
      </c>
      <c r="G18" s="3035">
        <f>ROUND(1-(1/(POWER(1+G24,E18))),4)</f>
        <v>0</v>
      </c>
      <c r="H18" s="3031" t="s">
        <v>3244</v>
      </c>
      <c r="I18" s="3035">
        <f>ROUND(1-(1/(POWER(1+G24,J24))),4)</f>
        <v>0.91279999999999994</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3240</v>
      </c>
      <c r="E19" s="3044"/>
      <c r="F19" s="3045" t="s">
        <v>3243</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395" t="s">
        <v>3245</v>
      </c>
      <c r="B20" s="159" t="s">
        <v>1992</v>
      </c>
      <c r="C20" s="3032">
        <f>ROUND(IF(F21="与级别开发程度一致",0,(G21-E21)/C21),0)</f>
        <v>0</v>
      </c>
      <c r="D20" s="3047" t="s">
        <v>1996</v>
      </c>
      <c r="E20" s="3048"/>
      <c r="F20" s="3401" t="s">
        <v>1993</v>
      </c>
      <c r="G20" s="3402"/>
      <c r="H20" s="3033"/>
      <c r="I20" s="3033"/>
      <c r="J20" s="3034"/>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396"/>
      <c r="B21" s="2002" t="s">
        <v>1995</v>
      </c>
      <c r="C21" s="2003">
        <f>IF(E3="M4科研用地",SUMPRODUCT((修正!A2:A7=E3)*(修正!B1:M1=G2)*(修正!B2:M7)),SUMPRODUCT((修正!A2:A7=E2)*(修正!B1:M1=G2)*(修正!B2:M7)))</f>
        <v>1.2</v>
      </c>
      <c r="D21" s="179" t="str">
        <f>IF(OR(G2="八级",G2="九级",G2="十级",G2="十一级",G2="十二级"),"五通一平","七通一平")</f>
        <v>七通一平</v>
      </c>
      <c r="E21" s="1993">
        <f>SUMPRODUCT((修正!B1:M1=G2)*(修正!B17:M17))</f>
        <v>315</v>
      </c>
      <c r="F21" s="1994" t="s">
        <v>3481</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1998</v>
      </c>
      <c r="C22" s="1998">
        <f>SUMIF(修正!C20:C51,E3,修正!E20:E51)</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1999</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1.0818000000000001</v>
      </c>
      <c r="D23" s="1896" t="s">
        <v>2000</v>
      </c>
      <c r="E23" s="717">
        <v>44197</v>
      </c>
      <c r="F23" s="1896" t="s">
        <v>2001</v>
      </c>
      <c r="G23" s="718">
        <f>'数据-取费表'!B2</f>
        <v>45632</v>
      </c>
      <c r="H23" s="3049" t="s">
        <v>3247</v>
      </c>
      <c r="I23" s="3050" t="str">
        <f>IF(H23="季度增幅（自定义）",SUMIF(N25:N28,E2,O25:O28),"")</f>
        <v/>
      </c>
      <c r="J23" s="3142" t="s">
        <v>3246</v>
      </c>
      <c r="K23" s="1061"/>
      <c r="L23" s="1897" t="s">
        <v>2002</v>
      </c>
      <c r="M23" s="1241">
        <f>ROUND(SUMIF(地价!B2:G2,E2,地价!B16:G16),0)</f>
        <v>318</v>
      </c>
      <c r="N23" s="1898" t="s">
        <v>2003</v>
      </c>
      <c r="O23" s="719">
        <f>ROUNDDOWN(DATEDIF(E23,G23,"M")/3,0)</f>
        <v>15</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2004</v>
      </c>
      <c r="C24" s="720">
        <f>ROUND(POWER(1+G24,J24-I24)*(POWER(1+G24,I24)-1)/(POWER(1+G24,J24)-1),4)</f>
        <v>0.58499999999999996</v>
      </c>
      <c r="D24" s="1902" t="s">
        <v>2005</v>
      </c>
      <c r="E24" s="1248">
        <f>存贷款利率!E27/100</f>
        <v>4.3499999999999997E-2</v>
      </c>
      <c r="F24" s="1902" t="s">
        <v>1997</v>
      </c>
      <c r="G24" s="724">
        <f>SUMIF(M30:Q30,E2,M33:Q33)</f>
        <v>0.05</v>
      </c>
      <c r="H24" s="1902" t="s">
        <v>2006</v>
      </c>
      <c r="I24" s="725">
        <f>SUMIF('数据-取费表'!C6:C15,E2,'数据-取费表'!F6:F15)/COUNTIF('数据-取费表'!C6:C15,E2)</f>
        <v>15.65</v>
      </c>
      <c r="J24" s="726">
        <f>IF(E2="住宅",70,IF(E2="商业",40,50))</f>
        <v>50</v>
      </c>
      <c r="K24" s="1061"/>
      <c r="L24" s="1903" t="s">
        <v>2007</v>
      </c>
      <c r="M24" s="1242">
        <f>ROUND(SUMPRODUCT((地价!A4:A16=YEAR(G23)&amp;"-"&amp;ROUNDUP(MONTH(G23)/3,0))*(地价!B2:G2=E2)*(地价!B4:G16)),0)</f>
        <v>0</v>
      </c>
      <c r="N24" s="1904" t="s">
        <v>2008</v>
      </c>
      <c r="O24" s="1905" t="s">
        <v>2009</v>
      </c>
      <c r="P24" s="1906" t="s">
        <v>2010</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3326</v>
      </c>
      <c r="C25" s="461">
        <f>IF(B25="容积率修正",IF(G3&lt;10,D26,J26),C27)</f>
        <v>0.87580000000000002</v>
      </c>
      <c r="D25" s="1909"/>
      <c r="E25" s="1909"/>
      <c r="F25" s="1909"/>
      <c r="G25" s="1909"/>
      <c r="H25" s="1909"/>
      <c r="I25" s="1909"/>
      <c r="J25" s="1910"/>
      <c r="K25" s="1061"/>
      <c r="L25" s="2553"/>
      <c r="M25" s="2553"/>
      <c r="N25" s="1911" t="s">
        <v>2011</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2012</v>
      </c>
      <c r="B26" s="1912" t="s">
        <v>2013</v>
      </c>
      <c r="C26" s="1912" t="s">
        <v>3248</v>
      </c>
      <c r="D26" s="1263">
        <f>IF(E26=G26,F26,IF(G3&lt;10,ROUND(F26+(H26-F26)*(G3-E26)/(G26-E26),4),"——"))</f>
        <v>0.87580000000000002</v>
      </c>
      <c r="E26" s="708">
        <f>ROUNDDOWN(G3,1)</f>
        <v>1.7</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0.87980000000000003</v>
      </c>
      <c r="G26" s="708">
        <f>ROUNDUP(G3,1)</f>
        <v>1.8</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0.85960000000000003</v>
      </c>
      <c r="I26" s="1912" t="s">
        <v>3249</v>
      </c>
      <c r="J26" s="374" t="str">
        <f>IF(G3&gt;=10,D115,"——")</f>
        <v>——</v>
      </c>
      <c r="K26" s="1061"/>
      <c r="L26" s="2553"/>
      <c r="M26" s="2553"/>
      <c r="N26" s="1911" t="s">
        <v>2014</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2015</v>
      </c>
      <c r="B27" s="1913" t="s">
        <v>2016</v>
      </c>
      <c r="C27" s="791">
        <f>ROUND(IF(I3&lt;6,SUMPRODUCT((B106:B110=I3)*(C105:N105=G2)*(C106:N110)),SUMIF(C105:N105,G2,C112:N112)),4)</f>
        <v>0</v>
      </c>
      <c r="D27" s="1842"/>
      <c r="E27" s="1842"/>
      <c r="F27" s="1914"/>
      <c r="G27" s="1915"/>
      <c r="H27" s="1916"/>
      <c r="I27" s="1917"/>
      <c r="J27" s="1918"/>
      <c r="K27" s="1056"/>
      <c r="L27" s="1844"/>
      <c r="M27" s="1844"/>
      <c r="N27" s="1911" t="s">
        <v>2017</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2018</v>
      </c>
      <c r="C28" s="716">
        <f>SUMIF(A47:A101,E2,B47:B101)</f>
        <v>1</v>
      </c>
      <c r="D28" s="1894"/>
      <c r="E28" s="1919"/>
      <c r="F28" s="1919"/>
      <c r="G28" s="1919"/>
      <c r="H28" s="1919"/>
      <c r="I28" s="1919"/>
      <c r="J28" s="1920"/>
      <c r="K28" s="1061"/>
      <c r="L28" s="2553"/>
      <c r="M28" s="2553"/>
      <c r="N28" s="1921" t="s">
        <v>2019</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2020</v>
      </c>
      <c r="C29" s="721"/>
      <c r="D29" s="1868"/>
      <c r="E29" s="1868"/>
      <c r="F29" s="1923"/>
      <c r="G29" s="1868"/>
      <c r="H29" s="1868"/>
      <c r="I29" s="1868"/>
      <c r="J29" s="1869"/>
      <c r="K29" s="1056"/>
      <c r="L29" s="1844"/>
      <c r="M29" s="1844"/>
      <c r="N29" s="2550" t="s">
        <v>2021</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2022</v>
      </c>
      <c r="C30" s="2145">
        <f>IF(B25="容积率修正",E33+SUM(E37:E42),SUM(V2:V16)+SUM(E37:E42))</f>
        <v>6108</v>
      </c>
      <c r="D30" s="1925"/>
      <c r="E30" s="1842"/>
      <c r="F30" s="1926"/>
      <c r="G30" s="1842"/>
      <c r="H30" s="1842"/>
      <c r="I30" s="1842"/>
      <c r="J30" s="1927"/>
      <c r="K30" s="1056"/>
      <c r="L30" s="3056" t="s">
        <v>1934</v>
      </c>
      <c r="M30" s="3057" t="s">
        <v>1988</v>
      </c>
      <c r="N30" s="3057" t="s">
        <v>1989</v>
      </c>
      <c r="O30" s="3057" t="s">
        <v>1990</v>
      </c>
      <c r="P30" s="3057" t="s">
        <v>1991</v>
      </c>
      <c r="Q30" s="3060" t="s">
        <v>3253</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2023</v>
      </c>
      <c r="C31" s="722">
        <f>E34+SUM(I37:I42)</f>
        <v>44</v>
      </c>
      <c r="D31" s="1929"/>
      <c r="E31" s="1930"/>
      <c r="F31" s="1931"/>
      <c r="G31" s="1930"/>
      <c r="H31" s="1930"/>
      <c r="I31" s="1930"/>
      <c r="J31" s="1932"/>
      <c r="K31" s="1056"/>
      <c r="L31" s="3058" t="s">
        <v>1994</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2024</v>
      </c>
      <c r="C32" s="1935" t="s">
        <v>2025</v>
      </c>
      <c r="D32" s="1935" t="s">
        <v>2026</v>
      </c>
      <c r="E32" s="1936" t="s">
        <v>2027</v>
      </c>
      <c r="F32" s="1937"/>
      <c r="G32" s="1881"/>
      <c r="H32" s="1881"/>
      <c r="I32" s="1881"/>
      <c r="J32" s="1882"/>
      <c r="K32" s="1056"/>
      <c r="L32" s="3059" t="s">
        <v>1997</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2028</v>
      </c>
      <c r="C33" s="167">
        <f>ROUND(C5*C22*C23*C24*C25*C28,0)</f>
        <v>1136</v>
      </c>
      <c r="D33" s="1940">
        <f>'数据-汇总表'!F19</f>
        <v>51170.55999999999</v>
      </c>
      <c r="E33" s="727">
        <f>ROUND(C33*D33/10000,0)</f>
        <v>5813</v>
      </c>
      <c r="F33" s="3051" t="s">
        <v>3251</v>
      </c>
      <c r="G33" s="1941"/>
      <c r="H33" s="1941"/>
      <c r="I33" s="1941"/>
      <c r="J33" s="1942"/>
      <c r="K33" s="1056"/>
      <c r="L33" s="3054" t="s">
        <v>3254</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2029</v>
      </c>
      <c r="C34" s="179">
        <f>ROUND(IF(E2="工业",C33*M42,IF(B25="楼层修正",SUM(V2:V16)*M41*10000/D34,C33*M41)),0)</f>
        <v>170</v>
      </c>
      <c r="D34" s="1945"/>
      <c r="E34" s="727">
        <f>ROUND(IF(B25="楼层修正",SUM(V2:V16)*M40,C34*D34/10000),0)</f>
        <v>0</v>
      </c>
      <c r="F34" s="1946" t="s">
        <v>2030</v>
      </c>
      <c r="G34" s="1947"/>
      <c r="H34" s="1947"/>
      <c r="I34" s="1947"/>
      <c r="J34" s="1948"/>
      <c r="K34" s="1056"/>
      <c r="L34" s="3054" t="s">
        <v>3255</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2031</v>
      </c>
      <c r="C35" s="3052" t="s">
        <v>3252</v>
      </c>
      <c r="D35" s="1881"/>
      <c r="E35" s="1951"/>
      <c r="F35" s="1951"/>
      <c r="G35" s="1879" t="s">
        <v>2032</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2025</v>
      </c>
      <c r="D36" s="433" t="s">
        <v>2026</v>
      </c>
      <c r="E36" s="433" t="s">
        <v>2027</v>
      </c>
      <c r="F36" s="333" t="s">
        <v>2033</v>
      </c>
      <c r="G36" s="1954" t="s">
        <v>2025</v>
      </c>
      <c r="H36" s="1954" t="s">
        <v>2026</v>
      </c>
      <c r="I36" s="1954" t="s">
        <v>2027</v>
      </c>
      <c r="J36" s="235"/>
      <c r="K36" s="1964" t="s">
        <v>3256</v>
      </c>
      <c r="L36" s="3143">
        <f ca="1">'数据-取费表'!B40</f>
        <v>3.1E-2</v>
      </c>
      <c r="M36" s="2366">
        <f ca="1">ROUND($L$36*(1+M31),3)</f>
        <v>3.9E-2</v>
      </c>
      <c r="N36" s="2366">
        <f ca="1">ROUND($L$36*(1+N31),3)</f>
        <v>3.6999999999999998E-2</v>
      </c>
      <c r="O36" s="2366">
        <f ca="1">ROUND($L$36*(1+O31),3)</f>
        <v>3.5999999999999997E-2</v>
      </c>
      <c r="P36" s="2366">
        <f ca="1">ROUND($L$36*(1+P31),3)</f>
        <v>3.4000000000000002E-2</v>
      </c>
      <c r="Q36" s="2366">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399"/>
      <c r="B37" s="1955" t="s">
        <v>2034</v>
      </c>
      <c r="C37" s="167">
        <f>ROUND(D5*C22*C23*C24*C28*F37,0)</f>
        <v>778</v>
      </c>
      <c r="D37" s="1940"/>
      <c r="E37" s="163">
        <f>ROUND(C37*D37/10000,0)</f>
        <v>0</v>
      </c>
      <c r="F37" s="163">
        <f>SUMIF(修正!A57:A68,G2,修正!B57:B68)</f>
        <v>0.6</v>
      </c>
      <c r="G37" s="163">
        <f>ROUND(IF(E2="工业",C37*$M$42,C37*$M$41),0)</f>
        <v>117</v>
      </c>
      <c r="H37" s="163">
        <f>D37</f>
        <v>0</v>
      </c>
      <c r="I37" s="163">
        <f>ROUND(G37*H37/10000,0)</f>
        <v>0</v>
      </c>
      <c r="J37" s="2755"/>
      <c r="K37" s="3062" t="s">
        <v>3257</v>
      </c>
      <c r="L37" s="1964">
        <f ca="1">L36+K38</f>
        <v>3.5999999999999997E-2</v>
      </c>
      <c r="M37" s="2366">
        <f ca="1">ROUND($L$37*(1+M31),3)</f>
        <v>4.4999999999999998E-2</v>
      </c>
      <c r="N37" s="2366">
        <f t="shared" ref="N37:Q37" ca="1" si="3">ROUND($L$37*(1+N31),3)</f>
        <v>4.2999999999999997E-2</v>
      </c>
      <c r="O37" s="2366">
        <f t="shared" ca="1" si="3"/>
        <v>4.1000000000000002E-2</v>
      </c>
      <c r="P37" s="2366">
        <f t="shared" ca="1" si="3"/>
        <v>0.04</v>
      </c>
      <c r="Q37" s="2366">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00"/>
      <c r="B38" s="1884" t="s">
        <v>2035</v>
      </c>
      <c r="C38" s="167">
        <f>ROUND(D5*C22*C23*C24*C28*F38,0)</f>
        <v>389</v>
      </c>
      <c r="D38" s="1940"/>
      <c r="E38" s="163">
        <f t="shared" ref="E38:E42" si="4">ROUND(C38*D38/10000,0)</f>
        <v>0</v>
      </c>
      <c r="F38" s="163">
        <f>SUMIF(修正!A57:A68,G2,修正!C57:C68)</f>
        <v>0.3</v>
      </c>
      <c r="G38" s="163">
        <f>ROUND(IF(E2="工业",C38*$M$42,C38*$M$41),0)</f>
        <v>58</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400"/>
      <c r="B39" s="1884" t="s">
        <v>3250</v>
      </c>
      <c r="C39" s="167">
        <f>ROUND(D5*C22*C23*C24*C28*F39,0)</f>
        <v>324</v>
      </c>
      <c r="D39" s="1940"/>
      <c r="E39" s="163">
        <f t="shared" si="4"/>
        <v>0</v>
      </c>
      <c r="F39" s="163">
        <f>SUMIF(修正!A57:A68,G2,修正!D57:D68)</f>
        <v>0.25</v>
      </c>
      <c r="G39" s="163">
        <f>ROUND(IF(E2="工业",C39*$M$42,C39*$M$41),0)</f>
        <v>49</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2036</v>
      </c>
      <c r="C40" s="163">
        <f>ROUND(D5*C22*C23*C24*C28*F40,0)</f>
        <v>324</v>
      </c>
      <c r="D40" s="1940"/>
      <c r="E40" s="163">
        <f t="shared" si="4"/>
        <v>0</v>
      </c>
      <c r="F40" s="167">
        <f>SUMIF(修正!A57:A68,G2,修正!E57:E68)</f>
        <v>0.25</v>
      </c>
      <c r="G40" s="163">
        <f>ROUND(IF(E2="工业",C40*$M$42,C40*$M$41),0)</f>
        <v>49</v>
      </c>
      <c r="H40" s="163">
        <f t="shared" si="5"/>
        <v>0</v>
      </c>
      <c r="I40" s="163">
        <f t="shared" si="6"/>
        <v>0</v>
      </c>
      <c r="J40" s="939"/>
      <c r="L40" s="1957" t="s">
        <v>2037</v>
      </c>
      <c r="M40" s="1958"/>
      <c r="Z40" s="1057"/>
      <c r="AA40" s="1057"/>
      <c r="AB40" s="1057"/>
      <c r="AC40" s="1057"/>
      <c r="AD40" s="1057"/>
      <c r="AE40" s="1057"/>
      <c r="AF40" s="1057"/>
      <c r="AG40" s="1057"/>
      <c r="AH40" s="1057"/>
      <c r="AI40" s="1057"/>
      <c r="AJ40" s="1057"/>
    </row>
    <row r="41" spans="1:37" s="1056" customFormat="1">
      <c r="A41" s="1956"/>
      <c r="B41" s="1884" t="s">
        <v>2038</v>
      </c>
      <c r="C41" s="163">
        <f>ROUND(D5*C22*C23*C44*C28*F41,0)</f>
        <v>324</v>
      </c>
      <c r="D41" s="1940"/>
      <c r="E41" s="163">
        <f t="shared" si="4"/>
        <v>0</v>
      </c>
      <c r="F41" s="167">
        <f>SUMIF(修正!A57:A68,G2,修正!F57:F68)</f>
        <v>0.25</v>
      </c>
      <c r="G41" s="163">
        <f>ROUND(IF(E2="工业",C41*$M$42,C41*$M$41),0)</f>
        <v>49</v>
      </c>
      <c r="H41" s="163">
        <f t="shared" si="5"/>
        <v>0</v>
      </c>
      <c r="I41" s="163">
        <f t="shared" si="6"/>
        <v>0</v>
      </c>
      <c r="J41" s="939"/>
      <c r="L41" s="3063" t="s">
        <v>3258</v>
      </c>
      <c r="M41" s="1959">
        <v>0.25</v>
      </c>
      <c r="Z41" s="1057"/>
      <c r="AA41" s="1057"/>
      <c r="AB41" s="1057"/>
      <c r="AC41" s="1057"/>
      <c r="AD41" s="1057"/>
      <c r="AE41" s="1057"/>
      <c r="AF41" s="1057"/>
      <c r="AG41" s="1057"/>
      <c r="AH41" s="1057"/>
      <c r="AI41" s="1057"/>
      <c r="AJ41" s="1057"/>
    </row>
    <row r="42" spans="1:37" s="1056" customFormat="1" ht="13.5" thickBot="1">
      <c r="A42" s="1943"/>
      <c r="B42" s="1960" t="s">
        <v>2039</v>
      </c>
      <c r="C42" s="179">
        <f>ROUND(D5*C22*C23*C44*C28*F42,0)</f>
        <v>195</v>
      </c>
      <c r="D42" s="1945">
        <f>'数据-汇总表'!G19</f>
        <v>15117.54</v>
      </c>
      <c r="E42" s="179">
        <f t="shared" si="4"/>
        <v>295</v>
      </c>
      <c r="F42" s="723">
        <f>SUMIF(修正!A57:A68,G2,修正!G57:G68)</f>
        <v>0.15</v>
      </c>
      <c r="G42" s="179">
        <f>ROUND(IF(E2="工业",C42*$M$42,C42*$M$41),0)</f>
        <v>29</v>
      </c>
      <c r="H42" s="179">
        <f t="shared" si="5"/>
        <v>15117.54</v>
      </c>
      <c r="I42" s="179">
        <f t="shared" si="6"/>
        <v>44</v>
      </c>
      <c r="J42" s="1961"/>
      <c r="L42" s="1962" t="s">
        <v>1991</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2120</v>
      </c>
      <c r="C44" s="333">
        <f>ROUND(POWER(1+E44,H44-G44)*(POWER(1+E44,G44)-1)/(POWER(1+E44,H44)-1),4)</f>
        <v>0.58499999999999996</v>
      </c>
      <c r="D44" s="163" t="s">
        <v>1997</v>
      </c>
      <c r="E44" s="1991">
        <f>G24</f>
        <v>0.05</v>
      </c>
      <c r="F44" s="163" t="s">
        <v>2006</v>
      </c>
      <c r="G44" s="175">
        <f>项目基本情况!H15</f>
        <v>15.65</v>
      </c>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2040</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2041</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2042</v>
      </c>
      <c r="B49" s="1262" t="s">
        <v>2043</v>
      </c>
      <c r="C49" s="1262" t="s">
        <v>2044</v>
      </c>
      <c r="D49" s="1262" t="s">
        <v>2045</v>
      </c>
      <c r="E49" s="701" t="s">
        <v>2046</v>
      </c>
      <c r="F49" s="1971" t="s">
        <v>2047</v>
      </c>
      <c r="G49" s="1262" t="s">
        <v>310</v>
      </c>
      <c r="H49" s="1972" t="s">
        <v>2048</v>
      </c>
      <c r="I49" s="1262" t="s">
        <v>2049</v>
      </c>
      <c r="J49" s="530" t="s">
        <v>1720</v>
      </c>
      <c r="K49" s="530" t="s">
        <v>1721</v>
      </c>
      <c r="L49" s="530" t="s">
        <v>1722</v>
      </c>
      <c r="M49" s="530" t="s">
        <v>1723</v>
      </c>
      <c r="N49" s="530" t="s">
        <v>1724</v>
      </c>
      <c r="AA49" s="1057"/>
      <c r="AB49" s="1057"/>
      <c r="AC49" s="1057"/>
      <c r="AD49" s="1057"/>
      <c r="AE49" s="1057"/>
      <c r="AF49" s="1057"/>
      <c r="AG49" s="1057"/>
      <c r="AH49" s="1057"/>
      <c r="AI49" s="1057"/>
      <c r="AJ49" s="1057"/>
      <c r="AK49" s="1057"/>
    </row>
    <row r="50" spans="1:37" s="1056" customFormat="1" ht="24.75">
      <c r="A50" s="1970" t="s">
        <v>2050</v>
      </c>
      <c r="B50" s="1973">
        <f>估价对象房地状况!C4</f>
        <v>0</v>
      </c>
      <c r="C50" s="1887"/>
      <c r="D50" s="1002">
        <f t="shared" ref="D50:D58" si="7">SUMIF($J$49:$N$49,C50,J50:N50)</f>
        <v>0</v>
      </c>
      <c r="E50" s="702">
        <f>ROUND(SUM(D50:D58),4)</f>
        <v>0</v>
      </c>
      <c r="F50" s="1675" t="str">
        <f>IF(E2="商业",SUMIF(L1:L12,G2,N1:N12),"——")</f>
        <v>——</v>
      </c>
      <c r="G50" s="1000"/>
      <c r="H50" s="1003" t="str">
        <f t="shared" ref="H50:H58" si="8">IFERROR(ROUNDDOWN($F$50*I50/2,4),"——")</f>
        <v>——</v>
      </c>
      <c r="I50" s="3069">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14.25">
      <c r="A51" s="1970" t="s">
        <v>2051</v>
      </c>
      <c r="B51" s="1262">
        <f>估价对象房地状况!C18</f>
        <v>0</v>
      </c>
      <c r="C51" s="1887"/>
      <c r="D51" s="1002">
        <f t="shared" si="7"/>
        <v>0</v>
      </c>
      <c r="E51" s="703"/>
      <c r="F51" s="1675"/>
      <c r="G51" s="1000"/>
      <c r="H51" s="1003" t="str">
        <f t="shared" si="8"/>
        <v>——</v>
      </c>
      <c r="I51" s="3069">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1" t="s">
        <v>3260</v>
      </c>
      <c r="B52" s="1262">
        <f>估价对象房地状况!C19</f>
        <v>0</v>
      </c>
      <c r="C52" s="1887"/>
      <c r="D52" s="1002">
        <f t="shared" si="7"/>
        <v>0</v>
      </c>
      <c r="E52" s="703"/>
      <c r="F52" s="1675"/>
      <c r="G52" s="1000"/>
      <c r="H52" s="1003" t="str">
        <f t="shared" si="8"/>
        <v>——</v>
      </c>
      <c r="I52" s="3069">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70" t="s">
        <v>2052</v>
      </c>
      <c r="B53" s="1974" t="s">
        <v>2053</v>
      </c>
      <c r="C53" s="1887"/>
      <c r="D53" s="1002">
        <f t="shared" si="7"/>
        <v>0</v>
      </c>
      <c r="E53" s="703"/>
      <c r="F53" s="1675"/>
      <c r="G53" s="1000"/>
      <c r="H53" s="1003" t="str">
        <f t="shared" si="8"/>
        <v>——</v>
      </c>
      <c r="I53" s="3069">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2054</v>
      </c>
      <c r="B54" s="1262">
        <f>估价对象房地状况!C24</f>
        <v>0</v>
      </c>
      <c r="C54" s="1887"/>
      <c r="D54" s="1002">
        <f t="shared" si="7"/>
        <v>0</v>
      </c>
      <c r="E54" s="703"/>
      <c r="F54" s="1675"/>
      <c r="G54" s="1000"/>
      <c r="H54" s="1003" t="str">
        <f t="shared" si="8"/>
        <v>——</v>
      </c>
      <c r="I54" s="3069">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70" t="s">
        <v>2055</v>
      </c>
      <c r="B55" s="1975" t="s">
        <v>2056</v>
      </c>
      <c r="C55" s="1887"/>
      <c r="D55" s="1002">
        <f t="shared" si="7"/>
        <v>0</v>
      </c>
      <c r="E55" s="703"/>
      <c r="F55" s="1675"/>
      <c r="G55" s="1000"/>
      <c r="H55" s="1003" t="str">
        <f t="shared" si="8"/>
        <v>——</v>
      </c>
      <c r="I55" s="3069">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4">
      <c r="A56" s="1976" t="s">
        <v>2057</v>
      </c>
      <c r="B56" s="1240">
        <f>估价对象房地状况!C21</f>
        <v>0</v>
      </c>
      <c r="C56" s="1887"/>
      <c r="D56" s="1002">
        <f t="shared" si="7"/>
        <v>0</v>
      </c>
      <c r="E56" s="703"/>
      <c r="F56" s="1675"/>
      <c r="G56" s="1000"/>
      <c r="H56" s="1003" t="str">
        <f t="shared" si="8"/>
        <v>——</v>
      </c>
      <c r="I56" s="3069">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4">
      <c r="A57" s="1976" t="s">
        <v>2058</v>
      </c>
      <c r="B57" s="1262">
        <f>估价对象房地状况!C22</f>
        <v>0</v>
      </c>
      <c r="C57" s="1887"/>
      <c r="D57" s="1002">
        <f t="shared" si="7"/>
        <v>0</v>
      </c>
      <c r="E57" s="703"/>
      <c r="F57" s="1675"/>
      <c r="G57" s="1000"/>
      <c r="H57" s="1003" t="str">
        <f t="shared" si="8"/>
        <v>——</v>
      </c>
      <c r="I57" s="3069">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4.75" thickBot="1">
      <c r="A58" s="1977" t="s">
        <v>2059</v>
      </c>
      <c r="B58" s="1978">
        <f>估价对象房地状况!C20</f>
        <v>0</v>
      </c>
      <c r="C58" s="1887"/>
      <c r="D58" s="1002">
        <f t="shared" si="7"/>
        <v>0</v>
      </c>
      <c r="E58" s="704"/>
      <c r="F58" s="1675"/>
      <c r="G58" s="1000"/>
      <c r="H58" s="1003" t="str">
        <f t="shared" si="8"/>
        <v>——</v>
      </c>
      <c r="I58" s="3070">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7" t="s">
        <v>2060</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2042</v>
      </c>
      <c r="B60" s="1262"/>
      <c r="C60" s="1262" t="s">
        <v>2044</v>
      </c>
      <c r="D60" s="1262" t="s">
        <v>2045</v>
      </c>
      <c r="E60" s="701" t="s">
        <v>2046</v>
      </c>
      <c r="F60" s="1971" t="s">
        <v>2061</v>
      </c>
      <c r="G60" s="1262" t="s">
        <v>310</v>
      </c>
      <c r="H60" s="1972" t="s">
        <v>2048</v>
      </c>
      <c r="I60" s="1262" t="s">
        <v>2049</v>
      </c>
      <c r="J60" s="530" t="s">
        <v>1720</v>
      </c>
      <c r="K60" s="530" t="s">
        <v>1721</v>
      </c>
      <c r="L60" s="530" t="s">
        <v>1722</v>
      </c>
      <c r="M60" s="530" t="s">
        <v>1723</v>
      </c>
      <c r="N60" s="530" t="s">
        <v>1724</v>
      </c>
      <c r="AA60" s="1057"/>
      <c r="AB60" s="1057"/>
      <c r="AC60" s="1057"/>
      <c r="AD60" s="1057"/>
      <c r="AE60" s="1057"/>
      <c r="AF60" s="1057"/>
      <c r="AG60" s="1057"/>
      <c r="AH60" s="1057"/>
      <c r="AI60" s="1057"/>
      <c r="AJ60" s="1057"/>
      <c r="AK60" s="1057"/>
    </row>
    <row r="61" spans="1:37" s="1056" customFormat="1" ht="24">
      <c r="A61" s="1970" t="s">
        <v>2062</v>
      </c>
      <c r="B61" s="1973">
        <f>估价对象房地状况!C17</f>
        <v>0</v>
      </c>
      <c r="C61" s="1887"/>
      <c r="D61" s="1002">
        <f t="shared" ref="D61:D69" si="12">SUMIF($J$60:$N$60,C61,J61:N61)</f>
        <v>0</v>
      </c>
      <c r="E61" s="702">
        <f>ROUND(SUM(D61:D69),4)</f>
        <v>0</v>
      </c>
      <c r="F61" s="1675" t="str">
        <f>IF(E2="办公",SUMIF(L1:L12,G2,N1:N12),"——")</f>
        <v>——</v>
      </c>
      <c r="G61" s="1000"/>
      <c r="H61" s="1003" t="str">
        <f t="shared" ref="H61:H69" si="13">IFERROR(ROUNDDOWN($F$61*I61/2,4),"——")</f>
        <v>——</v>
      </c>
      <c r="I61" s="3069">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14.25">
      <c r="A62" s="1970" t="s">
        <v>2051</v>
      </c>
      <c r="B62" s="1262">
        <f>估价对象房地状况!C18</f>
        <v>0</v>
      </c>
      <c r="C62" s="1887"/>
      <c r="D62" s="1002">
        <f t="shared" si="12"/>
        <v>0</v>
      </c>
      <c r="E62" s="703"/>
      <c r="F62" s="1675"/>
      <c r="G62" s="1000"/>
      <c r="H62" s="1003" t="str">
        <f t="shared" si="13"/>
        <v>——</v>
      </c>
      <c r="I62" s="3069">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6">
      <c r="A63" s="3071" t="s">
        <v>3260</v>
      </c>
      <c r="B63" s="1262">
        <f>估价对象房地状况!C19</f>
        <v>0</v>
      </c>
      <c r="C63" s="1887"/>
      <c r="D63" s="1002">
        <f t="shared" si="12"/>
        <v>0</v>
      </c>
      <c r="E63" s="703"/>
      <c r="F63" s="1675"/>
      <c r="G63" s="1000"/>
      <c r="H63" s="1003" t="str">
        <f t="shared" si="13"/>
        <v>——</v>
      </c>
      <c r="I63" s="3069">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6.75">
      <c r="A64" s="1970" t="s">
        <v>2052</v>
      </c>
      <c r="B64" s="1974" t="s">
        <v>2053</v>
      </c>
      <c r="C64" s="1887"/>
      <c r="D64" s="1002">
        <f t="shared" si="12"/>
        <v>0</v>
      </c>
      <c r="E64" s="703"/>
      <c r="F64" s="1675"/>
      <c r="G64" s="1000"/>
      <c r="H64" s="1003" t="str">
        <f t="shared" si="13"/>
        <v>——</v>
      </c>
      <c r="I64" s="3069">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70" t="s">
        <v>2054</v>
      </c>
      <c r="B65" s="1262">
        <f>估价对象房地状况!C24</f>
        <v>0</v>
      </c>
      <c r="C65" s="1887"/>
      <c r="D65" s="1002">
        <f t="shared" si="12"/>
        <v>0</v>
      </c>
      <c r="E65" s="703"/>
      <c r="F65" s="1675"/>
      <c r="G65" s="1000"/>
      <c r="H65" s="1003" t="str">
        <f t="shared" si="13"/>
        <v>——</v>
      </c>
      <c r="I65" s="3069">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4">
      <c r="A66" s="1970" t="s">
        <v>2055</v>
      </c>
      <c r="B66" s="1975" t="s">
        <v>2056</v>
      </c>
      <c r="C66" s="1887"/>
      <c r="D66" s="1002">
        <f t="shared" si="12"/>
        <v>0</v>
      </c>
      <c r="E66" s="703"/>
      <c r="F66" s="1675"/>
      <c r="G66" s="1000"/>
      <c r="H66" s="1003" t="str">
        <f t="shared" si="13"/>
        <v>——</v>
      </c>
      <c r="I66" s="3069">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4">
      <c r="A67" s="1970" t="s">
        <v>2057</v>
      </c>
      <c r="B67" s="1240">
        <f>估价对象房地状况!C21</f>
        <v>0</v>
      </c>
      <c r="C67" s="1887"/>
      <c r="D67" s="1002">
        <f t="shared" si="12"/>
        <v>0</v>
      </c>
      <c r="E67" s="703"/>
      <c r="F67" s="1675"/>
      <c r="G67" s="1000"/>
      <c r="H67" s="1003" t="str">
        <f t="shared" si="13"/>
        <v>——</v>
      </c>
      <c r="I67" s="3069">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4">
      <c r="A68" s="1970" t="s">
        <v>2058</v>
      </c>
      <c r="B68" s="1240">
        <f>估价对象房地状况!C22</f>
        <v>0</v>
      </c>
      <c r="C68" s="1887"/>
      <c r="D68" s="1002">
        <f t="shared" si="12"/>
        <v>0</v>
      </c>
      <c r="E68" s="703"/>
      <c r="F68" s="1675"/>
      <c r="G68" s="1000"/>
      <c r="H68" s="1003" t="str">
        <f t="shared" si="13"/>
        <v>——</v>
      </c>
      <c r="I68" s="3069">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4.75" thickBot="1">
      <c r="A69" s="1977" t="s">
        <v>2059</v>
      </c>
      <c r="B69" s="1979">
        <f>估价对象房地状况!C20</f>
        <v>0</v>
      </c>
      <c r="C69" s="1887"/>
      <c r="D69" s="1002">
        <f t="shared" si="12"/>
        <v>0</v>
      </c>
      <c r="E69" s="704"/>
      <c r="F69" s="1675"/>
      <c r="G69" s="1000"/>
      <c r="H69" s="1003" t="str">
        <f t="shared" si="13"/>
        <v>——</v>
      </c>
      <c r="I69" s="3070">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5">
      <c r="A70" s="1967" t="s">
        <v>2063</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2042</v>
      </c>
      <c r="B71" s="1262"/>
      <c r="C71" s="1262" t="s">
        <v>2044</v>
      </c>
      <c r="D71" s="1262" t="s">
        <v>2045</v>
      </c>
      <c r="E71" s="701" t="s">
        <v>2046</v>
      </c>
      <c r="F71" s="1971" t="s">
        <v>2061</v>
      </c>
      <c r="G71" s="1262" t="s">
        <v>310</v>
      </c>
      <c r="H71" s="1972" t="s">
        <v>2048</v>
      </c>
      <c r="I71" s="1262" t="s">
        <v>2049</v>
      </c>
      <c r="J71" s="530" t="s">
        <v>1720</v>
      </c>
      <c r="K71" s="530" t="s">
        <v>1721</v>
      </c>
      <c r="L71" s="530" t="s">
        <v>1722</v>
      </c>
      <c r="M71" s="530" t="s">
        <v>1723</v>
      </c>
      <c r="N71" s="530" t="s">
        <v>1724</v>
      </c>
      <c r="AA71" s="1057"/>
      <c r="AB71" s="1057"/>
      <c r="AC71" s="1057"/>
      <c r="AD71" s="1057"/>
      <c r="AE71" s="1057"/>
      <c r="AF71" s="1057"/>
      <c r="AG71" s="1057"/>
      <c r="AH71" s="1057"/>
      <c r="AI71" s="1057"/>
      <c r="AJ71" s="1057"/>
      <c r="AK71" s="1057"/>
    </row>
    <row r="72" spans="1:37" s="1056" customFormat="1" ht="24">
      <c r="A72" s="1970" t="s">
        <v>2064</v>
      </c>
      <c r="B72" s="1973">
        <f>估价对象房地状况!C15</f>
        <v>0</v>
      </c>
      <c r="C72" s="1887"/>
      <c r="D72" s="1002">
        <f t="shared" ref="D72:D80" si="17">SUMIF($J$71:$N$71,C72,J72:N72)</f>
        <v>0</v>
      </c>
      <c r="E72" s="702">
        <f>ROUND(SUM(D72:D80),4)</f>
        <v>0</v>
      </c>
      <c r="F72" s="1675" t="str">
        <f>IF(E2="住宅",SUMIF(L1:L12,G2,N1:N12),"——")</f>
        <v>——</v>
      </c>
      <c r="G72" s="1000"/>
      <c r="H72" s="1003" t="str">
        <f t="shared" ref="H72:H80" si="18">IFERROR(ROUNDDOWN($F$72*I72/2,4),"——")</f>
        <v>——</v>
      </c>
      <c r="I72" s="3069">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14.25">
      <c r="A73" s="1970" t="s">
        <v>2051</v>
      </c>
      <c r="B73" s="1262">
        <f>估价对象房地状况!C18</f>
        <v>0</v>
      </c>
      <c r="C73" s="1887"/>
      <c r="D73" s="1002">
        <f t="shared" si="17"/>
        <v>0</v>
      </c>
      <c r="E73" s="705"/>
      <c r="F73" s="1675"/>
      <c r="G73" s="1000"/>
      <c r="H73" s="1003" t="str">
        <f t="shared" si="18"/>
        <v>——</v>
      </c>
      <c r="I73" s="3069">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36">
      <c r="A74" s="3071" t="s">
        <v>3260</v>
      </c>
      <c r="B74" s="1262">
        <f>估价对象房地状况!C19</f>
        <v>0</v>
      </c>
      <c r="C74" s="1887"/>
      <c r="D74" s="1002">
        <f t="shared" si="17"/>
        <v>0</v>
      </c>
      <c r="E74" s="705"/>
      <c r="F74" s="1675"/>
      <c r="G74" s="1000"/>
      <c r="H74" s="1003" t="str">
        <f t="shared" si="18"/>
        <v>——</v>
      </c>
      <c r="I74" s="3069">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4.25">
      <c r="A75" s="1970" t="s">
        <v>2065</v>
      </c>
      <c r="B75" s="1262">
        <f>估价对象房地状况!C24</f>
        <v>0</v>
      </c>
      <c r="C75" s="1887"/>
      <c r="D75" s="1002">
        <f t="shared" si="17"/>
        <v>0</v>
      </c>
      <c r="E75" s="705"/>
      <c r="F75" s="1675"/>
      <c r="G75" s="1000"/>
      <c r="H75" s="1003" t="str">
        <f t="shared" si="18"/>
        <v>——</v>
      </c>
      <c r="I75" s="3069">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4">
      <c r="A76" s="1970" t="s">
        <v>2057</v>
      </c>
      <c r="B76" s="1240">
        <f>估价对象房地状况!C21</f>
        <v>0</v>
      </c>
      <c r="C76" s="1887"/>
      <c r="D76" s="1002">
        <f t="shared" si="17"/>
        <v>0</v>
      </c>
      <c r="E76" s="705"/>
      <c r="F76" s="1675"/>
      <c r="G76" s="1000"/>
      <c r="H76" s="1003" t="str">
        <f t="shared" si="18"/>
        <v>——</v>
      </c>
      <c r="I76" s="3069">
        <v>0.08</v>
      </c>
      <c r="J76" s="1001">
        <f t="shared" si="19"/>
        <v>0</v>
      </c>
      <c r="K76" s="1001">
        <f t="shared" si="20"/>
        <v>0</v>
      </c>
      <c r="L76" s="1001">
        <v>0</v>
      </c>
      <c r="M76" s="1001">
        <f t="shared" si="21"/>
        <v>0</v>
      </c>
      <c r="N76" s="1001">
        <f t="shared" si="21"/>
        <v>0</v>
      </c>
      <c r="O76" s="1056"/>
      <c r="P76" s="1056"/>
      <c r="Z76" s="1845"/>
      <c r="AA76" s="1895"/>
      <c r="AG76" s="1058"/>
      <c r="AK76" s="1895"/>
    </row>
    <row r="77" spans="1:37" ht="24">
      <c r="A77" s="1970" t="s">
        <v>2058</v>
      </c>
      <c r="B77" s="1240">
        <f>估价对象房地状况!C22</f>
        <v>0</v>
      </c>
      <c r="C77" s="1887"/>
      <c r="D77" s="1002">
        <f t="shared" si="17"/>
        <v>0</v>
      </c>
      <c r="E77" s="705"/>
      <c r="F77" s="1675"/>
      <c r="G77" s="1000"/>
      <c r="H77" s="1003" t="str">
        <f t="shared" si="18"/>
        <v>——</v>
      </c>
      <c r="I77" s="3069">
        <v>0.09</v>
      </c>
      <c r="J77" s="1001">
        <f t="shared" si="19"/>
        <v>0</v>
      </c>
      <c r="K77" s="1001">
        <f t="shared" si="20"/>
        <v>0</v>
      </c>
      <c r="L77" s="1001">
        <v>0</v>
      </c>
      <c r="M77" s="1001">
        <f t="shared" si="21"/>
        <v>0</v>
      </c>
      <c r="N77" s="1001">
        <f t="shared" si="21"/>
        <v>0</v>
      </c>
      <c r="O77" s="1056"/>
      <c r="P77" s="1056"/>
      <c r="Z77" s="1845"/>
      <c r="AA77" s="1895"/>
      <c r="AG77" s="1058"/>
      <c r="AK77" s="1895"/>
    </row>
    <row r="78" spans="1:37" ht="24">
      <c r="A78" s="1970" t="s">
        <v>2055</v>
      </c>
      <c r="B78" s="1975" t="s">
        <v>2056</v>
      </c>
      <c r="C78" s="1887"/>
      <c r="D78" s="1002">
        <f t="shared" si="17"/>
        <v>0</v>
      </c>
      <c r="E78" s="705"/>
      <c r="F78" s="1675"/>
      <c r="G78" s="1000"/>
      <c r="H78" s="1003" t="str">
        <f t="shared" si="18"/>
        <v>——</v>
      </c>
      <c r="I78" s="3069">
        <v>0.05</v>
      </c>
      <c r="J78" s="1001">
        <f t="shared" si="19"/>
        <v>0</v>
      </c>
      <c r="K78" s="1001">
        <f t="shared" si="20"/>
        <v>0</v>
      </c>
      <c r="L78" s="1001">
        <v>0</v>
      </c>
      <c r="M78" s="1001">
        <f t="shared" si="21"/>
        <v>0</v>
      </c>
      <c r="N78" s="1001">
        <f t="shared" si="21"/>
        <v>0</v>
      </c>
      <c r="O78" s="1844"/>
      <c r="P78" s="1844"/>
      <c r="Z78" s="1845"/>
      <c r="AA78" s="1895"/>
      <c r="AG78" s="1058"/>
      <c r="AK78" s="1895"/>
    </row>
    <row r="79" spans="1:37" ht="24">
      <c r="A79" s="1970" t="s">
        <v>2059</v>
      </c>
      <c r="B79" s="1973">
        <f>估价对象房地状况!C20</f>
        <v>0</v>
      </c>
      <c r="C79" s="1887"/>
      <c r="D79" s="1002">
        <f t="shared" si="17"/>
        <v>0</v>
      </c>
      <c r="E79" s="705"/>
      <c r="F79" s="1675"/>
      <c r="G79" s="1000"/>
      <c r="H79" s="1003" t="str">
        <f t="shared" si="18"/>
        <v>——</v>
      </c>
      <c r="I79" s="3069">
        <v>0.12</v>
      </c>
      <c r="J79" s="1001">
        <f t="shared" si="19"/>
        <v>0</v>
      </c>
      <c r="K79" s="1001">
        <f t="shared" si="20"/>
        <v>0</v>
      </c>
      <c r="L79" s="1001">
        <v>0</v>
      </c>
      <c r="M79" s="1001">
        <f t="shared" si="21"/>
        <v>0</v>
      </c>
      <c r="N79" s="1001">
        <f t="shared" si="21"/>
        <v>0</v>
      </c>
      <c r="Z79" s="1845"/>
      <c r="AA79" s="1895"/>
      <c r="AG79" s="1058"/>
      <c r="AK79" s="1895"/>
    </row>
    <row r="80" spans="1:37" ht="24.75" thickBot="1">
      <c r="A80" s="1977" t="s">
        <v>2066</v>
      </c>
      <c r="B80" s="1981"/>
      <c r="C80" s="1887"/>
      <c r="D80" s="1002">
        <f t="shared" si="17"/>
        <v>0</v>
      </c>
      <c r="E80" s="706"/>
      <c r="F80" s="1675"/>
      <c r="G80" s="1000"/>
      <c r="H80" s="1003" t="str">
        <f t="shared" si="18"/>
        <v>——</v>
      </c>
      <c r="I80" s="3070">
        <v>0.05</v>
      </c>
      <c r="J80" s="1001">
        <f t="shared" si="19"/>
        <v>0</v>
      </c>
      <c r="K80" s="1001">
        <f t="shared" si="20"/>
        <v>0</v>
      </c>
      <c r="L80" s="1001">
        <v>0</v>
      </c>
      <c r="M80" s="1001">
        <f t="shared" si="21"/>
        <v>0</v>
      </c>
      <c r="N80" s="1001">
        <f t="shared" si="21"/>
        <v>0</v>
      </c>
      <c r="Z80" s="1845"/>
      <c r="AA80" s="1895"/>
      <c r="AG80" s="1058"/>
      <c r="AK80" s="1895"/>
    </row>
    <row r="81" spans="1:37" ht="15">
      <c r="A81" s="1967" t="s">
        <v>2067</v>
      </c>
      <c r="B81" s="1968">
        <f>1+E83</f>
        <v>1</v>
      </c>
      <c r="C81" s="699"/>
      <c r="D81" s="699"/>
      <c r="E81" s="700"/>
      <c r="F81" s="1969"/>
      <c r="G81" s="3"/>
      <c r="H81" s="3"/>
      <c r="I81" s="3"/>
      <c r="J81" s="4"/>
      <c r="K81" s="4"/>
      <c r="L81" s="4"/>
      <c r="M81" s="4"/>
      <c r="N81" s="4"/>
      <c r="Z81" s="1845"/>
      <c r="AA81" s="1895"/>
      <c r="AG81" s="1058"/>
      <c r="AK81" s="1895"/>
    </row>
    <row r="82" spans="1:37" ht="24.75">
      <c r="A82" s="1970" t="s">
        <v>2042</v>
      </c>
      <c r="B82" s="1262"/>
      <c r="C82" s="1262" t="s">
        <v>2044</v>
      </c>
      <c r="D82" s="1262" t="s">
        <v>2045</v>
      </c>
      <c r="E82" s="701" t="s">
        <v>2046</v>
      </c>
      <c r="F82" s="1971" t="s">
        <v>2061</v>
      </c>
      <c r="G82" s="1262" t="s">
        <v>310</v>
      </c>
      <c r="H82" s="1972" t="s">
        <v>2048</v>
      </c>
      <c r="I82" s="1262" t="s">
        <v>2049</v>
      </c>
      <c r="J82" s="530" t="s">
        <v>1720</v>
      </c>
      <c r="K82" s="530" t="s">
        <v>1721</v>
      </c>
      <c r="L82" s="530" t="s">
        <v>1722</v>
      </c>
      <c r="M82" s="530" t="s">
        <v>1723</v>
      </c>
      <c r="N82" s="530" t="s">
        <v>1724</v>
      </c>
      <c r="Z82" s="1845"/>
      <c r="AA82" s="1895"/>
      <c r="AG82" s="1058"/>
      <c r="AK82" s="1895"/>
    </row>
    <row r="83" spans="1:37" ht="24">
      <c r="A83" s="1970" t="s">
        <v>2068</v>
      </c>
      <c r="B83" s="1262">
        <f>估价对象房地状况!G15</f>
        <v>0</v>
      </c>
      <c r="C83" s="1887"/>
      <c r="D83" s="1002">
        <f t="shared" ref="D83:D90" si="22">SUMIF($J$82:$N$82,C83,J83:N83)</f>
        <v>0</v>
      </c>
      <c r="E83" s="702">
        <f>ROUND(SUM(D83:D90),4)</f>
        <v>0</v>
      </c>
      <c r="F83" s="1675">
        <f>IF(E2="工业",SUMIF(L1:L12,G2,N1:N12),"——")</f>
        <v>0.05</v>
      </c>
      <c r="G83" s="1000"/>
      <c r="H83" s="1003">
        <f t="shared" ref="H83:H90" si="23">IFERROR(ROUNDDOWN($F$83*I83/2,4),"——")</f>
        <v>6.4999999999999997E-3</v>
      </c>
      <c r="I83" s="3069">
        <v>0.26</v>
      </c>
      <c r="J83" s="1001">
        <f t="shared" ref="J83:J90" si="24">K83+$G83</f>
        <v>0</v>
      </c>
      <c r="K83" s="1001">
        <f t="shared" ref="K83:K90" si="25">$L83+$G83</f>
        <v>0</v>
      </c>
      <c r="L83" s="1001">
        <v>0</v>
      </c>
      <c r="M83" s="1001">
        <f t="shared" ref="M83:N90" si="26">L83-$G83</f>
        <v>0</v>
      </c>
      <c r="N83" s="1001">
        <f t="shared" si="26"/>
        <v>0</v>
      </c>
      <c r="Z83" s="1845"/>
      <c r="AA83" s="1895"/>
      <c r="AG83" s="1058"/>
      <c r="AK83" s="1895"/>
    </row>
    <row r="84" spans="1:37" ht="14.25">
      <c r="A84" s="1970" t="s">
        <v>2051</v>
      </c>
      <c r="B84" s="1262">
        <f>估价对象房地状况!G16</f>
        <v>0</v>
      </c>
      <c r="C84" s="1887"/>
      <c r="D84" s="1002">
        <f t="shared" si="22"/>
        <v>0</v>
      </c>
      <c r="E84" s="705"/>
      <c r="F84" s="1675"/>
      <c r="G84" s="1000"/>
      <c r="H84" s="1003">
        <f t="shared" si="23"/>
        <v>7.4999999999999997E-3</v>
      </c>
      <c r="I84" s="3069">
        <v>0.3</v>
      </c>
      <c r="J84" s="1001">
        <f t="shared" si="24"/>
        <v>0</v>
      </c>
      <c r="K84" s="1001">
        <f t="shared" si="25"/>
        <v>0</v>
      </c>
      <c r="L84" s="1001">
        <v>0</v>
      </c>
      <c r="M84" s="1001">
        <f t="shared" si="26"/>
        <v>0</v>
      </c>
      <c r="N84" s="1001">
        <f t="shared" si="26"/>
        <v>0</v>
      </c>
      <c r="Z84" s="1845"/>
      <c r="AA84" s="1895"/>
      <c r="AG84" s="1058"/>
      <c r="AK84" s="1895"/>
    </row>
    <row r="85" spans="1:37" ht="36">
      <c r="A85" s="3071" t="s">
        <v>3261</v>
      </c>
      <c r="B85" s="1262">
        <f>估价对象房地状况!G17</f>
        <v>0</v>
      </c>
      <c r="C85" s="1887"/>
      <c r="D85" s="1002">
        <f t="shared" si="22"/>
        <v>0</v>
      </c>
      <c r="E85" s="705"/>
      <c r="F85" s="1675"/>
      <c r="G85" s="1000"/>
      <c r="H85" s="1003">
        <f t="shared" si="23"/>
        <v>2.5000000000000001E-3</v>
      </c>
      <c r="I85" s="3069">
        <v>0.1</v>
      </c>
      <c r="J85" s="1001">
        <f t="shared" si="24"/>
        <v>0</v>
      </c>
      <c r="K85" s="1001">
        <f t="shared" si="25"/>
        <v>0</v>
      </c>
      <c r="L85" s="1001">
        <v>0</v>
      </c>
      <c r="M85" s="1001">
        <f t="shared" si="26"/>
        <v>0</v>
      </c>
      <c r="N85" s="1001">
        <f t="shared" si="26"/>
        <v>0</v>
      </c>
      <c r="Z85" s="1845"/>
      <c r="AA85" s="1895"/>
      <c r="AG85" s="1058"/>
      <c r="AK85" s="1895"/>
    </row>
    <row r="86" spans="1:37" ht="14.25">
      <c r="A86" s="1970" t="s">
        <v>2065</v>
      </c>
      <c r="B86" s="1262">
        <f>估价对象房地状况!G22</f>
        <v>0</v>
      </c>
      <c r="C86" s="1887"/>
      <c r="D86" s="1002">
        <f t="shared" si="22"/>
        <v>0</v>
      </c>
      <c r="E86" s="705"/>
      <c r="F86" s="1675"/>
      <c r="G86" s="1000"/>
      <c r="H86" s="1003">
        <f t="shared" si="23"/>
        <v>1.1999999999999999E-3</v>
      </c>
      <c r="I86" s="3069">
        <v>0.05</v>
      </c>
      <c r="J86" s="1001">
        <f t="shared" si="24"/>
        <v>0</v>
      </c>
      <c r="K86" s="1001">
        <f t="shared" si="25"/>
        <v>0</v>
      </c>
      <c r="L86" s="1001">
        <v>0</v>
      </c>
      <c r="M86" s="1001">
        <f t="shared" si="26"/>
        <v>0</v>
      </c>
      <c r="N86" s="1001">
        <f t="shared" si="26"/>
        <v>0</v>
      </c>
      <c r="Z86" s="1845"/>
      <c r="AA86" s="1895"/>
      <c r="AG86" s="1058"/>
      <c r="AK86" s="1895"/>
    </row>
    <row r="87" spans="1:37" ht="24">
      <c r="A87" s="1970" t="s">
        <v>2057</v>
      </c>
      <c r="B87" s="1240">
        <f>估价对象房地状况!G19</f>
        <v>0</v>
      </c>
      <c r="C87" s="1887"/>
      <c r="D87" s="1002">
        <f t="shared" si="22"/>
        <v>0</v>
      </c>
      <c r="E87" s="705"/>
      <c r="F87" s="1675"/>
      <c r="G87" s="1000"/>
      <c r="H87" s="1003">
        <f t="shared" si="23"/>
        <v>1.5E-3</v>
      </c>
      <c r="I87" s="3069">
        <v>0.06</v>
      </c>
      <c r="J87" s="1001">
        <f t="shared" si="24"/>
        <v>0</v>
      </c>
      <c r="K87" s="1001">
        <f t="shared" si="25"/>
        <v>0</v>
      </c>
      <c r="L87" s="1001">
        <v>0</v>
      </c>
      <c r="M87" s="1001">
        <f t="shared" si="26"/>
        <v>0</v>
      </c>
      <c r="N87" s="1001">
        <f t="shared" si="26"/>
        <v>0</v>
      </c>
    </row>
    <row r="88" spans="1:37" ht="24">
      <c r="A88" s="1970" t="s">
        <v>2058</v>
      </c>
      <c r="B88" s="1240">
        <f>估价对象房地状况!G20</f>
        <v>0</v>
      </c>
      <c r="C88" s="1887"/>
      <c r="D88" s="1002">
        <f t="shared" si="22"/>
        <v>0</v>
      </c>
      <c r="E88" s="705"/>
      <c r="F88" s="1675"/>
      <c r="G88" s="1000"/>
      <c r="H88" s="1003">
        <f t="shared" si="23"/>
        <v>3.0000000000000001E-3</v>
      </c>
      <c r="I88" s="3069">
        <v>0.12</v>
      </c>
      <c r="J88" s="1001">
        <f t="shared" si="24"/>
        <v>0</v>
      </c>
      <c r="K88" s="1001">
        <f t="shared" si="25"/>
        <v>0</v>
      </c>
      <c r="L88" s="1001">
        <v>0</v>
      </c>
      <c r="M88" s="1001">
        <f t="shared" si="26"/>
        <v>0</v>
      </c>
      <c r="N88" s="1001">
        <f t="shared" si="26"/>
        <v>0</v>
      </c>
    </row>
    <row r="89" spans="1:37" ht="24">
      <c r="A89" s="1970" t="s">
        <v>2055</v>
      </c>
      <c r="B89" s="1975" t="s">
        <v>2069</v>
      </c>
      <c r="C89" s="1887"/>
      <c r="D89" s="1002">
        <f t="shared" si="22"/>
        <v>0</v>
      </c>
      <c r="E89" s="705"/>
      <c r="F89" s="1675"/>
      <c r="G89" s="1000"/>
      <c r="H89" s="1003">
        <f t="shared" si="23"/>
        <v>1.5E-3</v>
      </c>
      <c r="I89" s="3069">
        <v>0.06</v>
      </c>
      <c r="J89" s="1001">
        <f t="shared" si="24"/>
        <v>0</v>
      </c>
      <c r="K89" s="1001">
        <f t="shared" si="25"/>
        <v>0</v>
      </c>
      <c r="L89" s="1001">
        <v>0</v>
      </c>
      <c r="M89" s="1001">
        <f t="shared" si="26"/>
        <v>0</v>
      </c>
      <c r="N89" s="1001">
        <f t="shared" si="26"/>
        <v>0</v>
      </c>
    </row>
    <row r="90" spans="1:37" ht="15" thickBot="1">
      <c r="A90" s="1977" t="s">
        <v>2070</v>
      </c>
      <c r="B90" s="1982">
        <f>估价对象房地状况!G18</f>
        <v>0</v>
      </c>
      <c r="C90" s="1887"/>
      <c r="D90" s="1002">
        <f t="shared" si="22"/>
        <v>0</v>
      </c>
      <c r="E90" s="706"/>
      <c r="F90" s="1675"/>
      <c r="G90" s="1000"/>
      <c r="H90" s="1003">
        <f t="shared" si="23"/>
        <v>1.1999999999999999E-3</v>
      </c>
      <c r="I90" s="3070">
        <v>0.05</v>
      </c>
      <c r="J90" s="1001">
        <f t="shared" si="24"/>
        <v>0</v>
      </c>
      <c r="K90" s="1001">
        <f t="shared" si="25"/>
        <v>0</v>
      </c>
      <c r="L90" s="1001">
        <v>0</v>
      </c>
      <c r="M90" s="1001">
        <f t="shared" si="26"/>
        <v>0</v>
      </c>
      <c r="N90" s="1001">
        <f t="shared" si="26"/>
        <v>0</v>
      </c>
    </row>
    <row r="91" spans="1:37" ht="15">
      <c r="A91" s="3079" t="s">
        <v>2603</v>
      </c>
      <c r="B91" s="3080">
        <f>1+E93</f>
        <v>1</v>
      </c>
      <c r="C91" s="3073"/>
      <c r="D91" s="3074"/>
      <c r="E91" s="1675"/>
      <c r="F91" s="1675"/>
      <c r="G91" s="3075"/>
      <c r="H91" s="3076"/>
      <c r="I91" s="3077"/>
      <c r="J91" s="3078"/>
      <c r="K91" s="3078"/>
      <c r="L91" s="3078"/>
      <c r="M91" s="3078"/>
      <c r="N91" s="3078"/>
    </row>
    <row r="92" spans="1:37" ht="24.75">
      <c r="A92" s="3081" t="s">
        <v>3262</v>
      </c>
      <c r="B92" s="2310"/>
      <c r="C92" s="2310" t="s">
        <v>3271</v>
      </c>
      <c r="D92" s="2310" t="s">
        <v>3272</v>
      </c>
      <c r="E92" s="3053" t="s">
        <v>3273</v>
      </c>
      <c r="F92" s="3083" t="s">
        <v>3274</v>
      </c>
      <c r="G92" s="2310" t="s">
        <v>3275</v>
      </c>
      <c r="H92" s="3090" t="s">
        <v>3278</v>
      </c>
      <c r="I92" s="2310" t="s">
        <v>3279</v>
      </c>
      <c r="J92" s="2150" t="s">
        <v>3280</v>
      </c>
      <c r="K92" s="2150" t="s">
        <v>3281</v>
      </c>
      <c r="L92" s="2150" t="s">
        <v>3282</v>
      </c>
      <c r="M92" s="2150" t="s">
        <v>3283</v>
      </c>
      <c r="N92" s="2150" t="s">
        <v>3284</v>
      </c>
    </row>
    <row r="93" spans="1:37" ht="24">
      <c r="A93" s="3071" t="s">
        <v>3263</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7">K93+$G93</f>
        <v>0</v>
      </c>
      <c r="K93" s="1912">
        <f t="shared" ref="K93:K101" si="28">$L93+$G93</f>
        <v>0</v>
      </c>
      <c r="L93" s="1912">
        <v>0</v>
      </c>
      <c r="M93" s="1912">
        <f t="shared" ref="M93:N101" si="29">L93-$G93</f>
        <v>0</v>
      </c>
      <c r="N93" s="1912">
        <f t="shared" si="29"/>
        <v>0</v>
      </c>
    </row>
    <row r="94" spans="1:37" ht="14.25">
      <c r="A94" s="3081" t="s">
        <v>3264</v>
      </c>
      <c r="B94" s="3072">
        <f>估价对象房地状况!C18</f>
        <v>0</v>
      </c>
      <c r="C94" s="1887"/>
      <c r="D94" s="2310">
        <f t="shared" ref="D94:D101" si="30">SUMIF($J$60:$N$60,C94,J94:N94)</f>
        <v>0</v>
      </c>
      <c r="E94" s="3085"/>
      <c r="F94" s="1675"/>
      <c r="G94" s="3075"/>
      <c r="H94" s="3120" t="str">
        <f>IFERROR(ROUNDDOWN($F$93*I94/2,4),"——")</f>
        <v>——</v>
      </c>
      <c r="I94" s="3069">
        <v>0.26</v>
      </c>
      <c r="J94" s="1912">
        <f t="shared" si="27"/>
        <v>0</v>
      </c>
      <c r="K94" s="1912">
        <f t="shared" si="28"/>
        <v>0</v>
      </c>
      <c r="L94" s="1912">
        <v>0</v>
      </c>
      <c r="M94" s="1912">
        <f t="shared" si="29"/>
        <v>0</v>
      </c>
      <c r="N94" s="1912">
        <f t="shared" si="29"/>
        <v>0</v>
      </c>
    </row>
    <row r="95" spans="1:37" ht="36">
      <c r="A95" s="3071" t="s">
        <v>3260</v>
      </c>
      <c r="B95" s="3072">
        <f>估价对象房地状况!C19</f>
        <v>0</v>
      </c>
      <c r="C95" s="1887"/>
      <c r="D95" s="2310">
        <f t="shared" si="30"/>
        <v>0</v>
      </c>
      <c r="E95" s="3085"/>
      <c r="F95" s="1675"/>
      <c r="G95" s="3075"/>
      <c r="H95" s="3120" t="str">
        <f t="shared" ref="H95:H101" si="31">IFERROR(ROUNDDOWN($F$93*I95/2,4),"——")</f>
        <v>——</v>
      </c>
      <c r="I95" s="3069">
        <v>0.11</v>
      </c>
      <c r="J95" s="1912">
        <f t="shared" si="27"/>
        <v>0</v>
      </c>
      <c r="K95" s="1912">
        <f t="shared" si="28"/>
        <v>0</v>
      </c>
      <c r="L95" s="1912">
        <v>0</v>
      </c>
      <c r="M95" s="1912">
        <f t="shared" si="29"/>
        <v>0</v>
      </c>
      <c r="N95" s="1912">
        <f t="shared" si="29"/>
        <v>0</v>
      </c>
    </row>
    <row r="96" spans="1:37" ht="36.75">
      <c r="A96" s="3081" t="s">
        <v>3265</v>
      </c>
      <c r="B96" s="3087" t="s">
        <v>3276</v>
      </c>
      <c r="C96" s="1887"/>
      <c r="D96" s="2310">
        <f t="shared" si="30"/>
        <v>0</v>
      </c>
      <c r="E96" s="3085"/>
      <c r="F96" s="1675"/>
      <c r="G96" s="3075"/>
      <c r="H96" s="3120" t="str">
        <f t="shared" si="31"/>
        <v>——</v>
      </c>
      <c r="I96" s="3069">
        <v>0.05</v>
      </c>
      <c r="J96" s="1912">
        <f t="shared" si="27"/>
        <v>0</v>
      </c>
      <c r="K96" s="1912">
        <f t="shared" si="28"/>
        <v>0</v>
      </c>
      <c r="L96" s="1912">
        <v>0</v>
      </c>
      <c r="M96" s="1912">
        <f t="shared" si="29"/>
        <v>0</v>
      </c>
      <c r="N96" s="1912">
        <f t="shared" si="29"/>
        <v>0</v>
      </c>
    </row>
    <row r="97" spans="1:14" ht="24">
      <c r="A97" s="3081" t="s">
        <v>3266</v>
      </c>
      <c r="B97" s="3072">
        <f>估价对象房地状况!C24</f>
        <v>0</v>
      </c>
      <c r="C97" s="1887"/>
      <c r="D97" s="2310">
        <f t="shared" si="30"/>
        <v>0</v>
      </c>
      <c r="E97" s="3085"/>
      <c r="F97" s="1675"/>
      <c r="G97" s="3075"/>
      <c r="H97" s="3120" t="str">
        <f t="shared" si="31"/>
        <v>——</v>
      </c>
      <c r="I97" s="3069">
        <v>0.05</v>
      </c>
      <c r="J97" s="1912">
        <f t="shared" si="27"/>
        <v>0</v>
      </c>
      <c r="K97" s="1912">
        <f t="shared" si="28"/>
        <v>0</v>
      </c>
      <c r="L97" s="1912">
        <v>0</v>
      </c>
      <c r="M97" s="1912">
        <f t="shared" si="29"/>
        <v>0</v>
      </c>
      <c r="N97" s="1912">
        <f t="shared" si="29"/>
        <v>0</v>
      </c>
    </row>
    <row r="98" spans="1:14" ht="24">
      <c r="A98" s="3081" t="s">
        <v>3267</v>
      </c>
      <c r="B98" s="3088" t="s">
        <v>3277</v>
      </c>
      <c r="C98" s="1887"/>
      <c r="D98" s="2310">
        <f t="shared" si="30"/>
        <v>0</v>
      </c>
      <c r="E98" s="3085"/>
      <c r="F98" s="1675"/>
      <c r="G98" s="3075"/>
      <c r="H98" s="3120" t="str">
        <f t="shared" si="31"/>
        <v>——</v>
      </c>
      <c r="I98" s="3069">
        <v>0.06</v>
      </c>
      <c r="J98" s="1912">
        <f t="shared" si="27"/>
        <v>0</v>
      </c>
      <c r="K98" s="1912">
        <f t="shared" si="28"/>
        <v>0</v>
      </c>
      <c r="L98" s="1912">
        <v>0</v>
      </c>
      <c r="M98" s="1912">
        <f t="shared" si="29"/>
        <v>0</v>
      </c>
      <c r="N98" s="1912">
        <f t="shared" si="29"/>
        <v>0</v>
      </c>
    </row>
    <row r="99" spans="1:14" ht="24">
      <c r="A99" s="3081" t="s">
        <v>3268</v>
      </c>
      <c r="B99" s="3072">
        <f>估价对象房地状况!C21</f>
        <v>0</v>
      </c>
      <c r="C99" s="1887"/>
      <c r="D99" s="2310">
        <f t="shared" si="30"/>
        <v>0</v>
      </c>
      <c r="E99" s="3085"/>
      <c r="F99" s="1675"/>
      <c r="G99" s="3075"/>
      <c r="H99" s="3120" t="str">
        <f t="shared" si="31"/>
        <v>——</v>
      </c>
      <c r="I99" s="3069">
        <v>0.06</v>
      </c>
      <c r="J99" s="1912">
        <f t="shared" si="27"/>
        <v>0</v>
      </c>
      <c r="K99" s="1912">
        <f t="shared" si="28"/>
        <v>0</v>
      </c>
      <c r="L99" s="1912">
        <v>0</v>
      </c>
      <c r="M99" s="1912">
        <f t="shared" si="29"/>
        <v>0</v>
      </c>
      <c r="N99" s="1912">
        <f t="shared" si="29"/>
        <v>0</v>
      </c>
    </row>
    <row r="100" spans="1:14" ht="24">
      <c r="A100" s="3081" t="s">
        <v>3269</v>
      </c>
      <c r="B100" s="3072">
        <f>估价对象房地状况!C22</f>
        <v>0</v>
      </c>
      <c r="C100" s="1887"/>
      <c r="D100" s="2310">
        <f t="shared" si="30"/>
        <v>0</v>
      </c>
      <c r="E100" s="3085"/>
      <c r="F100" s="1675"/>
      <c r="G100" s="3075"/>
      <c r="H100" s="3120" t="str">
        <f t="shared" si="31"/>
        <v>——</v>
      </c>
      <c r="I100" s="3069">
        <v>0.09</v>
      </c>
      <c r="J100" s="1912">
        <f t="shared" si="27"/>
        <v>0</v>
      </c>
      <c r="K100" s="1912">
        <f t="shared" si="28"/>
        <v>0</v>
      </c>
      <c r="L100" s="1912">
        <v>0</v>
      </c>
      <c r="M100" s="1912">
        <f t="shared" si="29"/>
        <v>0</v>
      </c>
      <c r="N100" s="1912">
        <f t="shared" si="29"/>
        <v>0</v>
      </c>
    </row>
    <row r="101" spans="1:14" ht="24.75" thickBot="1">
      <c r="A101" s="3082" t="s">
        <v>3270</v>
      </c>
      <c r="B101" s="3089">
        <f>估价对象房地状况!C20</f>
        <v>0</v>
      </c>
      <c r="C101" s="1887"/>
      <c r="D101" s="2310">
        <f t="shared" si="30"/>
        <v>0</v>
      </c>
      <c r="E101" s="3086"/>
      <c r="F101" s="1675"/>
      <c r="G101" s="3075"/>
      <c r="H101" s="3120" t="str">
        <f t="shared" si="31"/>
        <v>——</v>
      </c>
      <c r="I101" s="3070">
        <v>7.0000000000000007E-2</v>
      </c>
      <c r="J101" s="1912">
        <f t="shared" si="27"/>
        <v>0</v>
      </c>
      <c r="K101" s="1912">
        <f t="shared" si="28"/>
        <v>0</v>
      </c>
      <c r="L101" s="1912">
        <v>0</v>
      </c>
      <c r="M101" s="1912">
        <f t="shared" si="29"/>
        <v>0</v>
      </c>
      <c r="N101" s="1912">
        <f t="shared" si="29"/>
        <v>0</v>
      </c>
    </row>
    <row r="103" spans="1:14">
      <c r="A103" s="3397" t="s">
        <v>3285</v>
      </c>
      <c r="B103" s="3397"/>
      <c r="C103" s="3397"/>
      <c r="D103" s="3397"/>
      <c r="E103" s="3397"/>
      <c r="F103" s="3397"/>
      <c r="G103" s="3397"/>
      <c r="H103" s="3397"/>
      <c r="I103" s="3397"/>
      <c r="J103" s="3397"/>
      <c r="K103" s="1667"/>
      <c r="L103" s="1667"/>
      <c r="M103" s="1667"/>
      <c r="N103" s="1667"/>
    </row>
    <row r="104" spans="1:14">
      <c r="A104" s="3398" t="s">
        <v>3286</v>
      </c>
      <c r="B104" s="3398" t="s">
        <v>3287</v>
      </c>
      <c r="C104" s="3091" t="s">
        <v>3288</v>
      </c>
      <c r="D104" s="3092"/>
      <c r="E104" s="3092"/>
      <c r="F104" s="3092"/>
      <c r="G104" s="3092"/>
      <c r="H104" s="3092"/>
      <c r="I104" s="3092"/>
      <c r="J104" s="3093"/>
      <c r="K104" s="3094"/>
      <c r="L104" s="3094"/>
      <c r="M104" s="3094"/>
      <c r="N104" s="3094"/>
    </row>
    <row r="105" spans="1:14">
      <c r="A105" s="3398"/>
      <c r="B105" s="3398"/>
      <c r="C105" s="3095" t="s">
        <v>3289</v>
      </c>
      <c r="D105" s="3095" t="s">
        <v>3290</v>
      </c>
      <c r="E105" s="3095" t="s">
        <v>3291</v>
      </c>
      <c r="F105" s="3095" t="s">
        <v>3292</v>
      </c>
      <c r="G105" s="3095" t="s">
        <v>3293</v>
      </c>
      <c r="H105" s="3095" t="s">
        <v>3294</v>
      </c>
      <c r="I105" s="3095" t="s">
        <v>3295</v>
      </c>
      <c r="J105" s="3095" t="s">
        <v>3296</v>
      </c>
      <c r="K105" s="3095" t="s">
        <v>3297</v>
      </c>
      <c r="L105" s="3095" t="s">
        <v>3298</v>
      </c>
      <c r="M105" s="3095" t="s">
        <v>3299</v>
      </c>
      <c r="N105" s="3095" t="s">
        <v>3300</v>
      </c>
    </row>
    <row r="106" spans="1:14">
      <c r="A106" s="3384" t="s">
        <v>3301</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385"/>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385"/>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385"/>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385"/>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385"/>
      <c r="B111" s="3095" t="s">
        <v>3259</v>
      </c>
      <c r="C111" s="3096">
        <f>$I$3</f>
        <v>0</v>
      </c>
      <c r="D111" s="3096">
        <f t="shared" ref="D111:M111" si="32">$I$3</f>
        <v>0</v>
      </c>
      <c r="E111" s="3096">
        <f t="shared" si="32"/>
        <v>0</v>
      </c>
      <c r="F111" s="3096">
        <f t="shared" si="32"/>
        <v>0</v>
      </c>
      <c r="G111" s="3096">
        <f t="shared" si="32"/>
        <v>0</v>
      </c>
      <c r="H111" s="3096">
        <f t="shared" si="32"/>
        <v>0</v>
      </c>
      <c r="I111" s="3096">
        <f t="shared" si="32"/>
        <v>0</v>
      </c>
      <c r="J111" s="3096">
        <f t="shared" si="32"/>
        <v>0</v>
      </c>
      <c r="K111" s="3096">
        <f t="shared" si="32"/>
        <v>0</v>
      </c>
      <c r="L111" s="3096">
        <f t="shared" si="32"/>
        <v>0</v>
      </c>
      <c r="M111" s="3096">
        <f t="shared" si="32"/>
        <v>0</v>
      </c>
      <c r="N111" s="3096">
        <f>$I$3</f>
        <v>0</v>
      </c>
    </row>
    <row r="112" spans="1:14">
      <c r="A112" s="3386"/>
      <c r="B112" s="3095">
        <v>6</v>
      </c>
      <c r="C112" s="3090">
        <f>(-0.5556*(C111^2)-0.2719*C111+8944)*(10^(-4))</f>
        <v>0.89440000000000008</v>
      </c>
      <c r="D112" s="3090">
        <f>(-0.5556*(D111^2)-0.2719*D111+8944)*(10^(-4))</f>
        <v>0.89440000000000008</v>
      </c>
      <c r="E112" s="3090">
        <f>(-0.7912*(E111^2)-11.3794*E111+8482)*(10^(-4))</f>
        <v>0.84820000000000007</v>
      </c>
      <c r="F112" s="3090">
        <f t="shared" ref="F112:I112" si="33">(-0.7912*(F111^2)-11.3794*F111+8482)*(10^(-4))</f>
        <v>0.84820000000000007</v>
      </c>
      <c r="G112" s="3090">
        <f t="shared" si="33"/>
        <v>0.84820000000000007</v>
      </c>
      <c r="H112" s="3090">
        <f t="shared" si="33"/>
        <v>0.84820000000000007</v>
      </c>
      <c r="I112" s="3090">
        <f t="shared" si="33"/>
        <v>0.84820000000000007</v>
      </c>
      <c r="J112" s="3090">
        <f>(-0.989*(J111^2)-63.78*J111+7771)*(10^(-4))</f>
        <v>0.77710000000000001</v>
      </c>
      <c r="K112" s="3090">
        <f t="shared" ref="K112:N112" si="34">(-0.989*(K111^2)-63.78*K111+7771)*(10^(-4))</f>
        <v>0.77710000000000001</v>
      </c>
      <c r="L112" s="3090">
        <f t="shared" si="34"/>
        <v>0.77710000000000001</v>
      </c>
      <c r="M112" s="3090">
        <f t="shared" si="34"/>
        <v>0.77710000000000001</v>
      </c>
      <c r="N112" s="3090">
        <f t="shared" si="34"/>
        <v>0.77710000000000001</v>
      </c>
    </row>
    <row r="113" spans="1:14">
      <c r="A113" s="3387" t="s">
        <v>3302</v>
      </c>
      <c r="B113" s="3387"/>
      <c r="C113" s="3387"/>
      <c r="D113" s="3387"/>
      <c r="E113" s="3387"/>
      <c r="F113" s="3387"/>
      <c r="G113" s="3387"/>
      <c r="H113" s="3387"/>
      <c r="I113" s="3387"/>
      <c r="J113" s="3387"/>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3303</v>
      </c>
      <c r="B116" s="3115">
        <f>G3</f>
        <v>1.72</v>
      </c>
      <c r="C116" s="3100" t="s">
        <v>3304</v>
      </c>
      <c r="D116" s="3101">
        <f>SUMPRODUCT((A118:A122=F116)*(B117:M117=H116)*B118:M122)</f>
        <v>0.63019999999999998</v>
      </c>
      <c r="E116" s="162" t="s">
        <v>3305</v>
      </c>
      <c r="F116" s="3102" t="str">
        <f>E2</f>
        <v>工业</v>
      </c>
      <c r="G116" s="162" t="s">
        <v>3306</v>
      </c>
      <c r="H116" s="3102" t="str">
        <f>G2</f>
        <v>六级</v>
      </c>
      <c r="I116" s="162"/>
      <c r="J116" s="3103"/>
      <c r="K116" s="3103"/>
      <c r="L116" s="3103"/>
      <c r="M116" s="3103"/>
      <c r="N116" s="3098"/>
    </row>
    <row r="117" spans="1:14">
      <c r="A117" s="3104"/>
      <c r="B117" s="3105" t="s">
        <v>3307</v>
      </c>
      <c r="C117" s="3105" t="s">
        <v>3308</v>
      </c>
      <c r="D117" s="3105" t="s">
        <v>3309</v>
      </c>
      <c r="E117" s="3106" t="s">
        <v>3310</v>
      </c>
      <c r="F117" s="3106" t="s">
        <v>3311</v>
      </c>
      <c r="G117" s="3106" t="s">
        <v>3312</v>
      </c>
      <c r="H117" s="3107" t="s">
        <v>3313</v>
      </c>
      <c r="I117" s="3107" t="s">
        <v>3314</v>
      </c>
      <c r="J117" s="3108" t="s">
        <v>3315</v>
      </c>
      <c r="K117" s="3108" t="s">
        <v>3316</v>
      </c>
      <c r="L117" s="3108" t="s">
        <v>3317</v>
      </c>
      <c r="M117" s="3109" t="s">
        <v>3318</v>
      </c>
      <c r="N117" s="3098"/>
    </row>
    <row r="118" spans="1:14">
      <c r="A118" s="3058" t="s">
        <v>3319</v>
      </c>
      <c r="B118" s="3090">
        <f>ROUND(0.9968-0.011*B116,4)</f>
        <v>0.97789999999999999</v>
      </c>
      <c r="C118" s="3090">
        <f>B118</f>
        <v>0.97789999999999999</v>
      </c>
      <c r="D118" s="3090">
        <f>ROUND(0.949-0.014*B116,4)</f>
        <v>0.92490000000000006</v>
      </c>
      <c r="E118" s="3090">
        <f>D118</f>
        <v>0.92490000000000006</v>
      </c>
      <c r="F118" s="3090">
        <f>E118</f>
        <v>0.92490000000000006</v>
      </c>
      <c r="G118" s="3090">
        <f>F118</f>
        <v>0.92490000000000006</v>
      </c>
      <c r="H118" s="3090">
        <f>G118</f>
        <v>0.92490000000000006</v>
      </c>
      <c r="I118" s="3090">
        <f>ROUND(0.8486-0.018*B116,4)</f>
        <v>0.81759999999999999</v>
      </c>
      <c r="J118" s="3090">
        <f t="shared" ref="J118:M122" si="35">I118</f>
        <v>0.81759999999999999</v>
      </c>
      <c r="K118" s="3090">
        <f t="shared" si="35"/>
        <v>0.81759999999999999</v>
      </c>
      <c r="L118" s="3090">
        <f t="shared" si="35"/>
        <v>0.81759999999999999</v>
      </c>
      <c r="M118" s="3110">
        <f t="shared" si="35"/>
        <v>0.81759999999999999</v>
      </c>
      <c r="N118" s="3098"/>
    </row>
    <row r="119" spans="1:14">
      <c r="A119" s="3058" t="s">
        <v>3320</v>
      </c>
      <c r="B119" s="3090">
        <f>ROUND(0.993-0.0112*B116,4)</f>
        <v>0.97370000000000001</v>
      </c>
      <c r="C119" s="3090">
        <f>B119</f>
        <v>0.97370000000000001</v>
      </c>
      <c r="D119" s="3090">
        <f>ROUND(0.9415-0.0142*B116,4)</f>
        <v>0.91710000000000003</v>
      </c>
      <c r="E119" s="3090">
        <f t="shared" ref="E119:H120" si="36">D119</f>
        <v>0.91710000000000003</v>
      </c>
      <c r="F119" s="3090">
        <f t="shared" si="36"/>
        <v>0.91710000000000003</v>
      </c>
      <c r="G119" s="3090">
        <f t="shared" si="36"/>
        <v>0.91710000000000003</v>
      </c>
      <c r="H119" s="3090">
        <f t="shared" si="36"/>
        <v>0.91710000000000003</v>
      </c>
      <c r="I119" s="3090">
        <f>ROUND(0.838-0.0182*B116,4)</f>
        <v>0.80669999999999997</v>
      </c>
      <c r="J119" s="3090">
        <f t="shared" si="35"/>
        <v>0.80669999999999997</v>
      </c>
      <c r="K119" s="3090">
        <f t="shared" si="35"/>
        <v>0.80669999999999997</v>
      </c>
      <c r="L119" s="3090">
        <f t="shared" si="35"/>
        <v>0.80669999999999997</v>
      </c>
      <c r="M119" s="3110">
        <f t="shared" si="35"/>
        <v>0.80669999999999997</v>
      </c>
      <c r="N119" s="3098"/>
    </row>
    <row r="120" spans="1:14">
      <c r="A120" s="3058" t="s">
        <v>3321</v>
      </c>
      <c r="B120" s="3090">
        <f>ROUND(0.9448-0.0115*B116,4)</f>
        <v>0.92500000000000004</v>
      </c>
      <c r="C120" s="3090">
        <f>B120</f>
        <v>0.92500000000000004</v>
      </c>
      <c r="D120" s="3090">
        <f>ROUND(0.937-0.0145*B116,4)</f>
        <v>0.91210000000000002</v>
      </c>
      <c r="E120" s="3090">
        <f t="shared" si="36"/>
        <v>0.91210000000000002</v>
      </c>
      <c r="F120" s="3090">
        <f t="shared" si="36"/>
        <v>0.91210000000000002</v>
      </c>
      <c r="G120" s="3090">
        <f t="shared" si="36"/>
        <v>0.91210000000000002</v>
      </c>
      <c r="H120" s="3090">
        <f t="shared" si="36"/>
        <v>0.91210000000000002</v>
      </c>
      <c r="I120" s="3090">
        <f>ROUND(0.7965-0.0185*B116,4)</f>
        <v>0.76470000000000005</v>
      </c>
      <c r="J120" s="3090">
        <f t="shared" si="35"/>
        <v>0.76470000000000005</v>
      </c>
      <c r="K120" s="3090">
        <f t="shared" si="35"/>
        <v>0.76470000000000005</v>
      </c>
      <c r="L120" s="3090">
        <f t="shared" si="35"/>
        <v>0.76470000000000005</v>
      </c>
      <c r="M120" s="3110">
        <f t="shared" si="35"/>
        <v>0.76470000000000005</v>
      </c>
      <c r="N120" s="3098"/>
    </row>
    <row r="121" spans="1:14" ht="13.5" thickBot="1">
      <c r="A121" s="3111" t="s">
        <v>3322</v>
      </c>
      <c r="B121" s="3112">
        <f>ROUND(0.7836-0.012*B116,4)</f>
        <v>0.76300000000000001</v>
      </c>
      <c r="C121" s="3112">
        <f>B121</f>
        <v>0.76300000000000001</v>
      </c>
      <c r="D121" s="3112">
        <f>ROUND(0.753-0.015*B116,4)</f>
        <v>0.72719999999999996</v>
      </c>
      <c r="E121" s="3112">
        <f>D121</f>
        <v>0.72719999999999996</v>
      </c>
      <c r="F121" s="3112">
        <f>E121</f>
        <v>0.72719999999999996</v>
      </c>
      <c r="G121" s="3112">
        <f>ROUND(0.6612-0.018*B116,4)</f>
        <v>0.63019999999999998</v>
      </c>
      <c r="H121" s="3112">
        <f>G121</f>
        <v>0.63019999999999998</v>
      </c>
      <c r="I121" s="3112">
        <f>ROUND(0.5905-0.019*B116,4)</f>
        <v>0.55779999999999996</v>
      </c>
      <c r="J121" s="3112">
        <f t="shared" si="35"/>
        <v>0.55779999999999996</v>
      </c>
      <c r="K121" s="3112">
        <f t="shared" si="35"/>
        <v>0.55779999999999996</v>
      </c>
      <c r="L121" s="3112">
        <f t="shared" si="35"/>
        <v>0.55779999999999996</v>
      </c>
      <c r="M121" s="3113">
        <f t="shared" si="35"/>
        <v>0.55779999999999996</v>
      </c>
      <c r="N121" s="3098"/>
    </row>
    <row r="122" spans="1:14">
      <c r="A122" s="3114" t="s">
        <v>2603</v>
      </c>
      <c r="B122" s="3090">
        <f>ROUND(0.9404-0.0106*B116,4)</f>
        <v>0.92220000000000002</v>
      </c>
      <c r="C122" s="3090">
        <f>B122</f>
        <v>0.92220000000000002</v>
      </c>
      <c r="D122" s="3090">
        <f>ROUND(0.8955-0.0135*B116,4)</f>
        <v>0.87229999999999996</v>
      </c>
      <c r="E122" s="3090">
        <f t="shared" ref="E122:H122" si="37">D122</f>
        <v>0.87229999999999996</v>
      </c>
      <c r="F122" s="3090">
        <f t="shared" si="37"/>
        <v>0.87229999999999996</v>
      </c>
      <c r="G122" s="3090">
        <f t="shared" si="37"/>
        <v>0.87229999999999996</v>
      </c>
      <c r="H122" s="3090">
        <f t="shared" si="37"/>
        <v>0.87229999999999996</v>
      </c>
      <c r="I122" s="3090">
        <f>ROUND(0.7632-0.0166*B116,4)</f>
        <v>0.73460000000000003</v>
      </c>
      <c r="J122" s="3090">
        <f t="shared" si="35"/>
        <v>0.73460000000000003</v>
      </c>
      <c r="K122" s="3090">
        <f t="shared" si="35"/>
        <v>0.73460000000000003</v>
      </c>
      <c r="L122" s="3090">
        <f t="shared" si="35"/>
        <v>0.73460000000000003</v>
      </c>
      <c r="M122" s="3110">
        <f t="shared" si="35"/>
        <v>0.73460000000000003</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17" priority="6" stopIfTrue="1" operator="notEqual">
      <formula>"——"</formula>
    </cfRule>
  </conditionalFormatting>
  <conditionalFormatting sqref="F61">
    <cfRule type="cellIs" dxfId="116" priority="5" stopIfTrue="1" operator="notEqual">
      <formula>"——"</formula>
    </cfRule>
  </conditionalFormatting>
  <conditionalFormatting sqref="F72">
    <cfRule type="cellIs" dxfId="115" priority="4" stopIfTrue="1" operator="notEqual">
      <formula>"——"</formula>
    </cfRule>
  </conditionalFormatting>
  <conditionalFormatting sqref="F83">
    <cfRule type="cellIs" dxfId="114" priority="3" stopIfTrue="1" operator="notEqual">
      <formula>"——"</formula>
    </cfRule>
  </conditionalFormatting>
  <conditionalFormatting sqref="H50:H58 H61:H69 H72:H80 H83:H91">
    <cfRule type="cellIs" dxfId="113" priority="2" operator="notEqual">
      <formula>"——"</formula>
    </cfRule>
  </conditionalFormatting>
  <conditionalFormatting sqref="H93:H101">
    <cfRule type="cellIs" dxfId="112"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85" zoomScaleNormal="70" zoomScaleSheetLayoutView="85" workbookViewId="0">
      <selection activeCell="L27" sqref="L27"/>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1593</v>
      </c>
      <c r="B1" s="121"/>
      <c r="C1" s="1110"/>
      <c r="D1" s="1109"/>
      <c r="E1" s="2568"/>
      <c r="F1" s="2568"/>
      <c r="G1" s="2449"/>
      <c r="H1" s="2568"/>
      <c r="I1" s="2568"/>
      <c r="J1" s="2568"/>
      <c r="K1" s="2569">
        <f>MATCH(C1,'数据-取费表'!A6:A16,0)+5</f>
        <v>7</v>
      </c>
    </row>
    <row r="2" spans="1:33" ht="18" customHeight="1">
      <c r="A2" s="193" t="s">
        <v>1461</v>
      </c>
      <c r="B2" s="196">
        <f ca="1">C32</f>
        <v>32524</v>
      </c>
      <c r="C2" s="268" t="s">
        <v>1594</v>
      </c>
      <c r="D2" s="268"/>
      <c r="E2" s="2568"/>
      <c r="F2" s="2568"/>
      <c r="G2" s="2568"/>
      <c r="H2" s="2568"/>
      <c r="I2" s="2568"/>
      <c r="J2" s="2568"/>
      <c r="K2" s="2568"/>
    </row>
    <row r="3" spans="1:33" ht="18" customHeight="1" thickBot="1">
      <c r="A3" s="195" t="s">
        <v>1463</v>
      </c>
      <c r="B3" s="196">
        <f ca="1">ROUND(B2*10000/IF(C1="",'数据-汇总表'!E3,INDIRECT("'数据-取费表'!K"&amp;$K$1)),0)</f>
        <v>4906</v>
      </c>
      <c r="C3" s="268" t="s">
        <v>1595</v>
      </c>
      <c r="D3" s="268"/>
      <c r="E3" s="2568"/>
      <c r="F3" s="2568"/>
      <c r="G3" s="2568"/>
      <c r="H3" s="2568"/>
      <c r="I3" s="2568"/>
      <c r="J3" s="2568"/>
      <c r="K3" s="2568"/>
    </row>
    <row r="4" spans="1:33" s="739" customFormat="1" ht="16.5" customHeight="1">
      <c r="A4" s="736" t="s">
        <v>1596</v>
      </c>
      <c r="B4" s="737"/>
      <c r="C4" s="775">
        <f ca="1">SUM(C8:K8)</f>
        <v>40702</v>
      </c>
      <c r="D4" s="737"/>
      <c r="E4" s="737"/>
      <c r="F4" s="737"/>
      <c r="G4" s="737"/>
      <c r="H4" s="737"/>
      <c r="I4" s="737"/>
      <c r="J4" s="737"/>
      <c r="K4" s="738"/>
    </row>
    <row r="5" spans="1:33" s="743" customFormat="1" ht="15">
      <c r="A5" s="740" t="s">
        <v>1597</v>
      </c>
      <c r="B5" s="741" t="s">
        <v>1598</v>
      </c>
      <c r="C5" s="1718" t="s">
        <v>3</v>
      </c>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1599</v>
      </c>
      <c r="C6" s="745">
        <f ca="1">收益法!B3</f>
        <v>6140</v>
      </c>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1600</v>
      </c>
      <c r="B7" s="123" t="s">
        <v>1601</v>
      </c>
      <c r="C7" s="269">
        <f>SUMIF('数据-汇总表'!$C19:$C33,假设开发法!C5,'数据-汇总表'!$E19:$E33)</f>
        <v>66288.099999999991</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1602</v>
      </c>
      <c r="B8" s="156" t="s">
        <v>1603</v>
      </c>
      <c r="C8" s="776">
        <f ca="1">收益法!B2</f>
        <v>40702</v>
      </c>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1604</v>
      </c>
      <c r="B9" s="737"/>
      <c r="C9" s="737"/>
      <c r="D9" s="737"/>
      <c r="E9" s="737"/>
      <c r="F9" s="737"/>
      <c r="G9" s="737"/>
      <c r="H9" s="737"/>
      <c r="I9" s="737"/>
      <c r="J9" s="737"/>
      <c r="K9" s="738"/>
    </row>
    <row r="10" spans="1:33" s="751" customFormat="1" ht="13.5" customHeight="1">
      <c r="A10" s="740" t="s">
        <v>1605</v>
      </c>
      <c r="B10" s="5" t="s">
        <v>1606</v>
      </c>
      <c r="C10" s="747" t="s">
        <v>1607</v>
      </c>
      <c r="D10" s="748" t="s">
        <v>1608</v>
      </c>
      <c r="E10" s="748" t="s">
        <v>1609</v>
      </c>
      <c r="F10" s="748" t="s">
        <v>1610</v>
      </c>
      <c r="G10" s="5"/>
      <c r="H10" s="749"/>
      <c r="I10" s="749"/>
      <c r="J10" s="749"/>
      <c r="K10" s="750"/>
    </row>
    <row r="11" spans="1:33" s="755" customFormat="1" ht="13.5" customHeight="1">
      <c r="A11" s="752" t="s">
        <v>635</v>
      </c>
      <c r="B11" s="753" t="s">
        <v>1611</v>
      </c>
      <c r="C11" s="271">
        <f ca="1">IF(C1="",'数据-取费表'!P16,INDIRECT("'数据-取费表'!p"&amp;$K$1)+INDIRECT("'数据-取费表'!ar"&amp;$K$1))</f>
        <v>2320</v>
      </c>
      <c r="D11" s="754"/>
      <c r="E11" s="138"/>
      <c r="F11" s="764">
        <f ca="1">1-IF('数据-取费表'!B24=0,1,IF(C1="",'数据-取费表'!N16,INDIRECT("'数据-取费表'!n"&amp;$K$1)))</f>
        <v>9.9999999999999978E-2</v>
      </c>
      <c r="G11" s="5"/>
      <c r="H11" s="749"/>
      <c r="I11" s="749"/>
      <c r="J11" s="749"/>
      <c r="K11" s="750"/>
    </row>
    <row r="12" spans="1:33" s="755" customFormat="1" ht="13.5" customHeight="1">
      <c r="A12" s="752" t="s">
        <v>636</v>
      </c>
      <c r="B12" s="753" t="s">
        <v>1612</v>
      </c>
      <c r="C12" s="21">
        <f ca="1">ROUND(C11*F12,0)</f>
        <v>116</v>
      </c>
      <c r="D12" s="754"/>
      <c r="E12" s="138"/>
      <c r="F12" s="764">
        <f>'数据-取费表'!B33</f>
        <v>0.05</v>
      </c>
      <c r="G12" s="5" t="s">
        <v>1613</v>
      </c>
      <c r="H12" s="749"/>
      <c r="I12" s="749"/>
      <c r="J12" s="749"/>
      <c r="K12" s="750"/>
    </row>
    <row r="13" spans="1:33" s="755" customFormat="1" ht="13.5" customHeight="1">
      <c r="A13" s="752" t="s">
        <v>637</v>
      </c>
      <c r="B13" s="753" t="s">
        <v>1614</v>
      </c>
      <c r="C13" s="21">
        <f ca="1">ROUND(IF(C1="",SUMIF('数据-取费表'!C:C,"住宅",'数据-取费表'!P:P)*F13,IF(INDIRECT("'数据-取费表'!c"&amp;$K$1)="住宅",INDIRECT("'数据-取费表'!P"&amp;$K$1)*F13,0)),0)</f>
        <v>0</v>
      </c>
      <c r="D13" s="796"/>
      <c r="E13" s="138"/>
      <c r="F13" s="764">
        <f>'数据-取费表'!B34</f>
        <v>0</v>
      </c>
      <c r="G13" s="5" t="s">
        <v>1615</v>
      </c>
      <c r="H13" s="749"/>
      <c r="I13" s="749"/>
      <c r="J13" s="749"/>
      <c r="K13" s="750"/>
    </row>
    <row r="14" spans="1:33" s="757" customFormat="1" ht="13.5" customHeight="1">
      <c r="A14" s="752" t="s">
        <v>638</v>
      </c>
      <c r="B14" s="753" t="s">
        <v>1616</v>
      </c>
      <c r="C14" s="21">
        <f ca="1">ROUND(D14*E14*F11/10000,0)</f>
        <v>133</v>
      </c>
      <c r="D14" s="796">
        <f ca="1">IF(C1="",'数据-汇总表'!E3,INDIRECT("'数据-取费表'!K"&amp;$K$1)+INDIRECT("'数据-取费表'!S"&amp;$K$1))</f>
        <v>66288.099999999991</v>
      </c>
      <c r="E14" s="21">
        <f>'数据-取费表'!B35</f>
        <v>200</v>
      </c>
      <c r="F14" s="756"/>
      <c r="G14" s="5" t="s">
        <v>1617</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1618</v>
      </c>
      <c r="C15" s="763">
        <f ca="1">ROUND(C11*F15,0)</f>
        <v>46</v>
      </c>
      <c r="D15" s="758"/>
      <c r="E15" s="763"/>
      <c r="F15" s="764">
        <f>'数据-取费表'!B36</f>
        <v>0.02</v>
      </c>
      <c r="G15" s="123" t="s">
        <v>1619</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1620</v>
      </c>
      <c r="C16" s="763">
        <f ca="1">SUM(C11:C15)</f>
        <v>2615</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1621</v>
      </c>
      <c r="C17" s="21">
        <f ca="1">ROUND(D17*E17/10000,0)</f>
        <v>0</v>
      </c>
      <c r="D17" s="796">
        <f ca="1">D14</f>
        <v>66288.099999999991</v>
      </c>
      <c r="E17" s="21">
        <f>'数据-取费表'!B32</f>
        <v>0</v>
      </c>
      <c r="F17" s="758"/>
      <c r="G17" s="123" t="s">
        <v>1622</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1623</v>
      </c>
      <c r="C18" s="21">
        <f ca="1">C19+C20-IF(C1="",'数据-取费表'!B29,IF(G18="已全部缴纳",C19+C20,H18))</f>
        <v>1326</v>
      </c>
      <c r="D18" s="796"/>
      <c r="E18" s="21"/>
      <c r="F18" s="756"/>
      <c r="G18" s="1720" t="s">
        <v>3489</v>
      </c>
      <c r="H18" s="1106">
        <v>0</v>
      </c>
      <c r="I18" s="1721" t="s">
        <v>1624</v>
      </c>
      <c r="J18" s="759"/>
      <c r="K18" s="760"/>
    </row>
    <row r="19" spans="1:33" s="755" customFormat="1" ht="13.5" customHeight="1">
      <c r="A19" s="752" t="s">
        <v>360</v>
      </c>
      <c r="B19" s="753" t="s">
        <v>1625</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1626</v>
      </c>
      <c r="C20" s="21">
        <f ca="1">ROUND(D20*E20/10000,0)</f>
        <v>1326</v>
      </c>
      <c r="D20" s="796">
        <f ca="1">IF(C1="",'数据-汇总表'!E6,IF(INDIRECT("'数据-取费表'!c"&amp;$K$1)="住宅",INDIRECT("'数据-取费表'!s"&amp;$K$1),INDIRECT("'数据-取费表'!k"&amp;$K$1)+INDIRECT("'数据-取费表'!s"&amp;$K$1)))</f>
        <v>66288.099999999991</v>
      </c>
      <c r="E20" s="21">
        <f>'数据-取费表'!B28</f>
        <v>200</v>
      </c>
      <c r="F20" s="756"/>
      <c r="G20" s="12"/>
      <c r="H20" s="761"/>
      <c r="I20" s="761"/>
      <c r="J20" s="761"/>
      <c r="K20" s="762"/>
    </row>
    <row r="21" spans="1:33" s="755" customFormat="1" ht="13.5" customHeight="1">
      <c r="A21" s="744" t="s">
        <v>357</v>
      </c>
      <c r="B21" s="765" t="s">
        <v>1627</v>
      </c>
      <c r="C21" s="766">
        <f ca="1">C16+C17+C18</f>
        <v>3941</v>
      </c>
      <c r="D21" s="767"/>
      <c r="E21" s="273"/>
      <c r="F21" s="273"/>
      <c r="G21" s="123" t="s">
        <v>1628</v>
      </c>
      <c r="H21" s="759"/>
      <c r="I21" s="759"/>
      <c r="J21" s="759"/>
      <c r="K21" s="760"/>
    </row>
    <row r="22" spans="1:33" s="755" customFormat="1" ht="13.5" customHeight="1">
      <c r="A22" s="744" t="s">
        <v>1600</v>
      </c>
      <c r="B22" s="765" t="s">
        <v>1629</v>
      </c>
      <c r="C22" s="766">
        <f ca="1">ROUND(C21*F22,0)</f>
        <v>79</v>
      </c>
      <c r="D22" s="273"/>
      <c r="E22" s="273"/>
      <c r="F22" s="768">
        <f>'数据-取费表'!B37</f>
        <v>0.02</v>
      </c>
      <c r="G22" s="5" t="s">
        <v>1630</v>
      </c>
      <c r="H22" s="749"/>
      <c r="I22" s="749"/>
      <c r="J22" s="749"/>
      <c r="K22" s="750"/>
    </row>
    <row r="23" spans="1:33" s="755" customFormat="1" ht="13.5" customHeight="1">
      <c r="A23" s="744" t="s">
        <v>1602</v>
      </c>
      <c r="B23" s="765" t="s">
        <v>1631</v>
      </c>
      <c r="C23" s="766">
        <f ca="1">ROUND(C4*F23*F11,0)</f>
        <v>81</v>
      </c>
      <c r="D23" s="273"/>
      <c r="E23" s="273"/>
      <c r="F23" s="768">
        <f>'数据-取费表'!B38</f>
        <v>0.02</v>
      </c>
      <c r="G23" s="5" t="s">
        <v>1632</v>
      </c>
      <c r="H23" s="749"/>
      <c r="I23" s="749"/>
      <c r="J23" s="749"/>
      <c r="K23" s="750"/>
    </row>
    <row r="24" spans="1:33" s="755" customFormat="1" ht="13.5" customHeight="1">
      <c r="A24" s="744" t="s">
        <v>1633</v>
      </c>
      <c r="B24" s="765" t="s">
        <v>1634</v>
      </c>
      <c r="C24" s="272">
        <f>ROUND(F24/(1+'数据-取费表'!C42),4)</f>
        <v>2.9000000000000001E-2</v>
      </c>
      <c r="D24" s="273" t="s">
        <v>12</v>
      </c>
      <c r="E24" s="273"/>
      <c r="F24" s="768">
        <f>IF(项目基本情况!B8="出让",0,'数据-取费表'!B48+'数据-取费表'!B49)</f>
        <v>3.0499999999999999E-2</v>
      </c>
      <c r="G24" s="5" t="s">
        <v>1635</v>
      </c>
      <c r="H24" s="770"/>
      <c r="I24" s="770"/>
      <c r="J24" s="770"/>
      <c r="K24" s="55"/>
    </row>
    <row r="25" spans="1:33" s="755" customFormat="1" ht="13.5" customHeight="1">
      <c r="A25" s="744" t="s">
        <v>1636</v>
      </c>
      <c r="B25" s="767" t="s">
        <v>1637</v>
      </c>
      <c r="C25" s="1043">
        <f ca="1">C27</f>
        <v>13</v>
      </c>
      <c r="D25" s="272">
        <f ca="1">C26</f>
        <v>6.3E-3</v>
      </c>
      <c r="E25" s="274" t="s">
        <v>12</v>
      </c>
      <c r="F25" s="275">
        <f ca="1">'数据-取费表'!B40</f>
        <v>3.1E-2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1638</v>
      </c>
      <c r="C26" s="1044">
        <f ca="1">ROUND(IF('数据-取费表'!B22&lt;=1,(1+C24)*F25*'数据-取费表'!B24,(1+C24)*(POWER((1+F25),'数据-取费表'!B24)-1)),4)</f>
        <v>6.3E-3</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1639</v>
      </c>
      <c r="C27" s="1045">
        <f ca="1">ROUND(IF('数据-取费表'!B22&lt;=1,(C21+C22+C23)*F25*'数据-取费表'!B24/2,(C21+C22+C23)*(POWER((1+F25),'数据-取费表'!B24/2)-1)),0)</f>
        <v>13</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1640</v>
      </c>
      <c r="B28" s="1723" t="s">
        <v>1641</v>
      </c>
      <c r="C28" s="279">
        <f ca="1">C30</f>
        <v>410</v>
      </c>
      <c r="D28" s="272">
        <f ca="1">C29</f>
        <v>1.03E-2</v>
      </c>
      <c r="E28" s="274" t="s">
        <v>12</v>
      </c>
      <c r="F28" s="280">
        <f ca="1">IF(C1="",'数据-取费表'!Q16,INDIRECT("'数据-取费表'!q"&amp;$K$1))</f>
        <v>0.1</v>
      </c>
      <c r="G28" s="769"/>
      <c r="H28" s="770"/>
      <c r="I28" s="770"/>
      <c r="J28" s="770"/>
      <c r="K28" s="55"/>
    </row>
    <row r="29" spans="1:33" s="283" customFormat="1" ht="13.5" customHeight="1">
      <c r="A29" s="752" t="s">
        <v>358</v>
      </c>
      <c r="B29" s="773" t="s">
        <v>1642</v>
      </c>
      <c r="C29" s="276">
        <f ca="1">ROUND((1+C24)*F28*'数据-取费表'!B24/'数据-取费表'!B20,4)</f>
        <v>1.03E-2</v>
      </c>
      <c r="D29" s="276"/>
      <c r="E29" s="277"/>
      <c r="F29" s="282"/>
      <c r="G29" s="123" t="s">
        <v>1643</v>
      </c>
      <c r="H29" s="759"/>
      <c r="I29" s="759"/>
      <c r="J29" s="759"/>
      <c r="K29" s="760"/>
    </row>
    <row r="30" spans="1:33" s="283" customFormat="1" ht="13.5" customHeight="1">
      <c r="A30" s="752" t="s">
        <v>359</v>
      </c>
      <c r="B30" s="773" t="s">
        <v>1644</v>
      </c>
      <c r="C30" s="284">
        <f ca="1">ROUND((C21+C22+C23)*F28,0)</f>
        <v>410</v>
      </c>
      <c r="D30" s="276"/>
      <c r="E30" s="277"/>
      <c r="F30" s="282"/>
      <c r="G30" s="123"/>
      <c r="H30" s="759"/>
      <c r="I30" s="759"/>
      <c r="J30" s="759"/>
      <c r="K30" s="760"/>
    </row>
    <row r="31" spans="1:33" s="755" customFormat="1" ht="13.5" customHeight="1" thickBot="1">
      <c r="A31" s="1724" t="s">
        <v>1645</v>
      </c>
      <c r="B31" s="783" t="s">
        <v>1646</v>
      </c>
      <c r="C31" s="784">
        <f ca="1">ROUND(C4*F31/(1+'数据-取费表'!C42),0)</f>
        <v>2171</v>
      </c>
      <c r="D31" s="785"/>
      <c r="E31" s="786"/>
      <c r="F31" s="787">
        <f>'数据-取费表'!B41</f>
        <v>5.6000000000000001E-2</v>
      </c>
      <c r="G31" s="788" t="s">
        <v>1647</v>
      </c>
      <c r="H31" s="789"/>
      <c r="I31" s="789"/>
      <c r="J31" s="789"/>
      <c r="K31" s="790"/>
    </row>
    <row r="32" spans="1:33" s="751" customFormat="1" ht="13.5" customHeight="1" thickBot="1">
      <c r="A32" s="449" t="s">
        <v>1648</v>
      </c>
      <c r="B32" s="779"/>
      <c r="C32" s="780">
        <f ca="1">ROUND((C4-C21-C22-C23-C25-C28-C31)/(1+C24+D25+D28),0)</f>
        <v>32524</v>
      </c>
      <c r="D32" s="779"/>
      <c r="E32" s="779"/>
      <c r="F32" s="779"/>
      <c r="G32" s="781" t="s">
        <v>1649</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zoomScale="70" zoomScaleNormal="70" zoomScaleSheetLayoutView="70" workbookViewId="0">
      <selection activeCell="I27" sqref="I27"/>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3</v>
      </c>
      <c r="D1" s="1271" t="s">
        <v>3408</v>
      </c>
      <c r="E1" s="1272" t="s">
        <v>678</v>
      </c>
      <c r="F1" s="999">
        <f ca="1">J53</f>
        <v>15.450000000000001</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f ca="1">C40+J29+L46</f>
        <v>40702</v>
      </c>
      <c r="C2" s="1289" t="s">
        <v>805</v>
      </c>
      <c r="D2" s="1289"/>
      <c r="E2" s="1295"/>
      <c r="F2" s="1296"/>
      <c r="G2" s="2479"/>
      <c r="H2" s="2469"/>
      <c r="I2" s="2469"/>
      <c r="J2" s="2469"/>
      <c r="K2" s="2470"/>
      <c r="L2" s="2469"/>
      <c r="M2" s="2469"/>
    </row>
    <row r="3" spans="1:37" ht="18" customHeight="1" thickBot="1">
      <c r="A3" s="1297" t="s">
        <v>806</v>
      </c>
      <c r="B3" s="1298">
        <f ca="1">IF(ISERROR(B2*10000/F43),0,ROUND(B2*10000/F43,0))</f>
        <v>6140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4797</v>
      </c>
      <c r="D5" s="1273" t="s">
        <v>693</v>
      </c>
      <c r="E5" s="1008"/>
      <c r="F5" s="1009"/>
      <c r="G5" s="1292"/>
      <c r="H5" s="291">
        <v>1</v>
      </c>
      <c r="I5" s="292" t="s">
        <v>692</v>
      </c>
      <c r="J5" s="1007">
        <f ca="1">J6+J10+J12</f>
        <v>0</v>
      </c>
      <c r="K5" s="1273" t="s">
        <v>693</v>
      </c>
      <c r="L5" s="1008"/>
      <c r="M5" s="1009"/>
    </row>
    <row r="6" spans="1:37" ht="18" customHeight="1">
      <c r="A6" s="1006" t="s">
        <v>398</v>
      </c>
      <c r="B6" s="3405" t="s">
        <v>694</v>
      </c>
      <c r="C6" s="1011">
        <f ca="1">ROUND(F6*F8*F7*(1-F9)/10000,0)</f>
        <v>4791</v>
      </c>
      <c r="D6" s="147" t="s">
        <v>2107</v>
      </c>
      <c r="E6" s="294" t="s">
        <v>696</v>
      </c>
      <c r="F6" s="295">
        <f ca="1">INDIRECT("'数据-取费表'!u"&amp;$G$1)</f>
        <v>2.2000000000000002</v>
      </c>
      <c r="G6" s="1292"/>
      <c r="H6" s="1006" t="s">
        <v>398</v>
      </c>
      <c r="I6" s="3405" t="s">
        <v>694</v>
      </c>
      <c r="J6" s="293">
        <f ca="1">ROUND(M6*M8*M7*(1-M9)/10000,0)</f>
        <v>0</v>
      </c>
      <c r="K6" s="147" t="s">
        <v>2106</v>
      </c>
      <c r="L6" s="294" t="s">
        <v>696</v>
      </c>
      <c r="M6" s="295">
        <f ca="1">INDIRECT("'数据-取费表'!z"&amp;$G$1)</f>
        <v>0</v>
      </c>
    </row>
    <row r="7" spans="1:37" ht="18" customHeight="1">
      <c r="A7" s="1010"/>
      <c r="B7" s="3406"/>
      <c r="C7" s="1012"/>
      <c r="D7" s="299"/>
      <c r="E7" s="1013" t="s">
        <v>697</v>
      </c>
      <c r="F7" s="295">
        <f ca="1">IF(INDIRECT("'数据-取费表'!ah"&amp;$G$1)="",INDIRECT("'数据-取费表'!k"&amp;$G$1),INDIRECT("'数据-取费表'!ah"&amp;$G$1))</f>
        <v>66288.099999999991</v>
      </c>
      <c r="G7" s="1292"/>
      <c r="H7" s="296"/>
      <c r="I7" s="3406"/>
      <c r="J7" s="298"/>
      <c r="K7" s="299"/>
      <c r="L7" s="294" t="s">
        <v>697</v>
      </c>
      <c r="M7" s="295">
        <f ca="1">F7</f>
        <v>66288.099999999991</v>
      </c>
    </row>
    <row r="8" spans="1:37" ht="18" customHeight="1">
      <c r="A8" s="296"/>
      <c r="B8" s="3406"/>
      <c r="C8" s="298"/>
      <c r="D8" s="299"/>
      <c r="E8" s="294" t="s">
        <v>698</v>
      </c>
      <c r="F8" s="295">
        <f ca="1">INDIRECT("'数据-取费表'!ai"&amp;$G$1)</f>
        <v>365</v>
      </c>
      <c r="G8" s="1292"/>
      <c r="H8" s="296"/>
      <c r="I8" s="3406"/>
      <c r="J8" s="298"/>
      <c r="K8" s="299"/>
      <c r="L8" s="294" t="s">
        <v>698</v>
      </c>
      <c r="M8" s="295">
        <f ca="1">INDIRECT("'数据-取费表'!ai"&amp;$G$1)</f>
        <v>365</v>
      </c>
    </row>
    <row r="9" spans="1:37" ht="18" customHeight="1">
      <c r="A9" s="296"/>
      <c r="B9" s="3407"/>
      <c r="C9" s="298"/>
      <c r="D9" s="299"/>
      <c r="E9" s="294" t="s">
        <v>699</v>
      </c>
      <c r="F9" s="304">
        <f ca="1">INDIRECT("'数据-取费表'!w"&amp;$G$1)</f>
        <v>0.1</v>
      </c>
      <c r="G9" s="1292"/>
      <c r="H9" s="296"/>
      <c r="I9" s="3407"/>
      <c r="J9" s="298"/>
      <c r="K9" s="299"/>
      <c r="L9" s="305" t="s">
        <v>699</v>
      </c>
      <c r="M9" s="306">
        <f ca="1">INDIRECT("'数据-取费表'!ab"&amp;$G$1)</f>
        <v>0</v>
      </c>
    </row>
    <row r="10" spans="1:37" ht="18" customHeight="1">
      <c r="A10" s="1006" t="s">
        <v>402</v>
      </c>
      <c r="B10" s="1274" t="s">
        <v>700</v>
      </c>
      <c r="C10" s="308">
        <f ca="1">ROUND(IF(F10="押一",C6/12*F11,IF(F10="押二",C6/12*2*F11,IF(F10="押三",C6/12*3*F11,C11*F11))),0)</f>
        <v>6</v>
      </c>
      <c r="D10" s="150" t="s">
        <v>2115</v>
      </c>
      <c r="E10" s="305" t="s">
        <v>701</v>
      </c>
      <c r="F10" s="1053" t="s">
        <v>3409</v>
      </c>
      <c r="G10" s="1292"/>
      <c r="H10" s="1006" t="s">
        <v>402</v>
      </c>
      <c r="I10" s="1274" t="s">
        <v>700</v>
      </c>
      <c r="J10" s="293">
        <f ca="1">ROUND(IF(M10="押一",J6/12*M11,IF(M10="押二",J6/12*2*M11,IF(M10="押三",J6/12*3*M11,J11*M11))),0)</f>
        <v>0</v>
      </c>
      <c r="K10" s="150" t="s">
        <v>2114</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32646</v>
      </c>
      <c r="D13" s="1018" t="s">
        <v>705</v>
      </c>
      <c r="E13" s="1018" t="s">
        <v>706</v>
      </c>
      <c r="F13" s="1019">
        <f ca="1">INDIRECT("'数据-取费表'!y"&amp;$G$1)</f>
        <v>1</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23201</v>
      </c>
      <c r="D14" s="1257" t="s">
        <v>708</v>
      </c>
      <c r="E14" s="1255"/>
      <c r="F14" s="311"/>
      <c r="G14" s="1292"/>
      <c r="H14" s="928" t="s">
        <v>398</v>
      </c>
      <c r="I14" s="294" t="s">
        <v>709</v>
      </c>
      <c r="J14" s="21">
        <f ca="1">C29</f>
        <v>32646</v>
      </c>
      <c r="K14" s="12"/>
      <c r="L14" s="759"/>
      <c r="M14" s="760"/>
    </row>
    <row r="15" spans="1:37" s="1304" customFormat="1" ht="18" customHeight="1" thickBot="1">
      <c r="A15" s="928" t="s">
        <v>399</v>
      </c>
      <c r="B15" s="294" t="s">
        <v>710</v>
      </c>
      <c r="C15" s="21">
        <f ca="1">ROUND(C14*F15,0)</f>
        <v>1160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70</v>
      </c>
      <c r="K16" s="1024" t="s">
        <v>715</v>
      </c>
      <c r="L16" s="1025"/>
      <c r="M16" s="1009"/>
    </row>
    <row r="17" spans="1:37" s="1304" customFormat="1" ht="18" customHeight="1">
      <c r="A17" s="928" t="s">
        <v>681</v>
      </c>
      <c r="B17" s="294" t="s">
        <v>716</v>
      </c>
      <c r="C17" s="21">
        <f ca="1">ROUND(F17*(F43+INDIRECT("'数据-取费表'!S"&amp;$G$1))/10000,0)</f>
        <v>1326</v>
      </c>
      <c r="D17" s="294" t="s">
        <v>717</v>
      </c>
      <c r="E17" s="294" t="s">
        <v>718</v>
      </c>
      <c r="F17" s="23">
        <f>'数据-取费表'!B35</f>
        <v>200</v>
      </c>
      <c r="G17" s="1303"/>
      <c r="H17" s="928" t="s">
        <v>398</v>
      </c>
      <c r="I17" s="294" t="s">
        <v>719</v>
      </c>
      <c r="J17" s="2140">
        <f ca="1">ROUND(IF(AND(项目基本情况!B11="自然人",项目基本情况!B10="北京市"),J6*M17/(1+'数据-取费表'!C42),J18+J19+J20),2)</f>
        <v>4.46</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464</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26151</v>
      </c>
      <c r="D19" s="123" t="s">
        <v>726</v>
      </c>
      <c r="E19" s="1269"/>
      <c r="F19" s="23"/>
      <c r="G19" s="1292"/>
      <c r="H19" s="928" t="s">
        <v>399</v>
      </c>
      <c r="I19" s="294" t="s">
        <v>727</v>
      </c>
      <c r="J19" s="21">
        <f ca="1">IF(K19="按租金收入计税",ROUND(J6*M19/(1+'数据-取费表'!C42),2),ROUND(C29*M19*0.7,2))</f>
        <v>0</v>
      </c>
      <c r="K19" s="1278" t="s">
        <v>3327</v>
      </c>
      <c r="L19" s="294" t="s">
        <v>712</v>
      </c>
      <c r="M19" s="314">
        <f>IF(K19="按租金收入计税",'数据-取费表'!B51,'数据-取费表'!B50)</f>
        <v>0.12</v>
      </c>
    </row>
    <row r="20" spans="1:37" s="1304" customFormat="1" ht="18" customHeight="1">
      <c r="A20" s="928" t="s">
        <v>402</v>
      </c>
      <c r="B20" s="294" t="s">
        <v>728</v>
      </c>
      <c r="C20" s="21">
        <f ca="1">ROUND(C19*F20,0)</f>
        <v>523</v>
      </c>
      <c r="D20" s="315" t="s">
        <v>729</v>
      </c>
      <c r="E20" s="294" t="s">
        <v>712</v>
      </c>
      <c r="F20" s="314">
        <f>'数据-取费表'!B37</f>
        <v>0.02</v>
      </c>
      <c r="G20" s="1303"/>
      <c r="H20" s="928" t="s">
        <v>680</v>
      </c>
      <c r="I20" s="147" t="s">
        <v>730</v>
      </c>
      <c r="J20" s="22">
        <f ca="1">ROUND(M20*M21/10000,2)</f>
        <v>4.46</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29724.79</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65.290000000000006</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827</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ROUND(J5*M24,2)</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-70</v>
      </c>
      <c r="K25" s="1032" t="s">
        <v>753</v>
      </c>
      <c r="L25" s="1033"/>
      <c r="M25" s="1034"/>
    </row>
    <row r="26" spans="1:37">
      <c r="A26" s="928" t="s">
        <v>397</v>
      </c>
      <c r="B26" s="294" t="s">
        <v>754</v>
      </c>
      <c r="C26" s="21">
        <f ca="1">ROUND((C19+C20)*F26,0)</f>
        <v>2667</v>
      </c>
      <c r="D26" s="315" t="s">
        <v>755</v>
      </c>
      <c r="E26" s="305" t="s">
        <v>756</v>
      </c>
      <c r="F26" s="304">
        <f ca="1">INDIRECT("'数据-取费表'!q"&amp;$G$1)</f>
        <v>0.1</v>
      </c>
      <c r="G26" s="1292"/>
      <c r="H26" s="291" t="s">
        <v>395</v>
      </c>
      <c r="I26" s="292" t="s">
        <v>757</v>
      </c>
      <c r="J26" s="293">
        <f ca="1">IF(J5&lt;&gt;0,ROUND(J25*(1-((1+M28)/(1+M26))^M27)/(M26-M28),0),0)</f>
        <v>0</v>
      </c>
      <c r="K26" s="316" t="s">
        <v>758</v>
      </c>
      <c r="L26" s="294" t="s">
        <v>759</v>
      </c>
      <c r="M26" s="304">
        <f ca="1">INDIRECT("'数据-取费表'!I"&amp;$G$1)</f>
        <v>0.05</v>
      </c>
    </row>
    <row r="27" spans="1:37" ht="18" customHeight="1">
      <c r="A27" s="928" t="s">
        <v>399</v>
      </c>
      <c r="B27" s="294" t="s">
        <v>760</v>
      </c>
      <c r="C27" s="21">
        <f ca="1">ROUND(F21*F26,4)</f>
        <v>2E-3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32646</v>
      </c>
      <c r="D29" s="1029"/>
      <c r="E29" s="1027"/>
      <c r="F29" s="1030"/>
      <c r="G29" s="1303"/>
      <c r="H29" s="325" t="s">
        <v>396</v>
      </c>
      <c r="I29" s="326" t="s">
        <v>768</v>
      </c>
      <c r="J29" s="327">
        <f ca="1">ROUND(J26/(1+F40)^F41,0)</f>
        <v>0</v>
      </c>
      <c r="K29" s="328" t="s">
        <v>769</v>
      </c>
      <c r="L29" s="329"/>
      <c r="M29" s="330">
        <f ca="1">INDIRECT("'数据-取费表'!k"&amp;$G$1)</f>
        <v>66288.099999999991</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953</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807.52</v>
      </c>
      <c r="D31" s="1257" t="s">
        <v>720</v>
      </c>
      <c r="E31" s="1256" t="s">
        <v>770</v>
      </c>
      <c r="F31" s="2139" t="str">
        <f>IF(项目基本情况!B11="企业","——",IF(M47="住宅",IF(F6*F7*F8/12/(1+'数据-取费表'!F30)&gt;100000,4%,2.5%),IF(F6*F7*F8/12/(1+'数据-取费表'!F30)&gt;100000,12%,7%)))</f>
        <v>——</v>
      </c>
      <c r="G31" s="1292"/>
      <c r="H31" s="2570" t="s">
        <v>2297</v>
      </c>
      <c r="I31" s="1305"/>
      <c r="J31" s="1306"/>
      <c r="K31" s="121"/>
      <c r="L31" s="2472"/>
      <c r="M31" s="2473"/>
    </row>
    <row r="32" spans="1:37" ht="18" customHeight="1">
      <c r="A32" s="928" t="s">
        <v>397</v>
      </c>
      <c r="B32" s="294" t="s">
        <v>723</v>
      </c>
      <c r="C32" s="21">
        <f ca="1">IF(项目基本情况!B11="自然人","——",ROUND(C6*F32/(1+'数据-取费表'!C42),2))</f>
        <v>255.52</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IF(项目基本情况!B11="自然人","——",IF(D33="按租金收入计税",ROUND(C6*F33/(1+'数据-取费表'!C42),2),IF(D33="按房产原值计税",ROUND(C29*F33*0.7,2),INDIRECT("'数据-取费表'!Aj"&amp;$G$1))))</f>
        <v>547.54</v>
      </c>
      <c r="D33" s="1278" t="s">
        <v>3327</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IF(项目基本情况!B11="自然人","——",ROUND(F34*F35/10000,2))</f>
        <v>4.46</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29724.79</v>
      </c>
      <c r="G35" s="1292"/>
      <c r="H35" s="2471"/>
      <c r="I35" s="1305"/>
      <c r="J35" s="1306"/>
      <c r="K35" s="2475"/>
      <c r="L35" s="2474"/>
      <c r="M35" s="2474"/>
    </row>
    <row r="36" spans="1:18" ht="18" customHeight="1">
      <c r="A36" s="1039" t="s">
        <v>402</v>
      </c>
      <c r="B36" s="294" t="s">
        <v>738</v>
      </c>
      <c r="C36" s="21">
        <f ca="1">ROUND(C29*F36,2)</f>
        <v>65.290000000000006</v>
      </c>
      <c r="D36" s="1256" t="s">
        <v>771</v>
      </c>
      <c r="E36" s="294" t="s">
        <v>712</v>
      </c>
      <c r="F36" s="320">
        <f ca="1">INDIRECT("'数据-取费表'!Ak"&amp;$G$1)</f>
        <v>2E-3</v>
      </c>
      <c r="G36" s="1292"/>
      <c r="H36" s="2474"/>
      <c r="I36" s="1305"/>
      <c r="J36" s="1306"/>
      <c r="K36" s="2331"/>
      <c r="L36" s="2474"/>
      <c r="M36" s="2474"/>
    </row>
    <row r="37" spans="1:18" ht="18" customHeight="1">
      <c r="A37" s="928" t="s">
        <v>437</v>
      </c>
      <c r="B37" s="294" t="s">
        <v>742</v>
      </c>
      <c r="C37" s="21">
        <f ca="1">ROUND(C13*F37,2)</f>
        <v>32.65</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ROUND(C5*F38,2)</f>
        <v>47.97</v>
      </c>
      <c r="D38" s="1029" t="s">
        <v>748</v>
      </c>
      <c r="E38" s="1027" t="s">
        <v>744</v>
      </c>
      <c r="F38" s="1023">
        <f ca="1">INDIRECT("'数据-取费表'!Am"&amp;$G$1)</f>
        <v>0.01</v>
      </c>
      <c r="G38" s="1292"/>
      <c r="H38" s="2474"/>
      <c r="I38" s="1305"/>
      <c r="J38" s="1306"/>
      <c r="K38" s="2472"/>
      <c r="L38" s="2474"/>
      <c r="M38" s="2474"/>
    </row>
    <row r="39" spans="1:18" ht="24.6" customHeight="1" thickTop="1">
      <c r="A39" s="1016" t="s">
        <v>394</v>
      </c>
      <c r="B39" s="1031" t="s">
        <v>772</v>
      </c>
      <c r="C39" s="302">
        <f ca="1">C5-C30</f>
        <v>3844</v>
      </c>
      <c r="D39" s="1032" t="s">
        <v>773</v>
      </c>
      <c r="E39" s="1033"/>
      <c r="F39" s="1034"/>
      <c r="G39" s="1292"/>
      <c r="H39" s="2474"/>
      <c r="I39" s="1305"/>
      <c r="J39" s="1306"/>
      <c r="K39" s="2472"/>
      <c r="L39" s="2474"/>
      <c r="M39" s="2474"/>
    </row>
    <row r="40" spans="1:18" ht="18" customHeight="1">
      <c r="A40" s="291" t="s">
        <v>395</v>
      </c>
      <c r="B40" s="292" t="s">
        <v>774</v>
      </c>
      <c r="C40" s="293">
        <f ca="1">ROUND(C39*(1-((1+F42)/(1+F40))^F41)/(F40-F42),0)</f>
        <v>40702</v>
      </c>
      <c r="D40" s="316" t="s">
        <v>758</v>
      </c>
      <c r="E40" s="294" t="s">
        <v>759</v>
      </c>
      <c r="F40" s="304">
        <f ca="1">INDIRECT("'数据-取费表'!I"&amp;$G$1)</f>
        <v>0.05</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15.450000000000001</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f ca="1">ROUND(C40*10000/F43,0)</f>
        <v>6140</v>
      </c>
      <c r="D43" s="328" t="s">
        <v>777</v>
      </c>
      <c r="E43" s="329" t="s">
        <v>778</v>
      </c>
      <c r="F43" s="330">
        <f ca="1">INDIRECT("'数据-取费表'!k"&amp;$G$1)</f>
        <v>66288.099999999991</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f ca="1">C68-C40</f>
        <v>-41782</v>
      </c>
      <c r="D46" s="1313" t="str">
        <f>C2</f>
        <v>万元</v>
      </c>
      <c r="E46" s="1307"/>
      <c r="F46" s="1307"/>
      <c r="I46" s="1314" t="s">
        <v>810</v>
      </c>
      <c r="J46" s="1315"/>
      <c r="K46" s="1316"/>
      <c r="L46" s="1317" t="str">
        <f ca="1">IF(M47="住宅",0,IF(L48&gt;J51,L60,J60))</f>
        <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t="s">
        <v>3410</v>
      </c>
      <c r="K47" s="1323" t="s">
        <v>816</v>
      </c>
      <c r="L47" s="1324">
        <f ca="1">INDIRECT("'数据-取费表'!d"&amp;$G$1)</f>
        <v>20</v>
      </c>
      <c r="M47" s="1288" t="str">
        <f>IF(ISNUMBER(FIND("住宅",C1)),"住宅","非住宅")</f>
        <v>非住宅</v>
      </c>
      <c r="O47" s="1325" t="s">
        <v>403</v>
      </c>
      <c r="P47" s="1326" t="s">
        <v>817</v>
      </c>
      <c r="Q47" s="1327">
        <f ca="1">C40+J29</f>
        <v>40702</v>
      </c>
      <c r="R47" s="1327" t="s">
        <v>818</v>
      </c>
    </row>
    <row r="48" spans="1:18" s="1292" customFormat="1" ht="28.5" thickBot="1">
      <c r="A48" s="1047" t="s">
        <v>438</v>
      </c>
      <c r="B48" s="292" t="s">
        <v>692</v>
      </c>
      <c r="C48" s="1268">
        <f ca="1">C49+C53+C55</f>
        <v>0</v>
      </c>
      <c r="D48" s="1049"/>
      <c r="E48" s="1050"/>
      <c r="F48" s="908"/>
      <c r="G48" s="681"/>
      <c r="H48" s="682"/>
      <c r="I48" s="1328" t="s">
        <v>819</v>
      </c>
      <c r="J48" s="1329" t="s">
        <v>3411</v>
      </c>
      <c r="K48" s="1330" t="s">
        <v>820</v>
      </c>
      <c r="L48" s="1331">
        <f ca="1">INDIRECT("'数据-取费表'!f"&amp;$G$1)</f>
        <v>15.65</v>
      </c>
      <c r="O48" s="1325" t="s">
        <v>404</v>
      </c>
      <c r="P48" s="1326" t="s">
        <v>821</v>
      </c>
      <c r="Q48" s="1327" t="str">
        <f ca="1">J60</f>
        <v>0</v>
      </c>
      <c r="R48" s="1327" t="s">
        <v>822</v>
      </c>
    </row>
    <row r="49" spans="1:18" s="1292" customFormat="1" ht="13.5" thickBot="1">
      <c r="A49" s="921" t="s">
        <v>439</v>
      </c>
      <c r="B49" s="1279" t="s">
        <v>779</v>
      </c>
      <c r="C49" s="1051">
        <f ca="1">ROUND(F49*F51*F50*(1-F52)/10000,0)</f>
        <v>0</v>
      </c>
      <c r="D49" s="992" t="s">
        <v>2108</v>
      </c>
      <c r="E49" s="1280" t="s">
        <v>780</v>
      </c>
      <c r="F49" s="997"/>
      <c r="H49" s="682"/>
      <c r="I49" s="1328" t="s">
        <v>823</v>
      </c>
      <c r="J49" s="1332"/>
      <c r="K49" s="1330" t="s">
        <v>824</v>
      </c>
      <c r="L49" s="1333"/>
      <c r="O49" s="1334" t="s">
        <v>405</v>
      </c>
      <c r="P49" s="1326" t="s">
        <v>825</v>
      </c>
      <c r="Q49" s="1327">
        <f ca="1">C29</f>
        <v>32646</v>
      </c>
      <c r="R49" s="1327" t="s">
        <v>818</v>
      </c>
    </row>
    <row r="50" spans="1:18" s="1292" customFormat="1" ht="13.5" thickBot="1">
      <c r="A50" s="922"/>
      <c r="B50" s="925"/>
      <c r="C50" s="1055"/>
      <c r="D50" s="899"/>
      <c r="E50" s="993" t="s">
        <v>697</v>
      </c>
      <c r="F50" s="994">
        <f ca="1">F7</f>
        <v>66288.099999999991</v>
      </c>
      <c r="H50" s="682"/>
      <c r="I50" s="1328" t="s">
        <v>826</v>
      </c>
      <c r="J50" s="1335">
        <f>SUMPRODUCT((I63:I65=J47)*(J62:L62=J48)*(J63:L65))</f>
        <v>50</v>
      </c>
      <c r="K50" s="1330" t="s">
        <v>827</v>
      </c>
      <c r="L50" s="1333"/>
      <c r="M50" s="1336"/>
      <c r="O50" s="1334" t="s">
        <v>406</v>
      </c>
      <c r="P50" s="1326" t="s">
        <v>828</v>
      </c>
      <c r="Q50" s="1337" t="e">
        <f ca="1">J58</f>
        <v>#VALUE!</v>
      </c>
      <c r="R50" s="1327"/>
    </row>
    <row r="51" spans="1:18" s="1292" customFormat="1" ht="13.5" thickBot="1">
      <c r="A51" s="923"/>
      <c r="B51" s="925"/>
      <c r="C51" s="926"/>
      <c r="D51" s="899"/>
      <c r="E51" s="927" t="s">
        <v>698</v>
      </c>
      <c r="F51" s="295">
        <f ca="1">F8</f>
        <v>365</v>
      </c>
      <c r="I51" s="1338" t="s">
        <v>829</v>
      </c>
      <c r="J51" s="1331">
        <f>IF(J49="",J50,J49+J50-YEAR('数据-取费表'!B2))</f>
        <v>50</v>
      </c>
      <c r="K51" s="1339" t="s">
        <v>830</v>
      </c>
      <c r="L51" s="1340">
        <f ca="1">ROUND(-PV(INDIRECT("'数据-取费表'!h"&amp;$G$1),J51,(C39-C13*C76),0),0)</f>
        <v>27579</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15.450000000000001</v>
      </c>
      <c r="R52" s="1327" t="s">
        <v>835</v>
      </c>
    </row>
    <row r="53" spans="1:18" s="1292" customFormat="1" ht="24.75" thickBot="1">
      <c r="A53" s="1079" t="s">
        <v>440</v>
      </c>
      <c r="B53" s="1281" t="s">
        <v>700</v>
      </c>
      <c r="C53" s="308">
        <f ca="1">ROUND(IF(F53="押一",C49/12*F11,IF(F53="押二",C49/12*2*F11,IF(F53="押三",C49/12*3*F11,C54*F11))),0)</f>
        <v>0</v>
      </c>
      <c r="D53" s="150" t="s">
        <v>2114</v>
      </c>
      <c r="E53" s="305" t="s">
        <v>701</v>
      </c>
      <c r="F53" s="1053"/>
      <c r="I53" s="1344" t="s">
        <v>836</v>
      </c>
      <c r="J53" s="2006">
        <f ca="1">IF(M47="住宅",IF(D1="——",MAX(J51,L48),MAX(J51,L48-'数据-取费表'!B24)),IF(D1="——",MIN(J51,L48),MIN(J51,L48-'数据-取费表'!B24)))</f>
        <v>15.450000000000001</v>
      </c>
      <c r="K53" s="3403" t="s">
        <v>837</v>
      </c>
      <c r="L53" s="3404"/>
      <c r="O53" s="1325" t="s">
        <v>409</v>
      </c>
      <c r="P53" s="1326" t="s">
        <v>838</v>
      </c>
      <c r="Q53" s="1327">
        <f ca="1">Q47+Q48</f>
        <v>40702</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#VALUE!</v>
      </c>
      <c r="K55" s="1350" t="s">
        <v>841</v>
      </c>
      <c r="L55" s="1351"/>
      <c r="O55" s="1318" t="s">
        <v>811</v>
      </c>
      <c r="P55" s="1319" t="s">
        <v>812</v>
      </c>
      <c r="Q55" s="1320" t="s">
        <v>813</v>
      </c>
      <c r="R55" s="1320" t="s">
        <v>814</v>
      </c>
    </row>
    <row r="56" spans="1:18" s="1292" customFormat="1" ht="25.5" thickTop="1" thickBot="1">
      <c r="A56" s="903">
        <v>2</v>
      </c>
      <c r="B56" s="904" t="s">
        <v>704</v>
      </c>
      <c r="C56" s="224">
        <f ca="1">C13</f>
        <v>32646</v>
      </c>
      <c r="D56" s="1352"/>
      <c r="E56" s="1353"/>
      <c r="F56" s="1345"/>
      <c r="I56" s="1354" t="s">
        <v>842</v>
      </c>
      <c r="J56" s="1355" t="s">
        <v>3398</v>
      </c>
      <c r="K56" s="1328" t="s">
        <v>843</v>
      </c>
      <c r="L56" s="1331" t="str">
        <f ca="1">IF(L48&lt;J51,"——",L48-J53)</f>
        <v>——</v>
      </c>
      <c r="O56" s="1325" t="s">
        <v>403</v>
      </c>
      <c r="P56" s="1326" t="s">
        <v>817</v>
      </c>
      <c r="Q56" s="1327">
        <f ca="1">C40+J29</f>
        <v>40702</v>
      </c>
      <c r="R56" s="1327" t="s">
        <v>818</v>
      </c>
    </row>
    <row r="57" spans="1:18" s="1292" customFormat="1" ht="24.75" thickBot="1">
      <c r="A57" s="1356"/>
      <c r="B57" s="896" t="s">
        <v>767</v>
      </c>
      <c r="C57" s="230">
        <f ca="1">C29</f>
        <v>32646</v>
      </c>
      <c r="D57" s="1357"/>
      <c r="E57" s="1358"/>
      <c r="F57" s="1359"/>
      <c r="I57" s="1360" t="s">
        <v>844</v>
      </c>
      <c r="J57" s="1361" t="str">
        <f ca="1">IF(OR(M47="住宅",J51&lt;L48,J56="是"),"——",J51-L48)</f>
        <v>——</v>
      </c>
      <c r="K57" s="1328" t="s">
        <v>845</v>
      </c>
      <c r="L57" s="1331" t="str">
        <f ca="1">IF(L48&lt;J51,"——",IF(L55="比较法",L49,IF(L55="基准地价",L50,L51)))</f>
        <v>——</v>
      </c>
      <c r="O57" s="1325" t="s">
        <v>404</v>
      </c>
      <c r="P57" s="1326" t="s">
        <v>846</v>
      </c>
      <c r="Q57" s="1327">
        <f ca="1">L60</f>
        <v>0</v>
      </c>
      <c r="R57" s="1327" t="s">
        <v>847</v>
      </c>
    </row>
    <row r="58" spans="1:18" s="1292" customFormat="1" ht="24.75" thickBot="1">
      <c r="A58" s="307" t="s">
        <v>393</v>
      </c>
      <c r="B58" s="904" t="s">
        <v>714</v>
      </c>
      <c r="C58" s="308">
        <f ca="1">ROUND(C59+C64+C65+C66,0)</f>
        <v>102</v>
      </c>
      <c r="D58" s="906" t="s">
        <v>715</v>
      </c>
      <c r="E58" s="907"/>
      <c r="F58" s="908"/>
      <c r="I58" s="1360" t="s">
        <v>848</v>
      </c>
      <c r="J58" s="1362" t="e">
        <f ca="1">IF(J55&lt;0.4,0.4,J55)</f>
        <v>#VALUE!</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4</v>
      </c>
      <c r="D59" s="909" t="s">
        <v>720</v>
      </c>
      <c r="E59" s="910" t="s">
        <v>721</v>
      </c>
      <c r="F59" s="2139" t="str">
        <f>IF(项目基本情况!B11="企业","——",IF('数据-取费表'!B10="住宅",IF(F49*F50*F51/12/(1+'数据-取费表'!F30)&gt;100000,4%,2.5%),IF(F49*F50*F51/12/(1+'数据-取费表'!F30)&gt;100000,12%,7%)))</f>
        <v>——</v>
      </c>
      <c r="I59" s="1360" t="s">
        <v>851</v>
      </c>
      <c r="J59" s="1361" t="str">
        <f ca="1">IF(OR(M47="住宅",J51&lt;L48,J56="是"),"——",ROUND(C29*J58,0))</f>
        <v>——</v>
      </c>
      <c r="K59" s="132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IF(项目基本情况!B11="自然人","——",ROUND(C48*F60/(1+'数据-取费表'!C42),2))</f>
        <v>0</v>
      </c>
      <c r="D60" s="910" t="s">
        <v>724</v>
      </c>
      <c r="E60" s="896" t="s">
        <v>712</v>
      </c>
      <c r="F60" s="322">
        <f t="shared" ref="F60:F66" si="0">F32</f>
        <v>5.6000000000000001E-2</v>
      </c>
      <c r="I60" s="1363" t="s">
        <v>853</v>
      </c>
      <c r="J60" s="1364" t="str">
        <f ca="1">IF(OR(M47="住宅",J51&lt;L48,J56="是"),"0",ROUND(J59/(1+J52)^J53,0))</f>
        <v>0</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0</v>
      </c>
      <c r="D61" s="1278" t="s">
        <v>3327</v>
      </c>
      <c r="E61" s="896" t="s">
        <v>783</v>
      </c>
      <c r="F61" s="314">
        <f t="shared" si="0"/>
        <v>0.12</v>
      </c>
      <c r="I61" s="1366"/>
      <c r="J61" s="1366"/>
      <c r="K61" s="1366"/>
      <c r="L61" s="1366"/>
      <c r="O61" s="1334" t="s">
        <v>408</v>
      </c>
      <c r="P61" s="1326" t="str">
        <f>K59</f>
        <v>续建工期及建筑物耐用年限下的土地年期修正系数Kn</v>
      </c>
      <c r="Q61" s="1327" t="e">
        <f ca="1">L59</f>
        <v>#DIV/0!</v>
      </c>
      <c r="R61" s="1327" t="s">
        <v>857</v>
      </c>
    </row>
    <row r="62" spans="1:18" s="1292" customFormat="1" ht="13.5" thickBot="1">
      <c r="A62" s="928" t="s">
        <v>784</v>
      </c>
      <c r="B62" s="895" t="s">
        <v>785</v>
      </c>
      <c r="C62" s="22">
        <f ca="1">IF(项目基本情况!B11="自然人","——",ROUND(F62*F63/10000,2))</f>
        <v>4.46</v>
      </c>
      <c r="D62" s="911" t="s">
        <v>786</v>
      </c>
      <c r="E62" s="896" t="s">
        <v>787</v>
      </c>
      <c r="F62" s="317">
        <f t="shared" si="0"/>
        <v>1.5</v>
      </c>
      <c r="I62" s="1367" t="s">
        <v>858</v>
      </c>
      <c r="J62" s="610" t="s">
        <v>859</v>
      </c>
      <c r="K62" s="610" t="s">
        <v>860</v>
      </c>
      <c r="L62" s="610" t="s">
        <v>861</v>
      </c>
      <c r="M62" s="1368" t="s">
        <v>862</v>
      </c>
      <c r="O62" s="1325" t="s">
        <v>409</v>
      </c>
      <c r="P62" s="1326" t="s">
        <v>863</v>
      </c>
      <c r="Q62" s="1327">
        <f ca="1">Q56+Q57</f>
        <v>40702</v>
      </c>
      <c r="R62" s="1327" t="s">
        <v>410</v>
      </c>
    </row>
    <row r="63" spans="1:18" s="1292" customFormat="1" ht="13.5" thickBot="1">
      <c r="A63" s="318"/>
      <c r="B63" s="902"/>
      <c r="C63" s="26"/>
      <c r="D63" s="912"/>
      <c r="E63" s="896" t="s">
        <v>788</v>
      </c>
      <c r="F63" s="295">
        <f t="shared" ca="1" si="0"/>
        <v>29724.79</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65.290000000000006</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32.65</v>
      </c>
      <c r="D65" s="910" t="s">
        <v>743</v>
      </c>
      <c r="E65" s="896" t="s">
        <v>744</v>
      </c>
      <c r="F65" s="321">
        <f t="shared" ca="1" si="0"/>
        <v>1E-3</v>
      </c>
      <c r="I65" s="1367" t="s">
        <v>867</v>
      </c>
      <c r="J65" s="610">
        <v>40</v>
      </c>
      <c r="K65" s="610">
        <v>30</v>
      </c>
      <c r="L65" s="610">
        <v>50</v>
      </c>
      <c r="M65" s="1369">
        <v>0.02</v>
      </c>
      <c r="O65" s="1325" t="s">
        <v>403</v>
      </c>
      <c r="P65" s="1326" t="s">
        <v>868</v>
      </c>
      <c r="Q65" s="1327">
        <f ca="1">C40+J29</f>
        <v>40702</v>
      </c>
      <c r="R65" s="1327" t="s">
        <v>818</v>
      </c>
    </row>
    <row r="66" spans="1:18" s="1292" customFormat="1" ht="16.5" thickBot="1">
      <c r="A66" s="928" t="s">
        <v>793</v>
      </c>
      <c r="B66" s="896" t="s">
        <v>728</v>
      </c>
      <c r="C66" s="21">
        <f ca="1">ROUND(C48*F66,2)</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-102</v>
      </c>
      <c r="D67" s="909" t="s">
        <v>753</v>
      </c>
      <c r="E67" s="914"/>
      <c r="F67" s="915"/>
      <c r="O67" s="1334" t="s">
        <v>405</v>
      </c>
      <c r="P67" s="1326" t="s">
        <v>850</v>
      </c>
      <c r="Q67" s="1370">
        <f ca="1">L51</f>
        <v>27579</v>
      </c>
      <c r="R67" s="1327" t="s">
        <v>870</v>
      </c>
    </row>
    <row r="68" spans="1:18" s="1292" customFormat="1" ht="16.5" thickBot="1">
      <c r="A68" s="893" t="s">
        <v>395</v>
      </c>
      <c r="B68" s="894" t="s">
        <v>774</v>
      </c>
      <c r="C68" s="293">
        <f ca="1">ROUND(C67*(1-((1+F70)/(1+F68))^F69)/(F68-F70),0)</f>
        <v>-1080</v>
      </c>
      <c r="D68" s="911" t="s">
        <v>758</v>
      </c>
      <c r="E68" s="896" t="s">
        <v>759</v>
      </c>
      <c r="F68" s="304">
        <f ca="1">F40</f>
        <v>0.05</v>
      </c>
      <c r="O68" s="1334" t="s">
        <v>406</v>
      </c>
      <c r="P68" s="1371" t="s">
        <v>871</v>
      </c>
      <c r="Q68" s="1327">
        <f ca="1">ROUND(Q69-Q70*Q71,0)</f>
        <v>1396</v>
      </c>
      <c r="R68" s="1327" t="s">
        <v>414</v>
      </c>
    </row>
    <row r="69" spans="1:18" s="1292" customFormat="1" ht="13.5" thickBot="1">
      <c r="A69" s="897"/>
      <c r="B69" s="898"/>
      <c r="C69" s="298"/>
      <c r="D69" s="916" t="s">
        <v>762</v>
      </c>
      <c r="E69" s="896" t="s">
        <v>763</v>
      </c>
      <c r="F69" s="324">
        <f ca="1">F41</f>
        <v>15.450000000000001</v>
      </c>
      <c r="O69" s="1334" t="s">
        <v>411</v>
      </c>
      <c r="P69" s="1371" t="s">
        <v>872</v>
      </c>
      <c r="Q69" s="1327">
        <f ca="1">C39</f>
        <v>3844</v>
      </c>
      <c r="R69" s="1327" t="s">
        <v>818</v>
      </c>
    </row>
    <row r="70" spans="1:18" s="1292" customFormat="1" ht="13.5" thickBot="1">
      <c r="A70" s="900"/>
      <c r="B70" s="901"/>
      <c r="C70" s="302"/>
      <c r="D70" s="912"/>
      <c r="E70" s="896" t="s">
        <v>766</v>
      </c>
      <c r="F70" s="991"/>
      <c r="O70" s="1334" t="s">
        <v>412</v>
      </c>
      <c r="P70" s="1371" t="s">
        <v>873</v>
      </c>
      <c r="Q70" s="1327">
        <f ca="1">C13</f>
        <v>32646</v>
      </c>
      <c r="R70" s="1327" t="s">
        <v>818</v>
      </c>
    </row>
    <row r="71" spans="1:18" s="1292" customFormat="1" ht="13.5" thickBot="1">
      <c r="A71" s="917" t="s">
        <v>396</v>
      </c>
      <c r="B71" s="918" t="s">
        <v>776</v>
      </c>
      <c r="C71" s="327">
        <f ca="1">ROUND(C68*10000/F71,0)</f>
        <v>-163</v>
      </c>
      <c r="D71" s="919" t="s">
        <v>777</v>
      </c>
      <c r="E71" s="920" t="s">
        <v>778</v>
      </c>
      <c r="F71" s="330">
        <f ca="1">F43</f>
        <v>66288.099999999991</v>
      </c>
      <c r="O71" s="1334" t="s">
        <v>413</v>
      </c>
      <c r="P71" s="1371" t="s">
        <v>874</v>
      </c>
      <c r="Q71" s="1337">
        <f ca="1">C76</f>
        <v>7.4999999999999997E-2</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续建工期及建筑物耐用年限下的土地年期修正系数Kn</v>
      </c>
      <c r="Q74" s="1327" t="e">
        <f ca="1">L59</f>
        <v>#DIV/0!</v>
      </c>
      <c r="R74" s="1327" t="s">
        <v>857</v>
      </c>
    </row>
    <row r="75" spans="1:18" ht="13.5" thickBot="1">
      <c r="A75" s="1292"/>
      <c r="B75" s="331" t="s">
        <v>795</v>
      </c>
      <c r="C75" s="332">
        <f ca="1">ROUND(C13*C76,0)</f>
        <v>2448</v>
      </c>
      <c r="D75" s="1292"/>
      <c r="E75" s="1292"/>
      <c r="F75" s="1292"/>
      <c r="K75" s="1309"/>
      <c r="L75" s="1292"/>
      <c r="O75" s="1325" t="s">
        <v>409</v>
      </c>
      <c r="P75" s="1326" t="s">
        <v>838</v>
      </c>
      <c r="Q75" s="1327">
        <f ca="1">Q65+Q66</f>
        <v>40702</v>
      </c>
      <c r="R75" s="1327" t="s">
        <v>410</v>
      </c>
    </row>
    <row r="76" spans="1:18">
      <c r="B76" s="333" t="s">
        <v>796</v>
      </c>
      <c r="C76" s="334">
        <f ca="1">INDIRECT("'数据-取费表'!j"&amp;$G$1)</f>
        <v>7.4999999999999997E-2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0.36299999999999999</v>
      </c>
    </row>
    <row r="80" spans="1:18">
      <c r="B80" s="331" t="s">
        <v>800</v>
      </c>
      <c r="C80" s="266">
        <f ca="1">ROUND(C75/C39,3)</f>
        <v>0.63700000000000001</v>
      </c>
    </row>
    <row r="81" spans="2:3">
      <c r="B81" s="262" t="s">
        <v>801</v>
      </c>
      <c r="C81" s="230"/>
    </row>
    <row r="82" spans="2:3">
      <c r="B82" s="265" t="s">
        <v>802</v>
      </c>
      <c r="C82" s="267">
        <f ca="1">1-C83</f>
        <v>0.19799999999999995</v>
      </c>
    </row>
    <row r="83" spans="2:3">
      <c r="B83" s="265" t="s">
        <v>803</v>
      </c>
      <c r="C83" s="266">
        <f ca="1">ROUND(C13/C40,3)</f>
        <v>0.80200000000000005</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11" priority="3">
      <formula>$F$10="自定义"</formula>
    </cfRule>
  </conditionalFormatting>
  <conditionalFormatting sqref="C54">
    <cfRule type="expression" dxfId="110" priority="1">
      <formula>$F$53="自定义"</formula>
    </cfRule>
  </conditionalFormatting>
  <conditionalFormatting sqref="I55 I60">
    <cfRule type="expression" dxfId="109" priority="57">
      <formula>$J$51&gt;$L$48</formula>
    </cfRule>
  </conditionalFormatting>
  <conditionalFormatting sqref="J11">
    <cfRule type="expression" dxfId="108" priority="2">
      <formula>$M$10="自定义"</formula>
    </cfRule>
  </conditionalFormatting>
  <conditionalFormatting sqref="K55 K60">
    <cfRule type="expression" dxfId="10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t="e">
        <f ca="1">ROUND(D2/10000,4)</f>
        <v>#DIV/0!</v>
      </c>
      <c r="C2" s="1289" t="s">
        <v>879</v>
      </c>
      <c r="D2" s="1375" t="e">
        <f ca="1">C40+J29+L46</f>
        <v>#DIV/0!</v>
      </c>
      <c r="E2" s="1295" t="s">
        <v>880</v>
      </c>
      <c r="F2" s="1296"/>
      <c r="G2" s="2479"/>
      <c r="H2" s="2469"/>
      <c r="I2" s="2469"/>
      <c r="J2" s="2469"/>
      <c r="K2" s="2470"/>
      <c r="L2" s="2469"/>
      <c r="M2" s="2469"/>
    </row>
    <row r="3" spans="1:37" ht="18" customHeight="1" thickBot="1">
      <c r="A3" s="1297" t="s">
        <v>881</v>
      </c>
      <c r="B3" s="1298">
        <f ca="1">IF(ISERROR(D2/F43),0,ROUND(D2/F43,0))</f>
        <v>0</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0</v>
      </c>
      <c r="D5" s="1273" t="s">
        <v>889</v>
      </c>
      <c r="E5" s="1008"/>
      <c r="F5" s="1009"/>
      <c r="G5" s="1292"/>
      <c r="H5" s="291">
        <v>1</v>
      </c>
      <c r="I5" s="292" t="s">
        <v>888</v>
      </c>
      <c r="J5" s="1007">
        <f ca="1">J6+J10+J12</f>
        <v>0</v>
      </c>
      <c r="K5" s="1273" t="s">
        <v>889</v>
      </c>
      <c r="L5" s="1008"/>
      <c r="M5" s="1009"/>
    </row>
    <row r="6" spans="1:37" ht="18" customHeight="1">
      <c r="A6" s="1006" t="s">
        <v>398</v>
      </c>
      <c r="B6" s="3405" t="s">
        <v>694</v>
      </c>
      <c r="C6" s="1011">
        <f ca="1">ROUND(F6*F8*F7*(1-F9),0)</f>
        <v>0</v>
      </c>
      <c r="D6" s="147" t="s">
        <v>2104</v>
      </c>
      <c r="E6" s="294" t="s">
        <v>696</v>
      </c>
      <c r="F6" s="295">
        <f ca="1">INDIRECT("'数据-取费表'!u"&amp;$G$1)</f>
        <v>0</v>
      </c>
      <c r="G6" s="1292"/>
      <c r="H6" s="1006" t="s">
        <v>398</v>
      </c>
      <c r="I6" s="3405" t="s">
        <v>694</v>
      </c>
      <c r="J6" s="293">
        <f ca="1">ROUND(M6*M8*M7*(1-M9),0)</f>
        <v>0</v>
      </c>
      <c r="K6" s="1284" t="s">
        <v>2105</v>
      </c>
      <c r="L6" s="294" t="s">
        <v>696</v>
      </c>
      <c r="M6" s="295">
        <f ca="1">INDIRECT("'数据-取费表'!z"&amp;$G$1)</f>
        <v>0</v>
      </c>
    </row>
    <row r="7" spans="1:37" ht="18" customHeight="1">
      <c r="A7" s="1010"/>
      <c r="B7" s="3406"/>
      <c r="C7" s="1012"/>
      <c r="D7" s="299"/>
      <c r="E7" s="1013" t="s">
        <v>697</v>
      </c>
      <c r="F7" s="295">
        <f ca="1">IF(INDIRECT("'数据-取费表'!ah"&amp;$G$1)="",INDIRECT("'数据-取费表'!k"&amp;$G$1),INDIRECT("'数据-取费表'!ah"&amp;$G$1))</f>
        <v>0</v>
      </c>
      <c r="G7" s="1292"/>
      <c r="H7" s="296"/>
      <c r="I7" s="3406"/>
      <c r="J7" s="298"/>
      <c r="K7" s="299"/>
      <c r="L7" s="294" t="s">
        <v>697</v>
      </c>
      <c r="M7" s="295">
        <f ca="1">F7</f>
        <v>0</v>
      </c>
    </row>
    <row r="8" spans="1:37" ht="18" customHeight="1">
      <c r="A8" s="296"/>
      <c r="B8" s="3406"/>
      <c r="C8" s="298"/>
      <c r="D8" s="299"/>
      <c r="E8" s="294" t="s">
        <v>698</v>
      </c>
      <c r="F8" s="295">
        <f ca="1">INDIRECT("'数据-取费表'!ai"&amp;$G$1)</f>
        <v>0</v>
      </c>
      <c r="G8" s="1292"/>
      <c r="H8" s="296"/>
      <c r="I8" s="3406"/>
      <c r="J8" s="298"/>
      <c r="K8" s="299"/>
      <c r="L8" s="294" t="s">
        <v>698</v>
      </c>
      <c r="M8" s="295">
        <f ca="1">INDIRECT("'数据-取费表'!ai"&amp;$G$1)</f>
        <v>0</v>
      </c>
    </row>
    <row r="9" spans="1:37" ht="18" customHeight="1">
      <c r="A9" s="296"/>
      <c r="B9" s="3407"/>
      <c r="C9" s="298"/>
      <c r="D9" s="299"/>
      <c r="E9" s="294" t="s">
        <v>699</v>
      </c>
      <c r="F9" s="304">
        <f ca="1">INDIRECT("'数据-取费表'!w"&amp;$G$1)</f>
        <v>0</v>
      </c>
      <c r="G9" s="1292"/>
      <c r="H9" s="296"/>
      <c r="I9" s="3407"/>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2114</v>
      </c>
      <c r="E10" s="305" t="s">
        <v>701</v>
      </c>
      <c r="F10" s="1053"/>
      <c r="G10" s="1292"/>
      <c r="H10" s="1006" t="s">
        <v>402</v>
      </c>
      <c r="I10" s="1274" t="s">
        <v>700</v>
      </c>
      <c r="J10" s="293">
        <f ca="1">ROUND(IF(M10="押一",J6/12*M11,IF(M10="押二",J6/12*2*M11,IF(M10="押三",J6/12*3*M11,J11*M11))),0)</f>
        <v>0</v>
      </c>
      <c r="K10" s="1285" t="s">
        <v>2116</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ROUND(F17*(F43+INDIRECT("'数据-取费表'!S"&amp;$G$1)),0)</f>
        <v>0</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IF(K19="按租金收入计税",ROUND(J6*M19/(1+'数据-取费表'!C42),0),ROUND(C29*M19*0.7,0))</f>
        <v>0</v>
      </c>
      <c r="K19" s="1278" t="s">
        <v>3327</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ROUND(M20*M21,0)</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ROUND(J5*M24,0)</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ht="18" customHeight="1">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0</v>
      </c>
      <c r="D31" s="1257" t="s">
        <v>720</v>
      </c>
      <c r="E31" s="1256" t="s">
        <v>770</v>
      </c>
      <c r="F31" s="2139" t="str">
        <f>IF(项目基本情况!B11="企业","——",IF(M47="住宅",IF(F6*F7*F8/12/(1+'数据-取费表'!F30)&gt;100000,4%,2.5%),IF(F6*F7*F8/12/(1+'数据-取费表'!F30)&gt;100000,12%,7%)))</f>
        <v>——</v>
      </c>
      <c r="G31" s="1292"/>
      <c r="H31" s="2570" t="s">
        <v>2297</v>
      </c>
      <c r="I31" s="1305"/>
      <c r="J31" s="1306"/>
      <c r="K31" s="121"/>
      <c r="L31" s="2472"/>
      <c r="M31" s="2473"/>
    </row>
    <row r="32" spans="1:37" ht="18" customHeight="1">
      <c r="A32" s="928" t="s">
        <v>397</v>
      </c>
      <c r="B32" s="294" t="s">
        <v>723</v>
      </c>
      <c r="C32" s="21">
        <f ca="1">IF(项目基本情况!B11="自然人","——",ROUND(C6*F32/(1+'数据-取费表'!C42),0))</f>
        <v>0</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IF(项目基本情况!B11="自然人","——",IF(D33="按租金收入计税",ROUND(C6*F33/(1+'数据-取费表'!C42),0),IF(D33="按房产原值计税",ROUND(C29*F33*0.7,0),INDIRECT("'数据-取费表'!Aj"&amp;$G$1))))</f>
        <v>0</v>
      </c>
      <c r="D33" s="1278" t="s">
        <v>3327</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IF(项目基本情况!B11="自然人","——",ROUND(F34*F35,0))</f>
        <v>0</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ROUND(C13*F37,0)</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ROUND(C5*F38,0)</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3343</v>
      </c>
      <c r="B45" s="1307"/>
      <c r="C45" s="1376" t="e">
        <f ca="1">ROUND((C68-C40)/10000,4)</f>
        <v>#DIV/0!</v>
      </c>
      <c r="D45" s="3131" t="s">
        <v>3344</v>
      </c>
      <c r="E45" s="1307"/>
      <c r="F45" s="1307"/>
      <c r="O45" s="1310" t="s">
        <v>808</v>
      </c>
      <c r="P45" s="1366"/>
      <c r="Q45" s="1366"/>
      <c r="R45" s="1366"/>
    </row>
    <row r="46" spans="1:18" s="1292" customFormat="1" ht="13.5" thickBot="1">
      <c r="A46" s="1311" t="s">
        <v>809</v>
      </c>
      <c r="C46" s="1312" t="e">
        <f ca="1">ROUND(C45,0)</f>
        <v>#DIV/0!</v>
      </c>
      <c r="D46" s="1313" t="str">
        <f>C2</f>
        <v>万元</v>
      </c>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926"/>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0.75" customHeight="1" thickBot="1">
      <c r="A53" s="1048" t="s">
        <v>440</v>
      </c>
      <c r="B53" s="315" t="s">
        <v>700</v>
      </c>
      <c r="C53" s="308">
        <f ca="1">ROUND(IF(F53="押一",C49/12*F11,IF(F53="押二",C49/12*2*F11,IF(F53="押三",C49/12*3*F11,C54*F11))),0)</f>
        <v>0</v>
      </c>
      <c r="D53" s="150" t="s">
        <v>2117</v>
      </c>
      <c r="E53" s="305" t="s">
        <v>701</v>
      </c>
      <c r="F53" s="1053"/>
      <c r="I53" s="1344" t="s">
        <v>836</v>
      </c>
      <c r="J53" s="2006">
        <f ca="1">IF(M47="住宅",IF(D1="——",MAX(J51,L48),MAX(J51,L48-'数据-取费表'!B24)),IF(D1="——",MIN(J51,L48),MIN(J51,L48-'数据-取费表'!B24)))</f>
        <v>0</v>
      </c>
      <c r="K53" s="3403" t="s">
        <v>837</v>
      </c>
      <c r="L53" s="3404"/>
      <c r="O53" s="1325" t="s">
        <v>409</v>
      </c>
      <c r="P53" s="1326" t="s">
        <v>838</v>
      </c>
      <c r="Q53" s="1327" t="e">
        <f ca="1">Q47+Q48</f>
        <v>#DIV/0!</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0</v>
      </c>
      <c r="D56" s="1352"/>
      <c r="E56" s="1353"/>
      <c r="F56" s="1345"/>
      <c r="I56" s="1354" t="s">
        <v>842</v>
      </c>
      <c r="J56" s="1355"/>
      <c r="K56" s="1328" t="s">
        <v>843</v>
      </c>
      <c r="L56" s="1331">
        <f ca="1">IF(L48&lt;J51,"——",L48-J51)</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892</v>
      </c>
      <c r="L57" s="1331">
        <f ca="1">IF(L48&lt;J51,"——",IF(L55="比较法",L49,IF(L55="基准地价",L50,L51)))</f>
        <v>0</v>
      </c>
      <c r="O57" s="1325" t="s">
        <v>404</v>
      </c>
      <c r="P57" s="1326" t="s">
        <v>893</v>
      </c>
      <c r="Q57" s="1327" t="e">
        <f ca="1">L60</f>
        <v>#DIV/0!</v>
      </c>
      <c r="R57" s="1327" t="s">
        <v>894</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IF(项目基本情况!B11="自然人","——",ROUND(C48*F60/(1+'数据-取费表'!C42),0))</f>
        <v>0</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3327</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IF(项目基本情况!B11="自然人","——",ROUND(F62*F63,0))</f>
        <v>0</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ROUND(C48*F66,0)</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06" priority="3">
      <formula>$F$10="自定义"</formula>
    </cfRule>
  </conditionalFormatting>
  <conditionalFormatting sqref="C54">
    <cfRule type="expression" dxfId="105" priority="1">
      <formula>$F$53="自定义"</formula>
    </cfRule>
  </conditionalFormatting>
  <conditionalFormatting sqref="I55 I60">
    <cfRule type="expression" dxfId="104" priority="5">
      <formula>$J$51&gt;$L$48</formula>
    </cfRule>
  </conditionalFormatting>
  <conditionalFormatting sqref="J11">
    <cfRule type="expression" dxfId="103" priority="2">
      <formula>$M$10="自定义"</formula>
    </cfRule>
  </conditionalFormatting>
  <conditionalFormatting sqref="K55 K60">
    <cfRule type="expression" dxfId="10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J47" sqref="J47:J49"/>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2426</v>
      </c>
      <c r="B1" s="2584"/>
      <c r="C1" s="2596"/>
      <c r="D1" s="2596"/>
      <c r="E1" s="2585"/>
      <c r="F1" s="2586"/>
      <c r="G1" s="2587"/>
      <c r="J1" s="2590" t="s">
        <v>2305</v>
      </c>
      <c r="K1" s="2591"/>
      <c r="L1" s="2591"/>
      <c r="M1" s="2591"/>
      <c r="N1" s="2591"/>
      <c r="O1" s="2591"/>
      <c r="P1" s="2591"/>
      <c r="Q1" s="2591"/>
      <c r="R1" s="2592"/>
      <c r="S1" s="2593"/>
      <c r="T1" s="2593"/>
      <c r="U1" s="2593"/>
    </row>
    <row r="2" spans="1:22" s="2605" customFormat="1" ht="13.15" customHeight="1">
      <c r="A2" s="1293" t="s">
        <v>2306</v>
      </c>
      <c r="B2" s="2595" t="e">
        <f>IF(D2="——",C40,C40+E2)</f>
        <v>#DIV/0!</v>
      </c>
      <c r="C2" s="2596" t="s">
        <v>2307</v>
      </c>
      <c r="D2" s="3139" t="s">
        <v>3350</v>
      </c>
      <c r="E2" s="3140"/>
      <c r="F2" s="2598"/>
      <c r="G2" s="2599"/>
      <c r="H2" s="2600"/>
      <c r="I2" s="2601"/>
      <c r="J2" s="3414" t="s">
        <v>2308</v>
      </c>
      <c r="K2" s="3415"/>
      <c r="L2" s="2602" t="s">
        <v>2309</v>
      </c>
      <c r="M2" s="2602" t="s">
        <v>2310</v>
      </c>
      <c r="N2" s="2602" t="s">
        <v>2311</v>
      </c>
      <c r="O2" s="2602" t="s">
        <v>2312</v>
      </c>
      <c r="P2" s="2602" t="s">
        <v>2313</v>
      </c>
      <c r="Q2" s="2603" t="s">
        <v>2314</v>
      </c>
      <c r="R2" s="2604" t="s">
        <v>2315</v>
      </c>
      <c r="S2" s="2593"/>
      <c r="T2" s="2593"/>
      <c r="U2" s="2593"/>
      <c r="V2" s="2601"/>
    </row>
    <row r="3" spans="1:22" s="2605" customFormat="1" ht="13.15" customHeight="1">
      <c r="A3" s="2606" t="s">
        <v>2316</v>
      </c>
      <c r="B3" s="2607" t="e">
        <f>ROUND(B2*10000/B4,0)</f>
        <v>#DIV/0!</v>
      </c>
      <c r="C3" s="2596" t="s">
        <v>2317</v>
      </c>
      <c r="D3" s="2596"/>
      <c r="E3" s="2597"/>
      <c r="F3" s="2598"/>
      <c r="G3" s="2599"/>
      <c r="H3" s="2600"/>
      <c r="I3" s="2601"/>
      <c r="J3" s="3416" t="s">
        <v>2318</v>
      </c>
      <c r="K3" s="3417"/>
      <c r="L3" s="2608"/>
      <c r="M3" s="2608"/>
      <c r="N3" s="2608"/>
      <c r="O3" s="2608"/>
      <c r="P3" s="2608"/>
      <c r="Q3" s="2609"/>
      <c r="R3" s="2610">
        <f>SUM(L3:Q3)</f>
        <v>0</v>
      </c>
      <c r="S3" s="2593"/>
      <c r="T3" s="2593"/>
      <c r="U3" s="2593"/>
      <c r="V3" s="2601"/>
    </row>
    <row r="4" spans="1:22" s="2605" customFormat="1" ht="13.15" customHeight="1">
      <c r="A4" s="2611" t="s">
        <v>2319</v>
      </c>
      <c r="B4" s="2612"/>
      <c r="C4" s="2596"/>
      <c r="D4" s="2596"/>
      <c r="E4" s="2597"/>
      <c r="F4" s="2598"/>
      <c r="G4" s="2599"/>
      <c r="H4" s="2600"/>
      <c r="I4" s="2601"/>
      <c r="J4" s="3416" t="s">
        <v>2320</v>
      </c>
      <c r="K4" s="3417"/>
      <c r="L4" s="2613"/>
      <c r="M4" s="2613"/>
      <c r="N4" s="2613"/>
      <c r="O4" s="2613"/>
      <c r="P4" s="2613"/>
      <c r="Q4" s="2614"/>
      <c r="R4" s="2615">
        <f>SUM(L4:Q4)</f>
        <v>0</v>
      </c>
      <c r="S4" s="2593"/>
      <c r="T4" s="2593"/>
      <c r="U4" s="2593"/>
      <c r="V4" s="2601"/>
    </row>
    <row r="5" spans="1:22" s="2605" customFormat="1" ht="13.15" customHeight="1" thickBot="1">
      <c r="A5" s="2616" t="s">
        <v>2321</v>
      </c>
      <c r="B5" s="2617"/>
      <c r="C5" s="2596"/>
      <c r="D5" s="2618"/>
      <c r="E5" s="2598"/>
      <c r="F5" s="2598"/>
      <c r="G5" s="2599"/>
      <c r="H5" s="2600"/>
      <c r="I5" s="2601"/>
      <c r="J5" s="2619" t="s">
        <v>2322</v>
      </c>
      <c r="K5" s="2620"/>
      <c r="L5" s="2620"/>
      <c r="M5" s="2621"/>
      <c r="N5" s="2621"/>
      <c r="O5" s="2621"/>
      <c r="P5" s="2621"/>
      <c r="Q5" s="2621"/>
      <c r="R5" s="2604">
        <f>SUM(R14,R19,R24,R25,R27,R28)</f>
        <v>0</v>
      </c>
      <c r="S5" s="2593"/>
      <c r="T5" s="2593" t="s">
        <v>2323</v>
      </c>
      <c r="U5" s="2593" t="e">
        <f>ROUND(R5*10000/365/R3,1)</f>
        <v>#DIV/0!</v>
      </c>
      <c r="V5" s="2601"/>
    </row>
    <row r="6" spans="1:22" s="2605" customFormat="1" ht="13.15" customHeight="1" thickBot="1">
      <c r="A6" s="3422" t="s">
        <v>2324</v>
      </c>
      <c r="B6" s="3423"/>
      <c r="C6" s="3424"/>
      <c r="D6" s="2622"/>
      <c r="E6" s="2623"/>
      <c r="F6" s="2624"/>
      <c r="G6" s="2625"/>
      <c r="H6" s="2600"/>
      <c r="I6" s="2601"/>
      <c r="J6" s="3408">
        <v>1</v>
      </c>
      <c r="K6" s="3409" t="s">
        <v>2325</v>
      </c>
      <c r="L6" s="2626" t="s">
        <v>2326</v>
      </c>
      <c r="M6" s="2627" t="s">
        <v>2327</v>
      </c>
      <c r="N6" s="2627" t="s">
        <v>2328</v>
      </c>
      <c r="O6" s="2627" t="s">
        <v>2329</v>
      </c>
      <c r="P6" s="2627" t="s">
        <v>2330</v>
      </c>
      <c r="Q6" s="2627" t="s">
        <v>2331</v>
      </c>
      <c r="R6" s="2610" t="s">
        <v>2332</v>
      </c>
      <c r="S6" s="2593"/>
      <c r="T6" s="2593" t="s">
        <v>2333</v>
      </c>
      <c r="U6" s="2593"/>
      <c r="V6" s="2601"/>
    </row>
    <row r="7" spans="1:22" s="2605" customFormat="1" ht="13.15" customHeight="1">
      <c r="A7" s="2628" t="s">
        <v>2334</v>
      </c>
      <c r="B7" s="2629"/>
      <c r="C7" s="2630"/>
      <c r="D7" s="2631">
        <f>SUM(D9,D10,D11,D17,0)</f>
        <v>0</v>
      </c>
      <c r="E7" s="2632" t="e">
        <f>E9+E10+E11+E17</f>
        <v>#DIV/0!</v>
      </c>
      <c r="F7" s="2633"/>
      <c r="G7" s="2634"/>
      <c r="H7" s="2600"/>
      <c r="I7" s="2601"/>
      <c r="J7" s="3408"/>
      <c r="K7" s="3410"/>
      <c r="L7" s="2635" t="s">
        <v>2335</v>
      </c>
      <c r="M7" s="2636"/>
      <c r="N7" s="2612"/>
      <c r="O7" s="2637"/>
      <c r="P7" s="2637"/>
      <c r="Q7" s="2638">
        <v>365</v>
      </c>
      <c r="R7" s="2639">
        <f>ROUND(M7*N7*O7*P7*Q7/10000,0)</f>
        <v>0</v>
      </c>
      <c r="S7" s="2593"/>
      <c r="T7" s="2593" t="s">
        <v>2336</v>
      </c>
      <c r="U7" s="2593"/>
      <c r="V7" s="2601"/>
    </row>
    <row r="8" spans="1:22" s="2605" customFormat="1" ht="13.15" customHeight="1">
      <c r="A8" s="2640" t="s">
        <v>2337</v>
      </c>
      <c r="B8" s="3425" t="s">
        <v>2338</v>
      </c>
      <c r="C8" s="3426"/>
      <c r="D8" s="2641" t="s">
        <v>2339</v>
      </c>
      <c r="E8" s="2642" t="s">
        <v>2340</v>
      </c>
      <c r="F8" s="2643" t="s">
        <v>2341</v>
      </c>
      <c r="G8" s="2644"/>
      <c r="H8" s="2600"/>
      <c r="I8" s="2601"/>
      <c r="J8" s="3408"/>
      <c r="K8" s="3410"/>
      <c r="L8" s="2635" t="s">
        <v>2342</v>
      </c>
      <c r="M8" s="2636"/>
      <c r="N8" s="2612"/>
      <c r="O8" s="2637"/>
      <c r="P8" s="2637"/>
      <c r="Q8" s="2638">
        <v>365</v>
      </c>
      <c r="R8" s="2639">
        <f t="shared" ref="R8:R13" si="0">ROUND(M8*N8*O8*P8*Q8/10000,0)</f>
        <v>0</v>
      </c>
      <c r="S8" s="2593"/>
      <c r="T8" s="2593" t="s">
        <v>2343</v>
      </c>
      <c r="U8" s="2593"/>
      <c r="V8" s="2601"/>
    </row>
    <row r="9" spans="1:22" s="2605" customFormat="1" ht="13.15" customHeight="1">
      <c r="A9" s="2640">
        <v>1</v>
      </c>
      <c r="B9" s="3425" t="s">
        <v>2344</v>
      </c>
      <c r="C9" s="3426"/>
      <c r="D9" s="2641">
        <f>ROUND(D6*E9,0)</f>
        <v>0</v>
      </c>
      <c r="E9" s="2645"/>
      <c r="F9" s="2646" t="s">
        <v>2345</v>
      </c>
      <c r="G9" s="2625"/>
      <c r="H9" s="2600"/>
      <c r="I9" s="2601"/>
      <c r="J9" s="3408"/>
      <c r="K9" s="3410"/>
      <c r="L9" s="2635" t="s">
        <v>2346</v>
      </c>
      <c r="M9" s="2636"/>
      <c r="N9" s="2612"/>
      <c r="O9" s="2637"/>
      <c r="P9" s="2637"/>
      <c r="Q9" s="2638">
        <v>365</v>
      </c>
      <c r="R9" s="2639">
        <f t="shared" si="0"/>
        <v>0</v>
      </c>
      <c r="S9" s="2593"/>
      <c r="T9" s="2593"/>
      <c r="U9" s="2593"/>
      <c r="V9" s="2601"/>
    </row>
    <row r="10" spans="1:22" s="2605" customFormat="1" ht="13.15" customHeight="1">
      <c r="A10" s="2640">
        <v>2</v>
      </c>
      <c r="B10" s="3425" t="s">
        <v>2347</v>
      </c>
      <c r="C10" s="3426"/>
      <c r="D10" s="2641">
        <f>ROUND(D6*E10,0)</f>
        <v>0</v>
      </c>
      <c r="E10" s="2645"/>
      <c r="F10" s="2646" t="s">
        <v>2348</v>
      </c>
      <c r="G10" s="2625"/>
      <c r="H10" s="2600"/>
      <c r="I10" s="2601"/>
      <c r="J10" s="3408"/>
      <c r="K10" s="3410"/>
      <c r="L10" s="2635" t="s">
        <v>2349</v>
      </c>
      <c r="M10" s="2636"/>
      <c r="N10" s="2612"/>
      <c r="O10" s="2637"/>
      <c r="P10" s="2637"/>
      <c r="Q10" s="2638">
        <v>365</v>
      </c>
      <c r="R10" s="2639">
        <f t="shared" si="0"/>
        <v>0</v>
      </c>
      <c r="S10" s="2593"/>
      <c r="T10" s="2593"/>
      <c r="U10" s="2593"/>
      <c r="V10" s="2601"/>
    </row>
    <row r="11" spans="1:22" s="2605" customFormat="1" ht="13.15" customHeight="1">
      <c r="A11" s="2640">
        <v>3</v>
      </c>
      <c r="B11" s="3425" t="s">
        <v>2350</v>
      </c>
      <c r="C11" s="3426"/>
      <c r="D11" s="2641">
        <f>D12+D14+D15+D16</f>
        <v>0</v>
      </c>
      <c r="E11" s="2647" t="e">
        <f>D11/D6</f>
        <v>#DIV/0!</v>
      </c>
      <c r="F11" s="2643"/>
      <c r="G11" s="2644"/>
      <c r="H11" s="2600"/>
      <c r="I11" s="2601"/>
      <c r="J11" s="3408"/>
      <c r="K11" s="3410"/>
      <c r="L11" s="2635" t="s">
        <v>2351</v>
      </c>
      <c r="M11" s="2636"/>
      <c r="N11" s="2612"/>
      <c r="O11" s="2637"/>
      <c r="P11" s="2637"/>
      <c r="Q11" s="2638">
        <v>365</v>
      </c>
      <c r="R11" s="2639">
        <f t="shared" si="0"/>
        <v>0</v>
      </c>
      <c r="S11" s="2593"/>
      <c r="T11" s="2593"/>
      <c r="U11" s="2593"/>
      <c r="V11" s="2601"/>
    </row>
    <row r="12" spans="1:22" s="2605" customFormat="1" ht="13.15" customHeight="1">
      <c r="A12" s="2648" t="s">
        <v>2352</v>
      </c>
      <c r="B12" s="3418" t="s">
        <v>2353</v>
      </c>
      <c r="C12" s="3419"/>
      <c r="D12" s="2649">
        <f>ROUND(D13*1.2%*(1-30%),0)</f>
        <v>0</v>
      </c>
      <c r="E12" s="2650">
        <v>1.2E-2</v>
      </c>
      <c r="F12" s="2643" t="s">
        <v>2354</v>
      </c>
      <c r="G12" s="2644"/>
      <c r="H12" s="2600"/>
      <c r="I12" s="2601"/>
      <c r="J12" s="3408"/>
      <c r="K12" s="3410"/>
      <c r="L12" s="2635" t="s">
        <v>2355</v>
      </c>
      <c r="M12" s="2636"/>
      <c r="N12" s="2612"/>
      <c r="O12" s="2637"/>
      <c r="P12" s="2637"/>
      <c r="Q12" s="2638">
        <v>365</v>
      </c>
      <c r="R12" s="2639">
        <f t="shared" si="0"/>
        <v>0</v>
      </c>
      <c r="S12" s="2593"/>
      <c r="T12" s="2593"/>
      <c r="U12" s="2593"/>
      <c r="V12" s="2601"/>
    </row>
    <row r="13" spans="1:22" s="2605" customFormat="1" ht="13.15" customHeight="1">
      <c r="A13" s="2648"/>
      <c r="B13" s="2651"/>
      <c r="C13" s="2652" t="s">
        <v>2356</v>
      </c>
      <c r="D13" s="2653"/>
      <c r="E13" s="2654"/>
      <c r="F13" s="2643"/>
      <c r="G13" s="2644"/>
      <c r="H13" s="2600"/>
      <c r="I13" s="2601"/>
      <c r="J13" s="3408"/>
      <c r="K13" s="3410"/>
      <c r="L13" s="2635" t="s">
        <v>2357</v>
      </c>
      <c r="M13" s="2636"/>
      <c r="N13" s="2612"/>
      <c r="O13" s="2637"/>
      <c r="P13" s="2637"/>
      <c r="Q13" s="2638">
        <v>365</v>
      </c>
      <c r="R13" s="2639">
        <f t="shared" si="0"/>
        <v>0</v>
      </c>
      <c r="S13" s="2593"/>
      <c r="T13" s="2593"/>
      <c r="U13" s="2593"/>
      <c r="V13" s="2601"/>
    </row>
    <row r="14" spans="1:22" s="2605" customFormat="1" ht="13.15" customHeight="1">
      <c r="A14" s="2648" t="s">
        <v>2358</v>
      </c>
      <c r="B14" s="3418" t="s">
        <v>2359</v>
      </c>
      <c r="C14" s="3419"/>
      <c r="D14" s="2649">
        <f>ROUND(E14*B5/10000,0)</f>
        <v>0</v>
      </c>
      <c r="E14" s="2638"/>
      <c r="F14" s="2643" t="s">
        <v>2360</v>
      </c>
      <c r="G14" s="2644"/>
      <c r="H14" s="2600"/>
      <c r="I14" s="2601"/>
      <c r="J14" s="3408"/>
      <c r="K14" s="3411"/>
      <c r="L14" s="2655" t="s">
        <v>2361</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2362</v>
      </c>
      <c r="B15" s="3418" t="s">
        <v>2363</v>
      </c>
      <c r="C15" s="3419"/>
      <c r="D15" s="2649">
        <f>ROUND(D6*E15,0)</f>
        <v>0</v>
      </c>
      <c r="E15" s="2650">
        <v>5.5E-2</v>
      </c>
      <c r="F15" s="2643" t="s">
        <v>2364</v>
      </c>
      <c r="G15" s="2625"/>
      <c r="H15" s="2600"/>
      <c r="I15" s="2601"/>
      <c r="J15" s="3408">
        <v>2</v>
      </c>
      <c r="K15" s="3409" t="s">
        <v>2365</v>
      </c>
      <c r="L15" s="2635" t="s">
        <v>2366</v>
      </c>
      <c r="M15" s="2636" t="s">
        <v>2367</v>
      </c>
      <c r="N15" s="2636" t="s">
        <v>2368</v>
      </c>
      <c r="O15" s="2637" t="s">
        <v>2369</v>
      </c>
      <c r="P15" s="2637" t="s">
        <v>2331</v>
      </c>
      <c r="Q15" s="2612" t="s">
        <v>2370</v>
      </c>
      <c r="R15" s="2659" t="s">
        <v>2332</v>
      </c>
      <c r="S15" s="2593"/>
      <c r="T15" s="2593"/>
      <c r="U15" s="2593"/>
      <c r="V15" s="2601"/>
    </row>
    <row r="16" spans="1:22" s="2605" customFormat="1" ht="13.15" customHeight="1">
      <c r="A16" s="2648" t="s">
        <v>2371</v>
      </c>
      <c r="B16" s="3418" t="s">
        <v>2372</v>
      </c>
      <c r="C16" s="3419"/>
      <c r="D16" s="2660">
        <f>D6*E16</f>
        <v>0</v>
      </c>
      <c r="E16" s="2661"/>
      <c r="F16" s="2646" t="s">
        <v>2373</v>
      </c>
      <c r="G16" s="2625"/>
      <c r="H16" s="2600"/>
      <c r="I16" s="2601"/>
      <c r="J16" s="3408"/>
      <c r="K16" s="3410"/>
      <c r="L16" s="2635" t="s">
        <v>2374</v>
      </c>
      <c r="M16" s="2636"/>
      <c r="N16" s="2636"/>
      <c r="O16" s="2637"/>
      <c r="P16" s="2638">
        <v>365</v>
      </c>
      <c r="Q16" s="2612"/>
      <c r="R16" s="2659">
        <f>ROUND(M16*N16*O16*P16/10000,0)</f>
        <v>0</v>
      </c>
      <c r="S16" s="2593"/>
      <c r="T16" s="2593"/>
      <c r="U16" s="2593"/>
      <c r="V16" s="2601"/>
    </row>
    <row r="17" spans="1:22" s="2605" customFormat="1" ht="13.15" customHeight="1" thickBot="1">
      <c r="A17" s="2662">
        <v>4</v>
      </c>
      <c r="B17" s="3420" t="s">
        <v>2375</v>
      </c>
      <c r="C17" s="3421"/>
      <c r="D17" s="2663">
        <f>ROUND(D6*E17,0)</f>
        <v>0</v>
      </c>
      <c r="E17" s="2664"/>
      <c r="F17" s="2665" t="s">
        <v>2376</v>
      </c>
      <c r="G17" s="2625"/>
      <c r="H17" s="2600"/>
      <c r="I17" s="2601"/>
      <c r="J17" s="3408"/>
      <c r="K17" s="3410"/>
      <c r="L17" s="2635" t="s">
        <v>2377</v>
      </c>
      <c r="M17" s="2636"/>
      <c r="N17" s="2636"/>
      <c r="O17" s="2637"/>
      <c r="P17" s="2638">
        <v>365</v>
      </c>
      <c r="Q17" s="2612"/>
      <c r="R17" s="2659">
        <f>ROUND(M17*N17*O17*P17/10000,0)</f>
        <v>0</v>
      </c>
      <c r="S17" s="2593"/>
      <c r="T17" s="2593"/>
      <c r="U17" s="2593"/>
      <c r="V17" s="2601"/>
    </row>
    <row r="18" spans="1:22" s="2605" customFormat="1" ht="13.15" customHeight="1" thickBot="1">
      <c r="A18" s="2628" t="s">
        <v>2378</v>
      </c>
      <c r="B18" s="2629"/>
      <c r="C18" s="2629"/>
      <c r="D18" s="2666">
        <f>ROUND(D6*E18,0)</f>
        <v>0</v>
      </c>
      <c r="E18" s="2667"/>
      <c r="F18" s="2668" t="s">
        <v>2379</v>
      </c>
      <c r="G18" s="2625"/>
      <c r="H18" s="2600"/>
      <c r="I18" s="2601"/>
      <c r="J18" s="3408"/>
      <c r="K18" s="3410"/>
      <c r="L18" s="2635" t="s">
        <v>2380</v>
      </c>
      <c r="M18" s="2636"/>
      <c r="N18" s="2636"/>
      <c r="O18" s="2637"/>
      <c r="P18" s="2638">
        <v>365</v>
      </c>
      <c r="Q18" s="2612"/>
      <c r="R18" s="2659">
        <f>ROUND(M18*N18*O18*P18/10000,0)</f>
        <v>0</v>
      </c>
      <c r="S18" s="2593"/>
      <c r="T18" s="2593"/>
      <c r="U18" s="2593"/>
      <c r="V18" s="2601"/>
    </row>
    <row r="19" spans="1:22" s="2605" customFormat="1" ht="13.15" customHeight="1" thickBot="1">
      <c r="A19" s="2669" t="s">
        <v>2381</v>
      </c>
      <c r="B19" s="2623"/>
      <c r="C19" s="2623"/>
      <c r="D19" s="2623"/>
      <c r="E19" s="2623"/>
      <c r="F19" s="2624"/>
      <c r="G19" s="2644"/>
      <c r="H19" s="2600"/>
      <c r="I19" s="2601"/>
      <c r="J19" s="3408"/>
      <c r="K19" s="3411"/>
      <c r="L19" s="2655" t="s">
        <v>2361</v>
      </c>
      <c r="M19" s="2656"/>
      <c r="N19" s="2656">
        <f>SUM(N16:N18)</f>
        <v>0</v>
      </c>
      <c r="O19" s="2657"/>
      <c r="P19" s="2670" t="s">
        <v>2425</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408">
        <v>3</v>
      </c>
      <c r="K20" s="3409" t="s">
        <v>2382</v>
      </c>
      <c r="L20" s="2635" t="s">
        <v>2383</v>
      </c>
      <c r="M20" s="2636" t="s">
        <v>2384</v>
      </c>
      <c r="N20" s="2673" t="s">
        <v>2385</v>
      </c>
      <c r="O20" s="2637" t="s">
        <v>2386</v>
      </c>
      <c r="P20" s="2638" t="s">
        <v>2387</v>
      </c>
      <c r="Q20" s="2612" t="s">
        <v>2388</v>
      </c>
      <c r="R20" s="2659" t="s">
        <v>2389</v>
      </c>
      <c r="S20" s="2593"/>
      <c r="T20" s="2593"/>
      <c r="U20" s="2593"/>
      <c r="V20" s="2601"/>
    </row>
    <row r="21" spans="1:22" s="2605" customFormat="1" ht="13.15" customHeight="1">
      <c r="A21" s="2628"/>
      <c r="B21" s="2629"/>
      <c r="C21" s="2674" t="s">
        <v>2390</v>
      </c>
      <c r="D21" s="2675" t="s">
        <v>2391</v>
      </c>
      <c r="E21" s="2676" t="s">
        <v>2392</v>
      </c>
      <c r="F21" s="2672"/>
      <c r="G21" s="2644"/>
      <c r="H21" s="2600"/>
      <c r="I21" s="2601"/>
      <c r="J21" s="3408"/>
      <c r="K21" s="3410"/>
      <c r="L21" s="2635" t="s">
        <v>2393</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2394</v>
      </c>
      <c r="D22" s="2679" t="s">
        <v>2395</v>
      </c>
      <c r="E22" s="2680" t="s">
        <v>2396</v>
      </c>
      <c r="F22" s="2672"/>
      <c r="G22" s="2593"/>
      <c r="H22" s="2600"/>
      <c r="I22" s="2601"/>
      <c r="J22" s="3408"/>
      <c r="K22" s="3410"/>
      <c r="L22" s="2635" t="s">
        <v>2397</v>
      </c>
      <c r="M22" s="2636"/>
      <c r="N22" s="2636"/>
      <c r="O22" s="2637"/>
      <c r="P22" s="2638">
        <v>365</v>
      </c>
      <c r="Q22" s="2612"/>
      <c r="R22" s="2677">
        <f>ROUND(M22*N22*O22*P22/10000,0)</f>
        <v>0</v>
      </c>
      <c r="S22" s="2593"/>
      <c r="T22" s="2593"/>
      <c r="U22" s="2593"/>
      <c r="V22" s="2601"/>
    </row>
    <row r="23" spans="1:22" s="2605" customFormat="1" ht="13.15" customHeight="1">
      <c r="A23" s="2681">
        <v>1</v>
      </c>
      <c r="B23" s="2682" t="s">
        <v>2398</v>
      </c>
      <c r="C23" s="2683">
        <f>D6</f>
        <v>0</v>
      </c>
      <c r="D23" s="2684">
        <f>C23*(1+D24)</f>
        <v>0</v>
      </c>
      <c r="E23" s="2685">
        <f>D23*(1+E24)</f>
        <v>0</v>
      </c>
      <c r="F23" s="2686"/>
      <c r="G23" s="2687"/>
      <c r="H23" s="2600"/>
      <c r="I23" s="2601"/>
      <c r="J23" s="3408"/>
      <c r="K23" s="3410"/>
      <c r="L23" s="2635" t="s">
        <v>2399</v>
      </c>
      <c r="M23" s="2636"/>
      <c r="N23" s="2636"/>
      <c r="O23" s="2637"/>
      <c r="P23" s="2638">
        <v>365</v>
      </c>
      <c r="Q23" s="2612"/>
      <c r="R23" s="2677">
        <f>ROUND(M23*N23*O23*P23/10000,0)</f>
        <v>0</v>
      </c>
      <c r="S23" s="2593"/>
      <c r="T23" s="2593"/>
      <c r="U23" s="2593"/>
      <c r="V23" s="2601"/>
    </row>
    <row r="24" spans="1:22" s="2605" customFormat="1" ht="13.15" customHeight="1">
      <c r="A24" s="2688"/>
      <c r="B24" s="2689" t="s">
        <v>2400</v>
      </c>
      <c r="C24" s="2690"/>
      <c r="D24" s="2691"/>
      <c r="E24" s="2692"/>
      <c r="F24" s="2693"/>
      <c r="G24" s="2687"/>
      <c r="H24" s="2600"/>
      <c r="I24" s="2601"/>
      <c r="J24" s="3408"/>
      <c r="K24" s="3411"/>
      <c r="L24" s="2655" t="s">
        <v>2361</v>
      </c>
      <c r="M24" s="2656">
        <f>SUM(M21:M23)</f>
        <v>0</v>
      </c>
      <c r="N24" s="2656"/>
      <c r="O24" s="2657"/>
      <c r="P24" s="2670" t="s">
        <v>2425</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2401</v>
      </c>
      <c r="L25" s="2696"/>
      <c r="M25" s="2696"/>
      <c r="N25" s="2696"/>
      <c r="O25" s="2696"/>
      <c r="P25" s="2697"/>
      <c r="Q25" s="2698">
        <v>0</v>
      </c>
      <c r="R25" s="2671">
        <f>ROUND(R14*Q25,0)</f>
        <v>0</v>
      </c>
      <c r="S25" s="2593"/>
      <c r="T25" s="2593"/>
      <c r="U25" s="2593"/>
      <c r="V25" s="2699"/>
    </row>
    <row r="26" spans="1:22" s="2700" customFormat="1" ht="13.15" customHeight="1">
      <c r="A26" s="2681">
        <v>2</v>
      </c>
      <c r="B26" s="2682" t="s">
        <v>2402</v>
      </c>
      <c r="C26" s="2683">
        <f>D7</f>
        <v>0</v>
      </c>
      <c r="D26" s="2684">
        <f>D23*D27</f>
        <v>0</v>
      </c>
      <c r="E26" s="2685">
        <f>E23*E27</f>
        <v>0</v>
      </c>
      <c r="F26" s="2686"/>
      <c r="G26" s="2687"/>
      <c r="H26" s="2600"/>
      <c r="I26" s="2601"/>
      <c r="J26" s="3412">
        <v>5</v>
      </c>
      <c r="K26" s="2701" t="s">
        <v>2403</v>
      </c>
      <c r="L26" s="2702"/>
      <c r="M26" s="2703"/>
      <c r="N26" s="2704" t="s">
        <v>2404</v>
      </c>
      <c r="O26" s="2704" t="s">
        <v>2405</v>
      </c>
      <c r="P26" s="2705" t="s">
        <v>2406</v>
      </c>
      <c r="Q26" s="2705" t="s">
        <v>2407</v>
      </c>
      <c r="R26" s="2610" t="s">
        <v>2332</v>
      </c>
      <c r="S26" s="2644"/>
      <c r="T26" s="2644"/>
      <c r="U26" s="2644"/>
      <c r="V26" s="2699"/>
    </row>
    <row r="27" spans="1:22" s="2605" customFormat="1" ht="13.15" customHeight="1">
      <c r="A27" s="2688"/>
      <c r="B27" s="2689" t="s">
        <v>2408</v>
      </c>
      <c r="C27" s="2706" t="e">
        <f>E7</f>
        <v>#DIV/0!</v>
      </c>
      <c r="D27" s="2691"/>
      <c r="E27" s="2692"/>
      <c r="F27" s="2693"/>
      <c r="G27" s="2687"/>
      <c r="H27" s="2707"/>
      <c r="I27" s="2699"/>
      <c r="J27" s="3413"/>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2409</v>
      </c>
      <c r="F28" s="2693"/>
      <c r="G28" s="2593"/>
      <c r="H28" s="2707"/>
      <c r="I28" s="2699"/>
      <c r="J28" s="2713">
        <v>6</v>
      </c>
      <c r="K28" s="2714" t="s">
        <v>2410</v>
      </c>
      <c r="L28" s="2715" t="s">
        <v>2411</v>
      </c>
      <c r="M28" s="2716"/>
      <c r="N28" s="2715" t="s">
        <v>2412</v>
      </c>
      <c r="O28" s="2717"/>
      <c r="P28" s="2715" t="s">
        <v>2413</v>
      </c>
      <c r="Q28" s="2718">
        <v>1.4999999999999999E-2</v>
      </c>
      <c r="R28" s="2719"/>
      <c r="S28" s="2593"/>
      <c r="T28" s="2593"/>
      <c r="U28" s="2593"/>
      <c r="V28" s="2699"/>
    </row>
    <row r="29" spans="1:22" s="2700" customFormat="1" ht="13.15" customHeight="1">
      <c r="A29" s="2681">
        <v>3</v>
      </c>
      <c r="B29" s="2682" t="s">
        <v>2414</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2408</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2415</v>
      </c>
      <c r="K31" s="2591"/>
      <c r="L31" s="2591"/>
      <c r="M31" s="2591"/>
      <c r="N31" s="2591"/>
      <c r="O31" s="2591"/>
      <c r="P31" s="2591"/>
      <c r="Q31" s="2591"/>
      <c r="R31" s="2592"/>
      <c r="S31" s="2593"/>
      <c r="T31" s="2593"/>
      <c r="U31" s="2593"/>
      <c r="V31" s="2699"/>
    </row>
    <row r="32" spans="1:22" s="2700" customFormat="1" ht="13.15" customHeight="1">
      <c r="A32" s="2681">
        <v>4</v>
      </c>
      <c r="B32" s="2682" t="s">
        <v>2416</v>
      </c>
      <c r="C32" s="2683">
        <f>C23-C26-C29</f>
        <v>0</v>
      </c>
      <c r="D32" s="2684">
        <f>D23-D26-D29</f>
        <v>0</v>
      </c>
      <c r="E32" s="2685">
        <f>E23-E26-E29</f>
        <v>0</v>
      </c>
      <c r="F32" s="2686"/>
      <c r="G32" s="2593"/>
      <c r="H32" s="2600"/>
      <c r="I32" s="2601"/>
      <c r="J32" s="3414" t="s">
        <v>2308</v>
      </c>
      <c r="K32" s="3415"/>
      <c r="L32" s="2602" t="s">
        <v>2309</v>
      </c>
      <c r="M32" s="2602" t="s">
        <v>2310</v>
      </c>
      <c r="N32" s="2602" t="s">
        <v>2311</v>
      </c>
      <c r="O32" s="2602" t="s">
        <v>2312</v>
      </c>
      <c r="P32" s="2602" t="s">
        <v>2313</v>
      </c>
      <c r="Q32" s="2603" t="s">
        <v>2314</v>
      </c>
      <c r="R32" s="2722" t="s">
        <v>2315</v>
      </c>
      <c r="S32" s="2593"/>
      <c r="T32" s="2593"/>
      <c r="U32" s="2593"/>
      <c r="V32" s="2699"/>
    </row>
    <row r="33" spans="1:23" s="2605" customFormat="1" ht="13.15" customHeight="1">
      <c r="A33" s="2681"/>
      <c r="B33" s="2682"/>
      <c r="C33" s="2683"/>
      <c r="D33" s="2723"/>
      <c r="E33" s="2724"/>
      <c r="F33" s="2686"/>
      <c r="G33" s="2593"/>
      <c r="H33" s="2707"/>
      <c r="I33" s="2699"/>
      <c r="J33" s="3416" t="s">
        <v>2318</v>
      </c>
      <c r="K33" s="3417"/>
      <c r="L33" s="2608"/>
      <c r="M33" s="2608"/>
      <c r="N33" s="2608"/>
      <c r="O33" s="2608"/>
      <c r="P33" s="2608"/>
      <c r="Q33" s="2609"/>
      <c r="R33" s="2725">
        <f>SUM(L33:Q33)</f>
        <v>0</v>
      </c>
      <c r="S33" s="2593"/>
      <c r="T33" s="2593"/>
      <c r="U33" s="2593"/>
      <c r="V33" s="2601"/>
    </row>
    <row r="34" spans="1:23" s="2605" customFormat="1" ht="13.15" customHeight="1">
      <c r="A34" s="2681">
        <v>5</v>
      </c>
      <c r="B34" s="2682" t="s">
        <v>2417</v>
      </c>
      <c r="C34" s="2726"/>
      <c r="D34" s="2727"/>
      <c r="E34" s="2728"/>
      <c r="F34" s="2686"/>
      <c r="G34" s="2593"/>
      <c r="H34" s="2707"/>
      <c r="I34" s="2699"/>
      <c r="J34" s="3416" t="s">
        <v>2320</v>
      </c>
      <c r="K34" s="3417"/>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2418</v>
      </c>
      <c r="C35" s="2730"/>
      <c r="D35" s="2731"/>
      <c r="E35" s="2732"/>
      <c r="F35" s="2686"/>
      <c r="G35" s="2733"/>
      <c r="H35" s="2600"/>
      <c r="I35" s="2699"/>
      <c r="J35" s="2619" t="s">
        <v>2322</v>
      </c>
      <c r="K35" s="2620"/>
      <c r="L35" s="2620"/>
      <c r="M35" s="2621"/>
      <c r="N35" s="2621"/>
      <c r="O35" s="2621"/>
      <c r="P35" s="2621"/>
      <c r="Q35" s="2621"/>
      <c r="R35" s="2734">
        <f>R40+R41+R43</f>
        <v>0</v>
      </c>
      <c r="S35" s="2593"/>
      <c r="T35" s="2593" t="s">
        <v>2323</v>
      </c>
      <c r="U35" s="2593"/>
      <c r="V35" s="2601"/>
    </row>
    <row r="36" spans="1:23" s="2605" customFormat="1" ht="13.15" customHeight="1" thickBot="1">
      <c r="A36" s="2681">
        <v>7</v>
      </c>
      <c r="B36" s="2735" t="s">
        <v>2419</v>
      </c>
      <c r="C36" s="2736"/>
      <c r="D36" s="2737"/>
      <c r="E36" s="2738"/>
      <c r="F36" s="2739">
        <f>C36+D36+E36</f>
        <v>0</v>
      </c>
      <c r="G36" s="2593"/>
      <c r="H36" s="2600"/>
      <c r="I36" s="2601"/>
      <c r="J36" s="3408">
        <v>1</v>
      </c>
      <c r="K36" s="3409" t="s">
        <v>2420</v>
      </c>
      <c r="L36" s="2626"/>
      <c r="M36" s="2627"/>
      <c r="N36" s="2627"/>
      <c r="O36" s="2627"/>
      <c r="P36" s="2627"/>
      <c r="Q36" s="2627"/>
      <c r="R36" s="2610" t="s">
        <v>2332</v>
      </c>
      <c r="S36" s="2593"/>
      <c r="T36" s="2593" t="s">
        <v>2333</v>
      </c>
      <c r="U36" s="2593"/>
      <c r="V36" s="2601"/>
    </row>
    <row r="37" spans="1:23" s="2605" customFormat="1" ht="13.15" customHeight="1">
      <c r="A37" s="2681"/>
      <c r="B37" s="2682"/>
      <c r="C37" s="2682"/>
      <c r="D37" s="2682"/>
      <c r="E37" s="2682"/>
      <c r="F37" s="2686"/>
      <c r="G37" s="2593"/>
      <c r="H37" s="2600"/>
      <c r="I37" s="2601"/>
      <c r="J37" s="3408"/>
      <c r="K37" s="3410"/>
      <c r="L37" s="2635"/>
      <c r="M37" s="2636"/>
      <c r="N37" s="2612"/>
      <c r="O37" s="2637"/>
      <c r="P37" s="2637"/>
      <c r="Q37" s="2638"/>
      <c r="R37" s="2639"/>
      <c r="S37" s="2593"/>
      <c r="T37" s="2593" t="s">
        <v>2336</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408"/>
      <c r="K38" s="3410"/>
      <c r="L38" s="2635"/>
      <c r="M38" s="2636"/>
      <c r="N38" s="2612"/>
      <c r="O38" s="2637"/>
      <c r="P38" s="2637"/>
      <c r="Q38" s="2638"/>
      <c r="R38" s="2639"/>
      <c r="S38" s="2593"/>
      <c r="T38" s="2593" t="s">
        <v>2343</v>
      </c>
      <c r="U38" s="2593"/>
      <c r="V38" s="2601"/>
    </row>
    <row r="39" spans="1:23" s="2605" customFormat="1" ht="13.15" customHeight="1">
      <c r="A39" s="2681">
        <v>9</v>
      </c>
      <c r="B39" s="2682" t="s">
        <v>2421</v>
      </c>
      <c r="C39" s="2649" t="e">
        <f>C38</f>
        <v>#DIV/0!</v>
      </c>
      <c r="D39" s="2682">
        <f>D38/(1+D34)^C36</f>
        <v>0</v>
      </c>
      <c r="E39" s="2682">
        <f>E38/(1+E34)^(C36+D36)</f>
        <v>0</v>
      </c>
      <c r="F39" s="2686"/>
      <c r="G39" s="2601"/>
      <c r="H39" s="2600"/>
      <c r="I39" s="2601"/>
      <c r="J39" s="3408"/>
      <c r="K39" s="3410"/>
      <c r="L39" s="2635"/>
      <c r="M39" s="2636"/>
      <c r="N39" s="2612"/>
      <c r="O39" s="2637"/>
      <c r="P39" s="2637"/>
      <c r="Q39" s="2638"/>
      <c r="R39" s="2639"/>
      <c r="S39" s="2593"/>
      <c r="T39" s="2593"/>
      <c r="U39" s="2593"/>
      <c r="V39" s="2601"/>
    </row>
    <row r="40" spans="1:23" s="2605" customFormat="1" ht="13.15" customHeight="1">
      <c r="A40" s="2740">
        <v>10</v>
      </c>
      <c r="B40" s="2682" t="s">
        <v>2422</v>
      </c>
      <c r="C40" s="2741" t="e">
        <f>C39+D39+E39</f>
        <v>#DIV/0!</v>
      </c>
      <c r="D40" s="2742"/>
      <c r="E40" s="2742"/>
      <c r="F40" s="2743"/>
      <c r="G40" s="2593"/>
      <c r="H40" s="2600"/>
      <c r="I40" s="2601"/>
      <c r="J40" s="3408"/>
      <c r="K40" s="3411"/>
      <c r="L40" s="2655" t="s">
        <v>2361</v>
      </c>
      <c r="M40" s="2656"/>
      <c r="N40" s="2656"/>
      <c r="O40" s="2657"/>
      <c r="P40" s="2657"/>
      <c r="Q40" s="2658"/>
      <c r="R40" s="2604">
        <f>SUM(R37:R39)</f>
        <v>0</v>
      </c>
      <c r="S40" s="2593"/>
      <c r="T40" s="2593"/>
      <c r="U40" s="2593"/>
      <c r="V40" s="2601"/>
    </row>
    <row r="41" spans="1:23" s="2605" customFormat="1" ht="13.15" customHeight="1" thickBot="1">
      <c r="A41" s="2744">
        <v>11</v>
      </c>
      <c r="B41" s="2745" t="s">
        <v>2423</v>
      </c>
      <c r="C41" s="2745" t="e">
        <f>ROUND(C40*10000/B4,0)</f>
        <v>#DIV/0!</v>
      </c>
      <c r="D41" s="2746"/>
      <c r="E41" s="2746"/>
      <c r="F41" s="2747"/>
      <c r="G41" s="2600"/>
      <c r="H41" s="2600"/>
      <c r="I41" s="2601"/>
      <c r="J41" s="2694">
        <v>2</v>
      </c>
      <c r="K41" s="2695" t="s">
        <v>2401</v>
      </c>
      <c r="L41" s="2696"/>
      <c r="M41" s="2696"/>
      <c r="N41" s="2696"/>
      <c r="O41" s="2696"/>
      <c r="P41" s="2697"/>
      <c r="Q41" s="2698"/>
      <c r="R41" s="2671">
        <f>ROUND(R40*Q41,0)</f>
        <v>0</v>
      </c>
      <c r="S41" s="2593"/>
      <c r="T41" s="2593"/>
      <c r="U41" s="2644"/>
      <c r="V41" s="2601"/>
    </row>
    <row r="42" spans="1:23" s="2605" customFormat="1" ht="13.15" customHeight="1">
      <c r="G42" s="2600"/>
      <c r="H42" s="2600"/>
      <c r="I42" s="2601"/>
      <c r="J42" s="3412">
        <v>3</v>
      </c>
      <c r="K42" s="2701" t="s">
        <v>2403</v>
      </c>
      <c r="L42" s="2702"/>
      <c r="M42" s="2703"/>
      <c r="N42" s="2704" t="s">
        <v>2404</v>
      </c>
      <c r="O42" s="2704" t="s">
        <v>2405</v>
      </c>
      <c r="P42" s="2705" t="s">
        <v>2406</v>
      </c>
      <c r="Q42" s="2705" t="s">
        <v>2407</v>
      </c>
      <c r="R42" s="2610" t="s">
        <v>2332</v>
      </c>
      <c r="S42" s="2644"/>
      <c r="T42" s="2644"/>
      <c r="U42" s="2593"/>
      <c r="V42" s="2601"/>
    </row>
    <row r="43" spans="1:23" ht="13.15" customHeight="1">
      <c r="A43" s="2605"/>
      <c r="B43" s="2605"/>
      <c r="C43" s="2605"/>
      <c r="D43" s="2605"/>
      <c r="E43" s="2605"/>
      <c r="F43" s="2605"/>
      <c r="I43" s="2588"/>
      <c r="J43" s="3413"/>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2410</v>
      </c>
      <c r="L44" s="2750" t="s">
        <v>2411</v>
      </c>
      <c r="M44" s="2716"/>
      <c r="N44" s="2750" t="s">
        <v>2412</v>
      </c>
      <c r="O44" s="2716"/>
      <c r="P44" s="2750" t="s">
        <v>2413</v>
      </c>
      <c r="Q44" s="2718">
        <v>1.4999999999999999E-2</v>
      </c>
      <c r="R44" s="271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J47" sqref="J47:J49"/>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1657</v>
      </c>
      <c r="B1" s="1726"/>
      <c r="C1" s="1726"/>
      <c r="D1" s="1726"/>
      <c r="E1" s="1727"/>
      <c r="F1" s="2480"/>
      <c r="G1" s="459"/>
      <c r="H1" s="459"/>
      <c r="I1" s="459"/>
      <c r="J1" s="459"/>
      <c r="K1" s="459"/>
      <c r="L1" s="459"/>
      <c r="M1" s="459"/>
      <c r="N1" s="459"/>
      <c r="O1" s="459"/>
      <c r="P1" s="459"/>
      <c r="Q1" s="459"/>
      <c r="R1" s="459"/>
      <c r="S1" s="459"/>
    </row>
    <row r="2" spans="1:22" ht="15.75">
      <c r="A2" s="1728" t="s">
        <v>1461</v>
      </c>
      <c r="B2" s="811">
        <f ca="1">SUMIF(B6:B13,"&lt;&gt;#ref!",B6:B13)</f>
        <v>40702</v>
      </c>
      <c r="C2" s="1729" t="s">
        <v>1650</v>
      </c>
      <c r="D2" s="1730" t="s">
        <v>1651</v>
      </c>
      <c r="E2" s="2393">
        <f>SUM(E6:E13)</f>
        <v>66288.099999999991</v>
      </c>
      <c r="F2" s="2480"/>
      <c r="G2" s="459"/>
      <c r="H2" s="459"/>
      <c r="I2" s="459"/>
      <c r="J2" s="459"/>
      <c r="K2" s="459"/>
      <c r="L2" s="459"/>
      <c r="M2" s="459"/>
      <c r="N2" s="459"/>
      <c r="O2" s="459"/>
      <c r="P2" s="459"/>
      <c r="Q2" s="459"/>
      <c r="R2" s="459"/>
      <c r="S2" s="459"/>
    </row>
    <row r="3" spans="1:22" ht="15.75">
      <c r="A3" s="1728" t="s">
        <v>686</v>
      </c>
      <c r="B3" s="2387">
        <f ca="1">ROUND(B2*10000/E2,0)</f>
        <v>6140</v>
      </c>
      <c r="C3" s="1729" t="s">
        <v>1658</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1652</v>
      </c>
      <c r="B5" s="3427" t="s">
        <v>1653</v>
      </c>
      <c r="C5" s="3428"/>
      <c r="D5" s="2481"/>
      <c r="E5" s="1731" t="s">
        <v>1654</v>
      </c>
      <c r="F5" s="129" t="s">
        <v>1655</v>
      </c>
      <c r="G5" s="459"/>
      <c r="H5" s="459"/>
      <c r="I5" s="459"/>
      <c r="J5" s="459"/>
      <c r="K5" s="459"/>
      <c r="L5" s="459"/>
      <c r="M5" s="459"/>
      <c r="N5" s="459"/>
      <c r="O5" s="459"/>
      <c r="P5" s="459"/>
      <c r="Q5" s="459"/>
      <c r="R5" s="459"/>
      <c r="S5" s="459"/>
    </row>
    <row r="6" spans="1:22">
      <c r="A6" s="2390" t="str">
        <f>'数据-取费表'!AN6</f>
        <v>收益法</v>
      </c>
      <c r="B6" s="2388">
        <f ca="1">IF(F6="是",'数据-取费表'!AO6,0)</f>
        <v>40702</v>
      </c>
      <c r="C6" s="1729" t="s">
        <v>1650</v>
      </c>
      <c r="D6" s="2480"/>
      <c r="E6" s="2392">
        <f>IF(OR(A6=0,F6="否"),0,'数据-取费表'!K6+'数据-取费表'!S6)</f>
        <v>66288.099999999991</v>
      </c>
      <c r="F6" s="1732" t="s">
        <v>1656</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1650</v>
      </c>
      <c r="D7" s="2480"/>
      <c r="E7" s="2392">
        <f>IF(OR(A7=0,F7="否"),0,'数据-取费表'!K7+'数据-取费表'!S7)</f>
        <v>0</v>
      </c>
      <c r="F7" s="1732" t="s">
        <v>1656</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1650</v>
      </c>
      <c r="D8" s="2480"/>
      <c r="E8" s="2392">
        <f>IF(OR(A8=0,F8="否"),0,'数据-取费表'!K8+'数据-取费表'!S8)</f>
        <v>0</v>
      </c>
      <c r="F8" s="1732" t="s">
        <v>1656</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1650</v>
      </c>
      <c r="D9" s="2480"/>
      <c r="E9" s="2392">
        <f>IF(OR(A9=0,F9="否"),0,'数据-取费表'!K9+'数据-取费表'!S9)</f>
        <v>0</v>
      </c>
      <c r="F9" s="1732" t="s">
        <v>1656</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1650</v>
      </c>
      <c r="D10" s="2480"/>
      <c r="E10" s="2392">
        <f>IF(OR(A10=0,F10="否"),0,'数据-取费表'!K10+'数据-取费表'!S10)</f>
        <v>0</v>
      </c>
      <c r="F10" s="1732" t="s">
        <v>1656</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1650</v>
      </c>
      <c r="D11" s="2480"/>
      <c r="E11" s="2392">
        <f>IF(OR(A11=0,F11="否"),0,'数据-取费表'!K11+'数据-取费表'!S11)</f>
        <v>0</v>
      </c>
      <c r="F11" s="1732" t="s">
        <v>1656</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1650</v>
      </c>
      <c r="D12" s="2480"/>
      <c r="E12" s="2392">
        <f>IF(OR(A12=0,F12="否"),0,'数据-取费表'!K12+'数据-取费表'!S12)</f>
        <v>0</v>
      </c>
      <c r="F12" s="1732" t="s">
        <v>1656</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1650</v>
      </c>
      <c r="D13" s="2482"/>
      <c r="E13" s="2392">
        <f>IF(OR(A13=0,F13="否"),0,'数据-取费表'!K13+'数据-取费表'!S13)</f>
        <v>0</v>
      </c>
      <c r="F13" s="1732" t="s">
        <v>1656</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36">
      <c r="A4" s="1382" t="str">
        <f>"受贵公司委托，我公司对"&amp;项目基本情况!S1&amp;"进行了预评估。"</f>
        <v>受贵公司委托，我公司对北京市出让国有建设用地使用权及在建建筑物房地产抵押价值进行了预评估。</v>
      </c>
    </row>
    <row r="5" spans="1:1" ht="18.75">
      <c r="A5" s="1383" t="s">
        <v>899</v>
      </c>
    </row>
    <row r="6" spans="1:1" ht="18.75">
      <c r="A6" s="1384" t="s">
        <v>900</v>
      </c>
    </row>
    <row r="7" spans="1:1" ht="54">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估价对象为北京市出让国有建设用地使用权及在建建筑物房地产，为所有。根据《国有土地使用证》[]，估价对象（分摊）出让国有建设用地使用权面积为29724.79平方米，建筑面积为66288.1平方米。</v>
      </c>
    </row>
    <row r="8" spans="1:1" ht="57.75">
      <c r="A8" s="1385" t="s">
        <v>901</v>
      </c>
    </row>
    <row r="9" spans="1:1" ht="18.75">
      <c r="A9" s="1384" t="s">
        <v>902</v>
      </c>
    </row>
    <row r="10" spans="1:1" ht="72">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为开发建设的，该项目尚在开发建设中。根据《国有土地使用证》[]，估价对象（分摊）出让国有建设用地使用权面积为29724.79平方米，规划建筑面积为66288.1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2024年12月6日（评估专业人员实地查勘之日）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12月6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382" t="str">
        <f>IF(项目基本情况!B9="房地产市场价值","——",IF(项目基本情况!E9="——","",定义!C57))</f>
        <v/>
      </c>
    </row>
    <row r="23" spans="1:1" ht="18.75">
      <c r="A23" s="1381" t="s">
        <v>896</v>
      </c>
    </row>
    <row r="24" spans="1:1" ht="18">
      <c r="A24" s="1387" t="str">
        <f>"本次评估采用的主估价方法为"&amp;结果表!K4&amp;"和"&amp;结果表!L4&amp;"。"</f>
        <v>本次评估采用的主估价方法为成本法和假设开发法。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J47" sqref="J47:J49"/>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1659</v>
      </c>
      <c r="B1" s="1734" t="s">
        <v>1660</v>
      </c>
      <c r="C1" s="1155" t="s">
        <v>1661</v>
      </c>
      <c r="D1" s="1142"/>
      <c r="E1" s="3125"/>
      <c r="F1" s="1735"/>
      <c r="G1" s="1152" t="s">
        <v>1662</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1663</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1664</v>
      </c>
      <c r="D3" s="343">
        <f>IF(D1="",'数据-汇总表'!E3,SUMIF('数据-汇总表'!$C19:$C33,D1,'数据-汇总表'!$E19:$E33))</f>
        <v>66288.099999999991</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1665</v>
      </c>
      <c r="B4" s="346"/>
      <c r="C4" s="3338" t="s">
        <v>1666</v>
      </c>
      <c r="D4" s="3364"/>
      <c r="E4" s="3365" t="s">
        <v>1667</v>
      </c>
      <c r="F4" s="3366"/>
      <c r="G4" s="3338" t="s">
        <v>1668</v>
      </c>
      <c r="H4" s="3364"/>
      <c r="I4" s="3338" t="s">
        <v>1669</v>
      </c>
      <c r="J4" s="3364"/>
      <c r="K4" s="1744" t="s">
        <v>1670</v>
      </c>
      <c r="L4" s="2487"/>
      <c r="M4" s="2488"/>
      <c r="N4" s="2488"/>
      <c r="O4" s="2488"/>
      <c r="P4" s="3367" t="s">
        <v>1671</v>
      </c>
      <c r="Q4" s="3368"/>
      <c r="R4" s="3344" t="s">
        <v>1667</v>
      </c>
      <c r="S4" s="3345"/>
      <c r="T4" s="3344" t="s">
        <v>1668</v>
      </c>
      <c r="U4" s="3345"/>
      <c r="V4" s="3357" t="s">
        <v>1669</v>
      </c>
      <c r="W4" s="3357"/>
      <c r="X4" s="1265"/>
      <c r="Y4" s="3344" t="s">
        <v>1671</v>
      </c>
      <c r="Z4" s="3345"/>
      <c r="AA4" s="3361" t="s">
        <v>1667</v>
      </c>
      <c r="AB4" s="3361" t="s">
        <v>1668</v>
      </c>
      <c r="AC4" s="3361" t="s">
        <v>1669</v>
      </c>
    </row>
    <row r="5" spans="1:29" ht="15">
      <c r="A5" s="348"/>
      <c r="B5" s="349"/>
      <c r="C5" s="3348" t="s">
        <v>1672</v>
      </c>
      <c r="D5" s="3349"/>
      <c r="E5" s="3373" t="s">
        <v>1673</v>
      </c>
      <c r="F5" s="3374"/>
      <c r="G5" s="3348" t="s">
        <v>1674</v>
      </c>
      <c r="H5" s="3349"/>
      <c r="I5" s="3348" t="s">
        <v>1675</v>
      </c>
      <c r="J5" s="3349"/>
      <c r="K5" s="1745"/>
      <c r="L5" s="2487"/>
      <c r="M5" s="2488"/>
      <c r="N5" s="2488"/>
      <c r="O5" s="2488"/>
      <c r="P5" s="3369"/>
      <c r="Q5" s="3370"/>
      <c r="R5" s="3346"/>
      <c r="S5" s="3347"/>
      <c r="T5" s="3346"/>
      <c r="U5" s="3347"/>
      <c r="V5" s="3357"/>
      <c r="W5" s="3357"/>
      <c r="X5" s="1265"/>
      <c r="Y5" s="3346"/>
      <c r="Z5" s="3347"/>
      <c r="AA5" s="3362"/>
      <c r="AB5" s="3362"/>
      <c r="AC5" s="3362"/>
    </row>
    <row r="6" spans="1:29" ht="15.75" thickBot="1">
      <c r="A6" s="350"/>
      <c r="B6" s="351"/>
      <c r="C6" s="3436" t="s">
        <v>1676</v>
      </c>
      <c r="D6" s="3437"/>
      <c r="E6" s="3438" t="s">
        <v>1676</v>
      </c>
      <c r="F6" s="3439"/>
      <c r="G6" s="3436" t="s">
        <v>1676</v>
      </c>
      <c r="H6" s="3437"/>
      <c r="I6" s="3436" t="s">
        <v>1676</v>
      </c>
      <c r="J6" s="3437"/>
      <c r="K6" s="1745" t="s">
        <v>1677</v>
      </c>
      <c r="L6" s="2487"/>
      <c r="M6" s="2488"/>
      <c r="N6" s="2488"/>
      <c r="O6" s="2488"/>
      <c r="P6" s="3371"/>
      <c r="Q6" s="3372"/>
      <c r="R6" s="3346"/>
      <c r="S6" s="3347"/>
      <c r="T6" s="3355"/>
      <c r="U6" s="3356"/>
      <c r="V6" s="3357"/>
      <c r="W6" s="3357"/>
      <c r="X6" s="1265"/>
      <c r="Y6" s="3355"/>
      <c r="Z6" s="3356"/>
      <c r="AA6" s="3363"/>
      <c r="AB6" s="3363"/>
      <c r="AC6" s="3363"/>
    </row>
    <row r="7" spans="1:29" s="102" customFormat="1" ht="15.75" thickBot="1">
      <c r="A7" s="352" t="s">
        <v>1678</v>
      </c>
      <c r="B7" s="353"/>
      <c r="C7" s="354">
        <f>'数据-取费表'!B2</f>
        <v>45632</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342" t="s">
        <v>1679</v>
      </c>
      <c r="Q7" s="3352"/>
      <c r="R7" s="664" t="s">
        <v>20</v>
      </c>
      <c r="S7" s="665">
        <f t="shared" ref="S7:S15" si="0">F7</f>
        <v>0</v>
      </c>
      <c r="T7" s="664" t="s">
        <v>20</v>
      </c>
      <c r="U7" s="665">
        <f t="shared" ref="U7:U15" si="1">H7</f>
        <v>0</v>
      </c>
      <c r="V7" s="664" t="s">
        <v>20</v>
      </c>
      <c r="W7" s="665">
        <f t="shared" ref="W7:W15" si="2">J7</f>
        <v>0</v>
      </c>
      <c r="X7" s="666"/>
      <c r="Y7" s="3342" t="s">
        <v>1679</v>
      </c>
      <c r="Z7" s="3343"/>
      <c r="AA7" s="50" t="e">
        <f>D7/F7</f>
        <v>#DIV/0!</v>
      </c>
      <c r="AB7" s="50" t="e">
        <f>D7/H7</f>
        <v>#DIV/0!</v>
      </c>
      <c r="AC7" s="50" t="e">
        <f>D7/J7</f>
        <v>#DIV/0!</v>
      </c>
    </row>
    <row r="8" spans="1:29" s="102" customFormat="1" ht="15.75" thickBot="1">
      <c r="A8" s="352" t="s">
        <v>1680</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342" t="s">
        <v>1682</v>
      </c>
      <c r="Q8" s="3343"/>
      <c r="R8" s="664" t="s">
        <v>20</v>
      </c>
      <c r="S8" s="665">
        <f t="shared" si="0"/>
        <v>100</v>
      </c>
      <c r="T8" s="664" t="s">
        <v>20</v>
      </c>
      <c r="U8" s="665">
        <f t="shared" si="1"/>
        <v>100</v>
      </c>
      <c r="V8" s="664" t="s">
        <v>20</v>
      </c>
      <c r="W8" s="665">
        <f t="shared" si="2"/>
        <v>100</v>
      </c>
      <c r="X8" s="666"/>
      <c r="Y8" s="3342" t="s">
        <v>1682</v>
      </c>
      <c r="Z8" s="3343"/>
      <c r="AA8" s="50">
        <f t="shared" ref="AA8:AA19" si="3">D8/F8</f>
        <v>1</v>
      </c>
      <c r="AB8" s="50">
        <f t="shared" ref="AB8:AB19" si="4">D8/H8</f>
        <v>1</v>
      </c>
      <c r="AC8" s="50">
        <f t="shared" ref="AC8:AC19" si="5">D8/J8</f>
        <v>1</v>
      </c>
    </row>
    <row r="9" spans="1:29" s="102" customFormat="1">
      <c r="A9" s="359" t="s">
        <v>1683</v>
      </c>
      <c r="B9" s="60" t="s">
        <v>1684</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340" t="s">
        <v>1685</v>
      </c>
      <c r="Q9" s="530" t="str">
        <f t="shared" ref="Q9:Q15" si="6">B9</f>
        <v>用途</v>
      </c>
      <c r="R9" s="664" t="s">
        <v>14</v>
      </c>
      <c r="S9" s="665">
        <f t="shared" si="0"/>
        <v>100</v>
      </c>
      <c r="T9" s="664" t="s">
        <v>14</v>
      </c>
      <c r="U9" s="665">
        <f t="shared" si="1"/>
        <v>100</v>
      </c>
      <c r="V9" s="664" t="s">
        <v>14</v>
      </c>
      <c r="W9" s="665">
        <f t="shared" si="2"/>
        <v>100</v>
      </c>
      <c r="X9" s="666"/>
      <c r="Y9" s="3242" t="s">
        <v>1686</v>
      </c>
      <c r="Z9" s="50" t="str">
        <f t="shared" ref="Z9:Z15" si="7">Q9</f>
        <v>用途</v>
      </c>
      <c r="AA9" s="50">
        <f t="shared" si="3"/>
        <v>1</v>
      </c>
      <c r="AB9" s="50">
        <f t="shared" si="4"/>
        <v>1</v>
      </c>
      <c r="AC9" s="50">
        <f t="shared" si="5"/>
        <v>1</v>
      </c>
    </row>
    <row r="10" spans="1:29" s="366" customFormat="1" ht="27">
      <c r="A10" s="363"/>
      <c r="B10" s="364" t="s">
        <v>1687</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340"/>
      <c r="Q10" s="530" t="str">
        <f t="shared" si="6"/>
        <v>土地使用年限（年）</v>
      </c>
      <c r="R10" s="664" t="s">
        <v>14</v>
      </c>
      <c r="S10" s="665">
        <f t="shared" si="0"/>
        <v>100</v>
      </c>
      <c r="T10" s="664" t="s">
        <v>14</v>
      </c>
      <c r="U10" s="665">
        <f t="shared" si="1"/>
        <v>100</v>
      </c>
      <c r="V10" s="664" t="s">
        <v>14</v>
      </c>
      <c r="W10" s="665">
        <f t="shared" si="2"/>
        <v>100</v>
      </c>
      <c r="X10" s="666"/>
      <c r="Y10" s="3242"/>
      <c r="Z10" s="50" t="str">
        <f t="shared" si="7"/>
        <v>土地使用年限（年）</v>
      </c>
      <c r="AA10" s="50">
        <f t="shared" si="3"/>
        <v>1</v>
      </c>
      <c r="AB10" s="50">
        <f t="shared" si="4"/>
        <v>1</v>
      </c>
      <c r="AC10" s="50">
        <f t="shared" si="5"/>
        <v>1</v>
      </c>
    </row>
    <row r="11" spans="1:29" ht="15">
      <c r="A11" s="367"/>
      <c r="B11" s="364" t="s">
        <v>1688</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340"/>
      <c r="Q11" s="530" t="str">
        <f t="shared" si="6"/>
        <v>容积率</v>
      </c>
      <c r="R11" s="664" t="s">
        <v>18</v>
      </c>
      <c r="S11" s="665" t="e">
        <f t="shared" si="0"/>
        <v>#N/A</v>
      </c>
      <c r="T11" s="664" t="s">
        <v>18</v>
      </c>
      <c r="U11" s="665" t="e">
        <f t="shared" si="1"/>
        <v>#N/A</v>
      </c>
      <c r="V11" s="664" t="s">
        <v>18</v>
      </c>
      <c r="W11" s="665" t="e">
        <f t="shared" si="2"/>
        <v>#N/A</v>
      </c>
      <c r="X11" s="666"/>
      <c r="Y11" s="3242"/>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340"/>
      <c r="Q12" s="530">
        <f t="shared" si="6"/>
        <v>111</v>
      </c>
      <c r="R12" s="664" t="s">
        <v>18</v>
      </c>
      <c r="S12" s="665">
        <f t="shared" si="0"/>
        <v>100</v>
      </c>
      <c r="T12" s="664" t="s">
        <v>18</v>
      </c>
      <c r="U12" s="665">
        <f t="shared" si="1"/>
        <v>100</v>
      </c>
      <c r="V12" s="664" t="s">
        <v>18</v>
      </c>
      <c r="W12" s="665">
        <f t="shared" si="2"/>
        <v>100</v>
      </c>
      <c r="X12" s="666"/>
      <c r="Y12" s="3242"/>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340"/>
      <c r="Q13" s="530">
        <f t="shared" si="6"/>
        <v>111</v>
      </c>
      <c r="R13" s="664" t="s">
        <v>18</v>
      </c>
      <c r="S13" s="665">
        <f t="shared" si="0"/>
        <v>100</v>
      </c>
      <c r="T13" s="664" t="s">
        <v>18</v>
      </c>
      <c r="U13" s="665">
        <f t="shared" si="1"/>
        <v>100</v>
      </c>
      <c r="V13" s="664" t="s">
        <v>18</v>
      </c>
      <c r="W13" s="665">
        <f t="shared" si="2"/>
        <v>100</v>
      </c>
      <c r="X13" s="666"/>
      <c r="Y13" s="3242"/>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340"/>
      <c r="Q14" s="530">
        <f t="shared" si="6"/>
        <v>111</v>
      </c>
      <c r="R14" s="664" t="s">
        <v>18</v>
      </c>
      <c r="S14" s="665">
        <f t="shared" si="0"/>
        <v>100</v>
      </c>
      <c r="T14" s="664" t="s">
        <v>18</v>
      </c>
      <c r="U14" s="665">
        <f t="shared" si="1"/>
        <v>100</v>
      </c>
      <c r="V14" s="664" t="s">
        <v>18</v>
      </c>
      <c r="W14" s="665">
        <f t="shared" si="2"/>
        <v>100</v>
      </c>
      <c r="X14" s="666"/>
      <c r="Y14" s="3242"/>
      <c r="Z14" s="50">
        <f t="shared" si="7"/>
        <v>111</v>
      </c>
      <c r="AA14" s="50">
        <f t="shared" si="3"/>
        <v>1</v>
      </c>
      <c r="AB14" s="50">
        <f t="shared" si="4"/>
        <v>1</v>
      </c>
      <c r="AC14" s="50">
        <f t="shared" si="5"/>
        <v>1</v>
      </c>
    </row>
    <row r="15" spans="1:29" ht="15">
      <c r="A15" s="379" t="s">
        <v>1689</v>
      </c>
      <c r="B15" s="58" t="s">
        <v>1256</v>
      </c>
      <c r="C15" s="1750">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434" t="s">
        <v>1690</v>
      </c>
      <c r="Q15" s="1263" t="str">
        <f t="shared" si="6"/>
        <v>居住社区成熟度</v>
      </c>
      <c r="R15" s="667" t="s">
        <v>18</v>
      </c>
      <c r="S15" s="668">
        <f t="shared" si="0"/>
        <v>100</v>
      </c>
      <c r="T15" s="667" t="s">
        <v>18</v>
      </c>
      <c r="U15" s="668">
        <f t="shared" si="1"/>
        <v>100</v>
      </c>
      <c r="V15" s="667" t="s">
        <v>18</v>
      </c>
      <c r="W15" s="668">
        <f t="shared" si="2"/>
        <v>100</v>
      </c>
      <c r="X15" s="1265"/>
      <c r="Y15" s="3358" t="s">
        <v>1690</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435"/>
      <c r="Q16" s="1263"/>
      <c r="R16" s="667"/>
      <c r="S16" s="668"/>
      <c r="T16" s="667"/>
      <c r="U16" s="668"/>
      <c r="V16" s="667"/>
      <c r="W16" s="668"/>
      <c r="X16" s="1265"/>
      <c r="Y16" s="3359"/>
      <c r="Z16" s="1264"/>
      <c r="AA16" s="1264">
        <v>1</v>
      </c>
      <c r="AB16" s="1264">
        <v>1</v>
      </c>
      <c r="AC16" s="1264">
        <v>1</v>
      </c>
    </row>
    <row r="17" spans="1:29" ht="15">
      <c r="A17" s="367"/>
      <c r="B17" s="390" t="s">
        <v>1258</v>
      </c>
      <c r="C17" s="1754">
        <f>估价对象房地状况!C6</f>
        <v>0</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435"/>
      <c r="Q17" s="1263" t="str">
        <f>B17</f>
        <v>交通便捷度</v>
      </c>
      <c r="R17" s="667" t="s">
        <v>18</v>
      </c>
      <c r="S17" s="668">
        <f>F17</f>
        <v>100</v>
      </c>
      <c r="T17" s="667" t="s">
        <v>18</v>
      </c>
      <c r="U17" s="668">
        <f>H17</f>
        <v>100</v>
      </c>
      <c r="V17" s="667" t="s">
        <v>18</v>
      </c>
      <c r="W17" s="668">
        <f>J17</f>
        <v>100</v>
      </c>
      <c r="X17" s="1265"/>
      <c r="Y17" s="3359"/>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435"/>
      <c r="Q18" s="1263"/>
      <c r="R18" s="667"/>
      <c r="S18" s="668"/>
      <c r="T18" s="667"/>
      <c r="U18" s="668"/>
      <c r="V18" s="667"/>
      <c r="W18" s="668"/>
      <c r="X18" s="1265"/>
      <c r="Y18" s="3359"/>
      <c r="Z18" s="1264"/>
      <c r="AA18" s="1264">
        <v>1</v>
      </c>
      <c r="AB18" s="1264">
        <v>1</v>
      </c>
      <c r="AC18" s="1264">
        <v>1</v>
      </c>
    </row>
    <row r="19" spans="1:29" ht="15">
      <c r="A19" s="367"/>
      <c r="B19" s="390" t="s">
        <v>1257</v>
      </c>
      <c r="C19" s="1754">
        <f>估价对象房地状况!C7</f>
        <v>0</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435"/>
      <c r="Q19" s="1263" t="str">
        <f>B19</f>
        <v>公共配套设施</v>
      </c>
      <c r="R19" s="667" t="s">
        <v>18</v>
      </c>
      <c r="S19" s="668">
        <f>F19</f>
        <v>100</v>
      </c>
      <c r="T19" s="667" t="s">
        <v>18</v>
      </c>
      <c r="U19" s="668">
        <f>H19</f>
        <v>100</v>
      </c>
      <c r="V19" s="667" t="s">
        <v>18</v>
      </c>
      <c r="W19" s="668">
        <f>J19</f>
        <v>100</v>
      </c>
      <c r="X19" s="1265"/>
      <c r="Y19" s="3359"/>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435"/>
      <c r="Q20" s="1263"/>
      <c r="R20" s="667"/>
      <c r="S20" s="668"/>
      <c r="T20" s="667"/>
      <c r="U20" s="668"/>
      <c r="V20" s="667"/>
      <c r="W20" s="668"/>
      <c r="X20" s="1265"/>
      <c r="Y20" s="3359"/>
      <c r="Z20" s="1264"/>
      <c r="AA20" s="1264">
        <v>1</v>
      </c>
      <c r="AB20" s="1264">
        <v>1</v>
      </c>
      <c r="AC20" s="1264">
        <v>1</v>
      </c>
    </row>
    <row r="21" spans="1:29" ht="15">
      <c r="A21" s="367"/>
      <c r="B21" s="586" t="s">
        <v>1259</v>
      </c>
      <c r="C21" s="1754">
        <f>估价对象房地状况!C8</f>
        <v>0</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435"/>
      <c r="Q21" s="1263" t="str">
        <f>B21</f>
        <v>基础设施水平</v>
      </c>
      <c r="R21" s="667" t="s">
        <v>14</v>
      </c>
      <c r="S21" s="668">
        <f>F21</f>
        <v>100</v>
      </c>
      <c r="T21" s="667" t="s">
        <v>14</v>
      </c>
      <c r="U21" s="668">
        <f>H21</f>
        <v>100</v>
      </c>
      <c r="V21" s="667" t="s">
        <v>14</v>
      </c>
      <c r="W21" s="668">
        <f>J21</f>
        <v>100</v>
      </c>
      <c r="X21" s="1265"/>
      <c r="Y21" s="3359"/>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435"/>
      <c r="Q22" s="1263"/>
      <c r="R22" s="667"/>
      <c r="S22" s="668"/>
      <c r="T22" s="667"/>
      <c r="U22" s="668"/>
      <c r="V22" s="667"/>
      <c r="W22" s="668"/>
      <c r="X22" s="1265"/>
      <c r="Y22" s="3359"/>
      <c r="Z22" s="1264"/>
      <c r="AA22" s="1264">
        <v>1</v>
      </c>
      <c r="AB22" s="1264">
        <v>1</v>
      </c>
      <c r="AC22" s="1264">
        <v>1</v>
      </c>
    </row>
    <row r="23" spans="1:29" ht="15">
      <c r="A23" s="367"/>
      <c r="B23" s="390" t="s">
        <v>1260</v>
      </c>
      <c r="C23" s="1754">
        <f>估价对象房地状况!C9</f>
        <v>0</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435"/>
      <c r="Q23" s="1263" t="str">
        <f>B23</f>
        <v>自然及人文环境</v>
      </c>
      <c r="R23" s="667" t="s">
        <v>18</v>
      </c>
      <c r="S23" s="668">
        <f>F23</f>
        <v>100</v>
      </c>
      <c r="T23" s="667" t="s">
        <v>18</v>
      </c>
      <c r="U23" s="668">
        <f>H23</f>
        <v>100</v>
      </c>
      <c r="V23" s="667" t="s">
        <v>18</v>
      </c>
      <c r="W23" s="668">
        <f>J23</f>
        <v>100</v>
      </c>
      <c r="X23" s="1265"/>
      <c r="Y23" s="3359"/>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435"/>
      <c r="Q24" s="1263"/>
      <c r="R24" s="667"/>
      <c r="S24" s="668"/>
      <c r="T24" s="667"/>
      <c r="U24" s="668"/>
      <c r="V24" s="667"/>
      <c r="W24" s="668"/>
      <c r="X24" s="1265"/>
      <c r="Y24" s="3359"/>
      <c r="Z24" s="1264"/>
      <c r="AA24" s="1264">
        <v>1</v>
      </c>
      <c r="AB24" s="1264">
        <v>1</v>
      </c>
      <c r="AC24" s="1264">
        <v>1</v>
      </c>
    </row>
    <row r="25" spans="1:29" ht="15">
      <c r="A25" s="367"/>
      <c r="B25" s="364" t="s">
        <v>1691</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435"/>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59"/>
      <c r="Z25" s="1264" t="str">
        <f>Q25</f>
        <v>楼层-1</v>
      </c>
      <c r="AA25" s="1264">
        <f t="shared" ref="AA25:AA46" si="15">D25/F25</f>
        <v>1</v>
      </c>
      <c r="AB25" s="1264">
        <f t="shared" ref="AB25:AB46" si="16">D25/H25</f>
        <v>1</v>
      </c>
      <c r="AC25" s="1264">
        <f t="shared" ref="AC25:AC46" si="17">D25/J25</f>
        <v>1</v>
      </c>
    </row>
    <row r="26" spans="1:29" ht="15">
      <c r="A26" s="367"/>
      <c r="B26" s="364" t="s">
        <v>1692</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435"/>
      <c r="Q26" s="1263" t="str">
        <f t="shared" si="11"/>
        <v>朝向</v>
      </c>
      <c r="R26" s="667" t="s">
        <v>18</v>
      </c>
      <c r="S26" s="668">
        <f t="shared" si="12"/>
        <v>100</v>
      </c>
      <c r="T26" s="667" t="s">
        <v>18</v>
      </c>
      <c r="U26" s="668">
        <f t="shared" si="13"/>
        <v>100</v>
      </c>
      <c r="V26" s="667" t="s">
        <v>18</v>
      </c>
      <c r="W26" s="668">
        <f t="shared" si="14"/>
        <v>100</v>
      </c>
      <c r="X26" s="1265"/>
      <c r="Y26" s="3359"/>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435"/>
      <c r="Q27" s="530">
        <f t="shared" si="11"/>
        <v>111</v>
      </c>
      <c r="R27" s="664" t="s">
        <v>18</v>
      </c>
      <c r="S27" s="665">
        <f t="shared" si="12"/>
        <v>100</v>
      </c>
      <c r="T27" s="664" t="s">
        <v>18</v>
      </c>
      <c r="U27" s="665">
        <f t="shared" si="13"/>
        <v>100</v>
      </c>
      <c r="V27" s="664" t="s">
        <v>18</v>
      </c>
      <c r="W27" s="665">
        <f t="shared" si="14"/>
        <v>100</v>
      </c>
      <c r="X27" s="666"/>
      <c r="Y27" s="3359"/>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435"/>
      <c r="Q28" s="1263">
        <f t="shared" si="11"/>
        <v>111</v>
      </c>
      <c r="R28" s="667" t="s">
        <v>18</v>
      </c>
      <c r="S28" s="668">
        <f t="shared" si="12"/>
        <v>100</v>
      </c>
      <c r="T28" s="667" t="s">
        <v>18</v>
      </c>
      <c r="U28" s="668">
        <f t="shared" si="13"/>
        <v>100</v>
      </c>
      <c r="V28" s="667" t="s">
        <v>18</v>
      </c>
      <c r="W28" s="668">
        <f t="shared" si="14"/>
        <v>100</v>
      </c>
      <c r="X28" s="1265"/>
      <c r="Y28" s="3359"/>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435"/>
      <c r="Q29" s="1263">
        <f t="shared" si="11"/>
        <v>111</v>
      </c>
      <c r="R29" s="667" t="s">
        <v>18</v>
      </c>
      <c r="S29" s="668">
        <f t="shared" si="12"/>
        <v>100</v>
      </c>
      <c r="T29" s="667" t="s">
        <v>18</v>
      </c>
      <c r="U29" s="668">
        <f t="shared" si="13"/>
        <v>100</v>
      </c>
      <c r="V29" s="667" t="s">
        <v>18</v>
      </c>
      <c r="W29" s="668">
        <f t="shared" si="14"/>
        <v>100</v>
      </c>
      <c r="X29" s="1265"/>
      <c r="Y29" s="3359"/>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435"/>
      <c r="Q30" s="1263">
        <f t="shared" si="11"/>
        <v>111</v>
      </c>
      <c r="R30" s="667" t="s">
        <v>18</v>
      </c>
      <c r="S30" s="668">
        <f t="shared" si="12"/>
        <v>100</v>
      </c>
      <c r="T30" s="667" t="s">
        <v>18</v>
      </c>
      <c r="U30" s="668">
        <f t="shared" si="13"/>
        <v>100</v>
      </c>
      <c r="V30" s="667" t="s">
        <v>18</v>
      </c>
      <c r="W30" s="668">
        <f t="shared" si="14"/>
        <v>100</v>
      </c>
      <c r="X30" s="1265"/>
      <c r="Y30" s="3359"/>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435"/>
      <c r="Q31" s="1263">
        <f t="shared" si="11"/>
        <v>111</v>
      </c>
      <c r="R31" s="667" t="s">
        <v>18</v>
      </c>
      <c r="S31" s="668">
        <f t="shared" si="12"/>
        <v>100</v>
      </c>
      <c r="T31" s="667" t="s">
        <v>18</v>
      </c>
      <c r="U31" s="668">
        <f t="shared" si="13"/>
        <v>100</v>
      </c>
      <c r="V31" s="667" t="s">
        <v>18</v>
      </c>
      <c r="W31" s="668">
        <f t="shared" si="14"/>
        <v>100</v>
      </c>
      <c r="X31" s="1265"/>
      <c r="Y31" s="3359"/>
      <c r="Z31" s="1264">
        <f t="shared" si="18"/>
        <v>111</v>
      </c>
      <c r="AA31" s="1264">
        <f t="shared" si="15"/>
        <v>1</v>
      </c>
      <c r="AB31" s="1264">
        <f t="shared" si="16"/>
        <v>1</v>
      </c>
      <c r="AC31" s="1264">
        <f t="shared" si="17"/>
        <v>1</v>
      </c>
    </row>
    <row r="32" spans="1:29" ht="15">
      <c r="A32" s="379" t="s">
        <v>1693</v>
      </c>
      <c r="B32" s="60" t="s">
        <v>1694</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430" t="s">
        <v>1695</v>
      </c>
      <c r="Q32" s="1263" t="str">
        <f t="shared" si="11"/>
        <v>建筑类型</v>
      </c>
      <c r="R32" s="667" t="s">
        <v>18</v>
      </c>
      <c r="S32" s="668">
        <f t="shared" si="12"/>
        <v>100</v>
      </c>
      <c r="T32" s="667" t="s">
        <v>18</v>
      </c>
      <c r="U32" s="668">
        <f t="shared" si="13"/>
        <v>100</v>
      </c>
      <c r="V32" s="667" t="s">
        <v>18</v>
      </c>
      <c r="W32" s="668">
        <f t="shared" si="14"/>
        <v>100</v>
      </c>
      <c r="X32" s="1265"/>
      <c r="Y32" s="3360" t="s">
        <v>1695</v>
      </c>
      <c r="Z32" s="1264" t="str">
        <f t="shared" si="18"/>
        <v>建筑类型</v>
      </c>
      <c r="AA32" s="1264">
        <f t="shared" si="15"/>
        <v>1</v>
      </c>
      <c r="AB32" s="1264">
        <f t="shared" si="16"/>
        <v>1</v>
      </c>
      <c r="AC32" s="1264">
        <f t="shared" si="17"/>
        <v>1</v>
      </c>
    </row>
    <row r="33" spans="1:29" s="408" customFormat="1" ht="15">
      <c r="A33" s="406"/>
      <c r="B33" s="364" t="s">
        <v>1696</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431"/>
      <c r="Q33" s="531" t="str">
        <f t="shared" si="11"/>
        <v>项目建筑规模</v>
      </c>
      <c r="R33" s="669" t="s">
        <v>18</v>
      </c>
      <c r="S33" s="670" t="e">
        <f t="shared" si="12"/>
        <v>#N/A</v>
      </c>
      <c r="T33" s="669" t="s">
        <v>18</v>
      </c>
      <c r="U33" s="670" t="e">
        <f t="shared" si="13"/>
        <v>#N/A</v>
      </c>
      <c r="V33" s="669" t="s">
        <v>18</v>
      </c>
      <c r="W33" s="670" t="e">
        <f t="shared" si="14"/>
        <v>#N/A</v>
      </c>
      <c r="X33" s="671"/>
      <c r="Y33" s="3360"/>
      <c r="Z33" s="672" t="str">
        <f t="shared" si="18"/>
        <v>项目建筑规模</v>
      </c>
      <c r="AA33" s="1264" t="e">
        <f t="shared" si="15"/>
        <v>#N/A</v>
      </c>
      <c r="AB33" s="1264" t="e">
        <f t="shared" si="16"/>
        <v>#N/A</v>
      </c>
      <c r="AC33" s="1264" t="e">
        <f t="shared" si="17"/>
        <v>#N/A</v>
      </c>
    </row>
    <row r="34" spans="1:29" ht="15">
      <c r="A34" s="409"/>
      <c r="B34" s="364" t="s">
        <v>1697</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431"/>
      <c r="Q34" s="1263" t="str">
        <f t="shared" si="11"/>
        <v>建筑结构</v>
      </c>
      <c r="R34" s="667" t="s">
        <v>18</v>
      </c>
      <c r="S34" s="668">
        <f t="shared" si="12"/>
        <v>100</v>
      </c>
      <c r="T34" s="667" t="s">
        <v>18</v>
      </c>
      <c r="U34" s="668">
        <f t="shared" si="13"/>
        <v>100</v>
      </c>
      <c r="V34" s="667" t="s">
        <v>18</v>
      </c>
      <c r="W34" s="668">
        <f t="shared" si="14"/>
        <v>100</v>
      </c>
      <c r="X34" s="1265"/>
      <c r="Y34" s="3360"/>
      <c r="Z34" s="1264" t="str">
        <f t="shared" si="18"/>
        <v>建筑结构</v>
      </c>
      <c r="AA34" s="1264">
        <f t="shared" si="15"/>
        <v>1</v>
      </c>
      <c r="AB34" s="1264">
        <f t="shared" si="16"/>
        <v>1</v>
      </c>
      <c r="AC34" s="1264">
        <f t="shared" si="17"/>
        <v>1</v>
      </c>
    </row>
    <row r="35" spans="1:29" ht="15">
      <c r="A35" s="409"/>
      <c r="B35" s="364" t="s">
        <v>1698</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431"/>
      <c r="Q35" s="1263" t="str">
        <f t="shared" si="11"/>
        <v>建筑品质</v>
      </c>
      <c r="R35" s="667" t="s">
        <v>18</v>
      </c>
      <c r="S35" s="668">
        <f t="shared" si="12"/>
        <v>100</v>
      </c>
      <c r="T35" s="667" t="s">
        <v>18</v>
      </c>
      <c r="U35" s="668">
        <f t="shared" si="13"/>
        <v>100</v>
      </c>
      <c r="V35" s="667" t="s">
        <v>18</v>
      </c>
      <c r="W35" s="668">
        <f t="shared" si="14"/>
        <v>100</v>
      </c>
      <c r="X35" s="1265"/>
      <c r="Y35" s="3360"/>
      <c r="Z35" s="1264" t="str">
        <f t="shared" si="18"/>
        <v>建筑品质</v>
      </c>
      <c r="AA35" s="1264">
        <f t="shared" si="15"/>
        <v>1</v>
      </c>
      <c r="AB35" s="1264">
        <f t="shared" si="16"/>
        <v>1</v>
      </c>
      <c r="AC35" s="1264">
        <f t="shared" si="17"/>
        <v>1</v>
      </c>
    </row>
    <row r="36" spans="1:29" ht="15">
      <c r="A36" s="409"/>
      <c r="B36" s="364" t="s">
        <v>1699</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431"/>
      <c r="Q36" s="1263" t="str">
        <f t="shared" si="11"/>
        <v>公共部分装修</v>
      </c>
      <c r="R36" s="667" t="s">
        <v>18</v>
      </c>
      <c r="S36" s="668">
        <f t="shared" si="12"/>
        <v>100</v>
      </c>
      <c r="T36" s="667" t="s">
        <v>18</v>
      </c>
      <c r="U36" s="668">
        <f t="shared" si="13"/>
        <v>100</v>
      </c>
      <c r="V36" s="667" t="s">
        <v>18</v>
      </c>
      <c r="W36" s="668">
        <f t="shared" si="14"/>
        <v>100</v>
      </c>
      <c r="X36" s="1265"/>
      <c r="Y36" s="3360"/>
      <c r="Z36" s="1264" t="str">
        <f t="shared" si="18"/>
        <v>公共部分装修</v>
      </c>
      <c r="AA36" s="1264">
        <f t="shared" si="15"/>
        <v>1</v>
      </c>
      <c r="AB36" s="1264">
        <f t="shared" si="16"/>
        <v>1</v>
      </c>
      <c r="AC36" s="1264">
        <f t="shared" si="17"/>
        <v>1</v>
      </c>
    </row>
    <row r="37" spans="1:29" s="102" customFormat="1" ht="15">
      <c r="A37" s="410"/>
      <c r="B37" s="364" t="s">
        <v>1700</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431"/>
      <c r="Q37" s="530" t="str">
        <f t="shared" si="11"/>
        <v>成新度</v>
      </c>
      <c r="R37" s="664" t="s">
        <v>18</v>
      </c>
      <c r="S37" s="665" t="e">
        <f t="shared" si="12"/>
        <v>#N/A</v>
      </c>
      <c r="T37" s="664" t="s">
        <v>18</v>
      </c>
      <c r="U37" s="665" t="e">
        <f t="shared" si="13"/>
        <v>#N/A</v>
      </c>
      <c r="V37" s="664" t="s">
        <v>18</v>
      </c>
      <c r="W37" s="665" t="e">
        <f t="shared" si="14"/>
        <v>#N/A</v>
      </c>
      <c r="X37" s="666"/>
      <c r="Y37" s="3360"/>
      <c r="Z37" s="50" t="str">
        <f t="shared" si="18"/>
        <v>成新度</v>
      </c>
      <c r="AA37" s="50" t="e">
        <f t="shared" si="15"/>
        <v>#N/A</v>
      </c>
      <c r="AB37" s="50" t="e">
        <f t="shared" si="16"/>
        <v>#N/A</v>
      </c>
      <c r="AC37" s="50" t="e">
        <f t="shared" si="17"/>
        <v>#N/A</v>
      </c>
    </row>
    <row r="38" spans="1:29" ht="15">
      <c r="A38" s="409"/>
      <c r="B38" s="364" t="s">
        <v>1701</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431" t="s">
        <v>1695</v>
      </c>
      <c r="Q38" s="1263" t="str">
        <f t="shared" si="11"/>
        <v>物业管理</v>
      </c>
      <c r="R38" s="667" t="s">
        <v>18</v>
      </c>
      <c r="S38" s="668">
        <f t="shared" si="12"/>
        <v>100</v>
      </c>
      <c r="T38" s="667" t="s">
        <v>18</v>
      </c>
      <c r="U38" s="668">
        <f t="shared" si="13"/>
        <v>100</v>
      </c>
      <c r="V38" s="667" t="s">
        <v>18</v>
      </c>
      <c r="W38" s="668">
        <f t="shared" si="14"/>
        <v>100</v>
      </c>
      <c r="X38" s="1265"/>
      <c r="Y38" s="3360" t="s">
        <v>1695</v>
      </c>
      <c r="Z38" s="1264" t="str">
        <f t="shared" si="18"/>
        <v>物业管理</v>
      </c>
      <c r="AA38" s="1264">
        <f t="shared" si="15"/>
        <v>1</v>
      </c>
      <c r="AB38" s="1264">
        <f t="shared" si="16"/>
        <v>1</v>
      </c>
      <c r="AC38" s="1264">
        <f t="shared" si="17"/>
        <v>1</v>
      </c>
    </row>
    <row r="39" spans="1:29" ht="15">
      <c r="A39" s="409"/>
      <c r="B39" s="364" t="s">
        <v>1702</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431"/>
      <c r="Q39" s="1263" t="str">
        <f t="shared" si="11"/>
        <v>市政基础设施</v>
      </c>
      <c r="R39" s="667" t="s">
        <v>18</v>
      </c>
      <c r="S39" s="668">
        <f t="shared" si="12"/>
        <v>100</v>
      </c>
      <c r="T39" s="667" t="s">
        <v>18</v>
      </c>
      <c r="U39" s="668">
        <f t="shared" si="13"/>
        <v>100</v>
      </c>
      <c r="V39" s="667" t="s">
        <v>18</v>
      </c>
      <c r="W39" s="668">
        <f t="shared" si="14"/>
        <v>100</v>
      </c>
      <c r="X39" s="1265"/>
      <c r="Y39" s="3360"/>
      <c r="Z39" s="1264" t="str">
        <f t="shared" si="18"/>
        <v>市政基础设施</v>
      </c>
      <c r="AA39" s="1264">
        <f t="shared" si="15"/>
        <v>1</v>
      </c>
      <c r="AB39" s="1264">
        <f t="shared" si="16"/>
        <v>1</v>
      </c>
      <c r="AC39" s="1264">
        <f t="shared" si="17"/>
        <v>1</v>
      </c>
    </row>
    <row r="40" spans="1:29" ht="15">
      <c r="A40" s="409"/>
      <c r="B40" s="364" t="s">
        <v>1703</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431"/>
      <c r="Q40" s="1263" t="str">
        <f t="shared" si="11"/>
        <v>房型</v>
      </c>
      <c r="R40" s="667" t="s">
        <v>18</v>
      </c>
      <c r="S40" s="668">
        <f t="shared" si="12"/>
        <v>100</v>
      </c>
      <c r="T40" s="667" t="s">
        <v>18</v>
      </c>
      <c r="U40" s="668">
        <f t="shared" si="13"/>
        <v>100</v>
      </c>
      <c r="V40" s="667" t="s">
        <v>18</v>
      </c>
      <c r="W40" s="668">
        <f t="shared" si="14"/>
        <v>100</v>
      </c>
      <c r="X40" s="1265"/>
      <c r="Y40" s="3360"/>
      <c r="Z40" s="1264" t="str">
        <f t="shared" si="18"/>
        <v>房型</v>
      </c>
      <c r="AA40" s="1264">
        <f t="shared" si="15"/>
        <v>1</v>
      </c>
      <c r="AB40" s="1264">
        <f t="shared" si="16"/>
        <v>1</v>
      </c>
      <c r="AC40" s="1264">
        <f t="shared" si="17"/>
        <v>1</v>
      </c>
    </row>
    <row r="41" spans="1:29" s="408" customFormat="1" ht="28.5">
      <c r="A41" s="406"/>
      <c r="B41" s="364" t="s">
        <v>1704</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431"/>
      <c r="Q41" s="531" t="str">
        <f t="shared" si="11"/>
        <v>单套/主力户型建筑面积</v>
      </c>
      <c r="R41" s="669" t="s">
        <v>18</v>
      </c>
      <c r="S41" s="670">
        <f t="shared" si="12"/>
        <v>100</v>
      </c>
      <c r="T41" s="669" t="s">
        <v>18</v>
      </c>
      <c r="U41" s="670">
        <f t="shared" si="13"/>
        <v>100</v>
      </c>
      <c r="V41" s="669" t="s">
        <v>18</v>
      </c>
      <c r="W41" s="670">
        <f t="shared" si="14"/>
        <v>100</v>
      </c>
      <c r="X41" s="671"/>
      <c r="Y41" s="3360"/>
      <c r="Z41" s="672" t="str">
        <f t="shared" si="18"/>
        <v>单套/主力户型建筑面积</v>
      </c>
      <c r="AA41" s="1264">
        <f t="shared" si="15"/>
        <v>1</v>
      </c>
      <c r="AB41" s="1264">
        <f t="shared" si="16"/>
        <v>1</v>
      </c>
      <c r="AC41" s="1264">
        <f t="shared" si="17"/>
        <v>1</v>
      </c>
    </row>
    <row r="42" spans="1:29" ht="15">
      <c r="A42" s="409"/>
      <c r="B42" s="364" t="s">
        <v>1705</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431"/>
      <c r="Q42" s="1263" t="str">
        <f t="shared" si="11"/>
        <v>内部装修</v>
      </c>
      <c r="R42" s="667" t="s">
        <v>18</v>
      </c>
      <c r="S42" s="668">
        <f t="shared" si="12"/>
        <v>100</v>
      </c>
      <c r="T42" s="667" t="s">
        <v>18</v>
      </c>
      <c r="U42" s="668">
        <f t="shared" si="13"/>
        <v>100</v>
      </c>
      <c r="V42" s="667" t="s">
        <v>18</v>
      </c>
      <c r="W42" s="668">
        <f t="shared" si="14"/>
        <v>100</v>
      </c>
      <c r="X42" s="1265"/>
      <c r="Y42" s="3360"/>
      <c r="Z42" s="1264" t="str">
        <f t="shared" si="18"/>
        <v>内部装修</v>
      </c>
      <c r="AA42" s="1264">
        <f t="shared" si="15"/>
        <v>1</v>
      </c>
      <c r="AB42" s="1264">
        <f t="shared" si="16"/>
        <v>1</v>
      </c>
      <c r="AC42" s="1264">
        <f t="shared" si="17"/>
        <v>1</v>
      </c>
    </row>
    <row r="43" spans="1:29" ht="15">
      <c r="A43" s="409"/>
      <c r="B43" s="364" t="s">
        <v>1706</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431"/>
      <c r="Q43" s="1263" t="str">
        <f t="shared" si="11"/>
        <v>内部装修维护情况</v>
      </c>
      <c r="R43" s="667" t="s">
        <v>18</v>
      </c>
      <c r="S43" s="668">
        <f t="shared" si="12"/>
        <v>100</v>
      </c>
      <c r="T43" s="667" t="s">
        <v>18</v>
      </c>
      <c r="U43" s="668">
        <f t="shared" si="13"/>
        <v>100</v>
      </c>
      <c r="V43" s="667" t="s">
        <v>18</v>
      </c>
      <c r="W43" s="668">
        <f t="shared" si="14"/>
        <v>100</v>
      </c>
      <c r="X43" s="1265"/>
      <c r="Y43" s="3360"/>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431"/>
      <c r="Q44" s="530">
        <f t="shared" si="11"/>
        <v>111</v>
      </c>
      <c r="R44" s="664" t="s">
        <v>18</v>
      </c>
      <c r="S44" s="665">
        <f t="shared" si="12"/>
        <v>100</v>
      </c>
      <c r="T44" s="664" t="s">
        <v>18</v>
      </c>
      <c r="U44" s="665">
        <f t="shared" si="13"/>
        <v>100</v>
      </c>
      <c r="V44" s="664" t="s">
        <v>18</v>
      </c>
      <c r="W44" s="665">
        <f t="shared" si="14"/>
        <v>100</v>
      </c>
      <c r="X44" s="666"/>
      <c r="Y44" s="3360"/>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431"/>
      <c r="Q45" s="1263">
        <f t="shared" si="11"/>
        <v>111</v>
      </c>
      <c r="R45" s="667" t="s">
        <v>18</v>
      </c>
      <c r="S45" s="668">
        <f t="shared" si="12"/>
        <v>100</v>
      </c>
      <c r="T45" s="667" t="s">
        <v>18</v>
      </c>
      <c r="U45" s="668">
        <f t="shared" si="13"/>
        <v>100</v>
      </c>
      <c r="V45" s="667" t="s">
        <v>18</v>
      </c>
      <c r="W45" s="668">
        <f t="shared" si="14"/>
        <v>100</v>
      </c>
      <c r="X45" s="1265"/>
      <c r="Y45" s="3360"/>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432"/>
      <c r="Q46" s="1263">
        <f t="shared" si="11"/>
        <v>111</v>
      </c>
      <c r="R46" s="667" t="s">
        <v>17</v>
      </c>
      <c r="S46" s="668">
        <f t="shared" si="12"/>
        <v>100</v>
      </c>
      <c r="T46" s="667" t="s">
        <v>17</v>
      </c>
      <c r="U46" s="668">
        <f t="shared" si="13"/>
        <v>100</v>
      </c>
      <c r="V46" s="667" t="s">
        <v>17</v>
      </c>
      <c r="W46" s="668">
        <f t="shared" si="14"/>
        <v>100</v>
      </c>
      <c r="X46" s="1265"/>
      <c r="Y46" s="3433"/>
      <c r="Z46" s="1264">
        <f t="shared" si="18"/>
        <v>111</v>
      </c>
      <c r="AA46" s="1264">
        <f t="shared" si="15"/>
        <v>1</v>
      </c>
      <c r="AB46" s="1264">
        <f t="shared" si="16"/>
        <v>1</v>
      </c>
      <c r="AC46" s="1264">
        <f t="shared" si="17"/>
        <v>1</v>
      </c>
    </row>
    <row r="47" spans="1:29" ht="15">
      <c r="A47" s="416" t="s">
        <v>1707</v>
      </c>
      <c r="B47" s="417"/>
      <c r="C47" s="1081" t="s">
        <v>16</v>
      </c>
      <c r="D47" s="418"/>
      <c r="E47" s="419"/>
      <c r="F47" s="420"/>
      <c r="G47" s="421"/>
      <c r="H47" s="422"/>
      <c r="I47" s="419"/>
      <c r="J47" s="422"/>
      <c r="K47" s="1767"/>
      <c r="L47" s="2495"/>
      <c r="M47" s="2488"/>
      <c r="N47" s="2488"/>
      <c r="O47" s="2488"/>
      <c r="P47" s="3341" t="str">
        <f>A47</f>
        <v>成交单价（元/平方米）</v>
      </c>
      <c r="Q47" s="3341"/>
      <c r="R47" s="3357">
        <f>E47</f>
        <v>0</v>
      </c>
      <c r="S47" s="3357"/>
      <c r="T47" s="3357">
        <f>G47</f>
        <v>0</v>
      </c>
      <c r="U47" s="3357"/>
      <c r="V47" s="3357">
        <f>I47</f>
        <v>0</v>
      </c>
      <c r="W47" s="3357"/>
      <c r="X47" s="385"/>
      <c r="Y47" s="673"/>
      <c r="Z47" s="385"/>
      <c r="AA47" s="385"/>
      <c r="AB47" s="385"/>
      <c r="AC47" s="385"/>
    </row>
    <row r="48" spans="1:29" ht="15.75" thickBot="1">
      <c r="A48" s="423" t="s">
        <v>1708</v>
      </c>
      <c r="B48" s="424"/>
      <c r="C48" s="1082" t="e">
        <f>R49</f>
        <v>#DIV/0!</v>
      </c>
      <c r="D48" s="2141" t="s">
        <v>2136</v>
      </c>
      <c r="E48" s="1083" t="e">
        <f>R48</f>
        <v>#DIV/0!</v>
      </c>
      <c r="F48" s="2142"/>
      <c r="G48" s="1082" t="e">
        <f>T48</f>
        <v>#DIV/0!</v>
      </c>
      <c r="H48" s="2142"/>
      <c r="I48" s="1083" t="e">
        <f>V48</f>
        <v>#DIV/0!</v>
      </c>
      <c r="J48" s="2142"/>
      <c r="K48" s="2143">
        <f>F48+H48+J48</f>
        <v>0</v>
      </c>
      <c r="L48" s="2495"/>
      <c r="M48" s="2488"/>
      <c r="N48" s="2488"/>
      <c r="O48" s="2488"/>
      <c r="P48" s="3341" t="str">
        <f>A48</f>
        <v>比较价值（元/平方米）</v>
      </c>
      <c r="Q48" s="3341"/>
      <c r="R48" s="3357" t="e">
        <f>IF(F1="售价",ROUND(PRODUCT(R47,AA7:AA46),0),ROUND(PRODUCT(R47,AA7:AA46),1))</f>
        <v>#DIV/0!</v>
      </c>
      <c r="S48" s="3357"/>
      <c r="T48" s="3357" t="e">
        <f>IF(F1="售价",ROUND(PRODUCT(T47,AB7:AB46),0),ROUND(PRODUCT(T47,AB7:AB46),1))</f>
        <v>#DIV/0!</v>
      </c>
      <c r="U48" s="3357"/>
      <c r="V48" s="3357" t="e">
        <f>IF(F1="售价",ROUND(PRODUCT(V47,AC7:AC46),0),ROUND(PRODUCT(V47,AC7:AC46),1))</f>
        <v>#DIV/0!</v>
      </c>
      <c r="W48" s="3357"/>
      <c r="X48" s="385"/>
      <c r="Y48" s="385"/>
      <c r="Z48" s="385"/>
      <c r="AA48" s="385"/>
      <c r="AB48" s="385"/>
      <c r="AC48" s="385"/>
    </row>
    <row r="49" spans="1:29" ht="15.75" thickBot="1">
      <c r="A49" s="427" t="s">
        <v>1709</v>
      </c>
      <c r="B49" s="428"/>
      <c r="C49" s="1084" t="e">
        <f>R49</f>
        <v>#DIV/0!</v>
      </c>
      <c r="D49" s="351"/>
      <c r="E49" s="351"/>
      <c r="F49" s="351"/>
      <c r="G49" s="351"/>
      <c r="H49" s="351"/>
      <c r="I49" s="351"/>
      <c r="J49" s="351"/>
      <c r="K49" s="1768"/>
      <c r="L49" s="2495"/>
      <c r="M49" s="2488"/>
      <c r="N49" s="2488"/>
      <c r="O49" s="2488"/>
      <c r="P49" s="3376" t="str">
        <f>A49</f>
        <v>估价对象XX用房的比较价值（楼面单价，元/平方米）</v>
      </c>
      <c r="Q49" s="3377"/>
      <c r="R49" s="3429" t="e">
        <f>IF(F1="售价",ROUND(IF(D48="简单平均",AVERAGE(R48:V48),R48*F48+T48*H48+V48*J48),0),ROUND(IF(D48="简单平均",AVERAGE(R48:V48),R48*F48+T48*H48+V48*J48),1))</f>
        <v>#DIV/0!</v>
      </c>
      <c r="S49" s="3429"/>
      <c r="T49" s="3429"/>
      <c r="U49" s="3429"/>
      <c r="V49" s="3429"/>
      <c r="W49" s="3429"/>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1710</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1711</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1712</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1713</v>
      </c>
      <c r="B57" s="385"/>
      <c r="C57" s="659"/>
      <c r="D57" s="659"/>
      <c r="E57" s="659"/>
      <c r="F57" s="660"/>
      <c r="G57" s="660"/>
      <c r="H57" s="659"/>
      <c r="I57" s="659"/>
      <c r="J57" s="659"/>
      <c r="K57" s="887"/>
      <c r="L57" s="888"/>
      <c r="M57" s="886"/>
      <c r="N57" s="886"/>
      <c r="O57" s="886"/>
      <c r="P57" s="1771"/>
      <c r="Q57" s="439"/>
    </row>
    <row r="58" spans="1:29" s="442" customFormat="1" ht="15">
      <c r="A58" s="440" t="s">
        <v>1714</v>
      </c>
      <c r="B58" s="441"/>
      <c r="C58" s="1105" t="str">
        <f>YEAR(C7)&amp;"-"&amp;MONTH(C7)</f>
        <v>2024-12</v>
      </c>
      <c r="D58" s="1104">
        <f>EDATE(C58,-1)</f>
        <v>45597</v>
      </c>
      <c r="E58" s="1104">
        <f>EDATE(D58,-1)</f>
        <v>45566</v>
      </c>
      <c r="F58" s="1104">
        <f t="shared" ref="F58:O58" si="19">EDATE(E58,-1)</f>
        <v>45536</v>
      </c>
      <c r="G58" s="1104">
        <f t="shared" si="19"/>
        <v>45505</v>
      </c>
      <c r="H58" s="1104">
        <f t="shared" si="19"/>
        <v>45474</v>
      </c>
      <c r="I58" s="1104">
        <f t="shared" si="19"/>
        <v>45444</v>
      </c>
      <c r="J58" s="1104">
        <f t="shared" si="19"/>
        <v>45413</v>
      </c>
      <c r="K58" s="1104">
        <f t="shared" si="19"/>
        <v>45383</v>
      </c>
      <c r="L58" s="1104">
        <f t="shared" si="19"/>
        <v>45352</v>
      </c>
      <c r="M58" s="1104">
        <f t="shared" si="19"/>
        <v>45323</v>
      </c>
      <c r="N58" s="1104">
        <f t="shared" si="19"/>
        <v>45292</v>
      </c>
      <c r="O58" s="1104">
        <f t="shared" si="19"/>
        <v>45261</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1715</v>
      </c>
      <c r="B60" s="450"/>
      <c r="C60" s="451"/>
      <c r="D60" s="452"/>
      <c r="E60" s="452"/>
      <c r="F60" s="452"/>
      <c r="G60" s="452"/>
      <c r="H60" s="452"/>
      <c r="I60" s="452"/>
      <c r="J60" s="452"/>
      <c r="K60" s="452"/>
      <c r="L60" s="452"/>
      <c r="M60" s="453"/>
      <c r="N60" s="452"/>
      <c r="O60" s="453"/>
      <c r="P60" s="1773"/>
      <c r="Q60" s="439"/>
    </row>
    <row r="61" spans="1:29" s="102" customFormat="1" ht="15">
      <c r="A61" s="455" t="s">
        <v>1716</v>
      </c>
      <c r="B61" s="444"/>
      <c r="C61" s="456" t="s">
        <v>1717</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1718</v>
      </c>
      <c r="B63" s="460" t="s">
        <v>1684</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1687</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1688</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1689</v>
      </c>
      <c r="B76" s="460" t="s">
        <v>1719</v>
      </c>
      <c r="C76" s="504" t="s">
        <v>1720</v>
      </c>
      <c r="D76" s="504" t="s">
        <v>1721</v>
      </c>
      <c r="E76" s="504" t="s">
        <v>1722</v>
      </c>
      <c r="F76" s="504" t="s">
        <v>1723</v>
      </c>
      <c r="G76" s="504" t="s">
        <v>1724</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1725</v>
      </c>
      <c r="C78" s="509" t="s">
        <v>1720</v>
      </c>
      <c r="D78" s="509" t="s">
        <v>1721</v>
      </c>
      <c r="E78" s="509" t="s">
        <v>1722</v>
      </c>
      <c r="F78" s="509" t="s">
        <v>1723</v>
      </c>
      <c r="G78" s="509" t="s">
        <v>1724</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1726</v>
      </c>
      <c r="C80" s="509" t="s">
        <v>1720</v>
      </c>
      <c r="D80" s="509" t="s">
        <v>1721</v>
      </c>
      <c r="E80" s="509" t="s">
        <v>1722</v>
      </c>
      <c r="F80" s="509" t="s">
        <v>1723</v>
      </c>
      <c r="G80" s="509" t="s">
        <v>1724</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1259</v>
      </c>
      <c r="C82" s="470" t="s">
        <v>1727</v>
      </c>
      <c r="D82" s="470" t="s">
        <v>1728</v>
      </c>
      <c r="E82" s="470" t="s">
        <v>1729</v>
      </c>
      <c r="F82" s="470" t="s">
        <v>1730</v>
      </c>
      <c r="G82" s="470" t="s">
        <v>1731</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1732</v>
      </c>
      <c r="C84" s="509" t="s">
        <v>1720</v>
      </c>
      <c r="D84" s="509" t="s">
        <v>1721</v>
      </c>
      <c r="E84" s="509" t="s">
        <v>1722</v>
      </c>
      <c r="F84" s="509" t="s">
        <v>1723</v>
      </c>
      <c r="G84" s="509" t="s">
        <v>1724</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1733</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1734</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1693</v>
      </c>
      <c r="B100" s="460" t="s">
        <v>1735</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1736</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1737</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1738</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1739</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1189</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1740</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1741</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1742</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1704</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1743</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1744</v>
      </c>
      <c r="C124" s="509" t="s">
        <v>1720</v>
      </c>
      <c r="D124" s="509" t="s">
        <v>1721</v>
      </c>
      <c r="E124" s="509" t="s">
        <v>1722</v>
      </c>
      <c r="F124" s="509" t="s">
        <v>1723</v>
      </c>
      <c r="G124" s="509" t="s">
        <v>1724</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1745</v>
      </c>
    </row>
    <row r="137" spans="1:17" ht="15">
      <c r="B137" s="1782" t="s">
        <v>1746</v>
      </c>
      <c r="C137" s="1783"/>
      <c r="D137" s="1783"/>
      <c r="E137" s="1783"/>
      <c r="F137" s="1783"/>
      <c r="G137" s="1784"/>
      <c r="H137" s="1785"/>
      <c r="I137" s="1786" t="s">
        <v>1747</v>
      </c>
      <c r="J137" s="1783"/>
      <c r="K137" s="1787"/>
    </row>
    <row r="138" spans="1:17" ht="15">
      <c r="B138" s="1788"/>
      <c r="C138" s="129" t="s">
        <v>1748</v>
      </c>
      <c r="D138" s="129" t="s">
        <v>1749</v>
      </c>
      <c r="E138" s="1789" t="s">
        <v>1750</v>
      </c>
      <c r="F138" s="1790" t="s">
        <v>1751</v>
      </c>
      <c r="G138" s="129" t="s">
        <v>1749</v>
      </c>
      <c r="H138" s="130" t="s">
        <v>1750</v>
      </c>
      <c r="I138" s="1791"/>
      <c r="J138" s="129" t="s">
        <v>1752</v>
      </c>
      <c r="K138" s="130" t="s">
        <v>1753</v>
      </c>
    </row>
    <row r="139" spans="1:17" ht="15">
      <c r="B139" s="814">
        <v>6</v>
      </c>
      <c r="C139" s="815">
        <v>96</v>
      </c>
      <c r="D139" s="1792" t="s">
        <v>1754</v>
      </c>
      <c r="E139" s="816">
        <v>100</v>
      </c>
      <c r="F139" s="817">
        <v>102.5</v>
      </c>
      <c r="G139" s="1792" t="s">
        <v>1754</v>
      </c>
      <c r="H139" s="818">
        <v>105</v>
      </c>
      <c r="I139" s="1793" t="s">
        <v>1755</v>
      </c>
      <c r="J139" s="815">
        <v>20</v>
      </c>
      <c r="K139" s="819">
        <f>C145/(J139-2)</f>
        <v>4.0555555555555553E-3</v>
      </c>
    </row>
    <row r="140" spans="1:17" ht="15">
      <c r="B140" s="820">
        <v>5</v>
      </c>
      <c r="C140" s="821">
        <v>100</v>
      </c>
      <c r="D140" s="821"/>
      <c r="E140" s="822"/>
      <c r="F140" s="823">
        <v>102</v>
      </c>
      <c r="G140" s="821"/>
      <c r="H140" s="824"/>
      <c r="I140" s="1794" t="s">
        <v>1756</v>
      </c>
      <c r="J140" s="263">
        <f>ROUNDUP((J139-1)/2,0)</f>
        <v>10</v>
      </c>
      <c r="K140" s="825">
        <v>100</v>
      </c>
    </row>
    <row r="141" spans="1:17" ht="15">
      <c r="B141" s="820">
        <v>4</v>
      </c>
      <c r="C141" s="821">
        <v>102</v>
      </c>
      <c r="D141" s="821"/>
      <c r="E141" s="822"/>
      <c r="F141" s="823">
        <v>101.5</v>
      </c>
      <c r="G141" s="821"/>
      <c r="H141" s="824"/>
      <c r="I141" s="1794" t="s">
        <v>1757</v>
      </c>
      <c r="J141" s="263">
        <v>1</v>
      </c>
      <c r="K141" s="826">
        <f>ROUND(100+(J141-J140)*K139*100,1)</f>
        <v>96.4</v>
      </c>
    </row>
    <row r="142" spans="1:17" ht="15">
      <c r="B142" s="820">
        <v>3</v>
      </c>
      <c r="C142" s="821">
        <v>103</v>
      </c>
      <c r="D142" s="821"/>
      <c r="E142" s="822"/>
      <c r="F142" s="823">
        <v>101</v>
      </c>
      <c r="G142" s="821"/>
      <c r="H142" s="824"/>
      <c r="I142" s="1794" t="s">
        <v>1758</v>
      </c>
      <c r="J142" s="263">
        <f>J139</f>
        <v>20</v>
      </c>
      <c r="K142" s="827">
        <v>95</v>
      </c>
    </row>
    <row r="143" spans="1:17" ht="15">
      <c r="B143" s="820">
        <v>2</v>
      </c>
      <c r="C143" s="821">
        <v>100</v>
      </c>
      <c r="D143" s="821"/>
      <c r="E143" s="822"/>
      <c r="F143" s="823">
        <v>100.5</v>
      </c>
      <c r="G143" s="821"/>
      <c r="H143" s="824"/>
      <c r="I143" s="1794" t="s">
        <v>1759</v>
      </c>
      <c r="J143" s="821">
        <v>15</v>
      </c>
      <c r="K143" s="826">
        <f>ROUND(100+(J143-J140)*K139*100,1)</f>
        <v>102</v>
      </c>
    </row>
    <row r="144" spans="1:17" ht="15">
      <c r="B144" s="820">
        <v>1</v>
      </c>
      <c r="C144" s="821">
        <v>98</v>
      </c>
      <c r="D144" s="1795" t="s">
        <v>1760</v>
      </c>
      <c r="E144" s="822">
        <v>102</v>
      </c>
      <c r="F144" s="828">
        <v>100</v>
      </c>
      <c r="G144" s="1795" t="s">
        <v>1760</v>
      </c>
      <c r="H144" s="824">
        <v>105</v>
      </c>
      <c r="I144" s="1794" t="s">
        <v>1759</v>
      </c>
      <c r="J144" s="821">
        <v>18</v>
      </c>
      <c r="K144" s="826">
        <f>ROUND(100+(J144-J140)*K139*100,1)</f>
        <v>103.2</v>
      </c>
    </row>
    <row r="145" spans="2:11" ht="15.75" thickBot="1">
      <c r="B145" s="1796" t="s">
        <v>1761</v>
      </c>
      <c r="C145" s="829">
        <f>ROUND(MAX(C139:C144)/MIN(C139:C144)-1,3)</f>
        <v>7.2999999999999995E-2</v>
      </c>
      <c r="D145" s="830"/>
      <c r="E145" s="830"/>
      <c r="F145" s="1797" t="s">
        <v>1762</v>
      </c>
      <c r="G145" s="1798"/>
      <c r="H145" s="1799"/>
      <c r="I145" s="1800" t="s">
        <v>1759</v>
      </c>
      <c r="J145" s="831">
        <v>8</v>
      </c>
      <c r="K145" s="832">
        <f>ROUND(100+(J145-J140)*K139*100,1)</f>
        <v>99.2</v>
      </c>
    </row>
    <row r="147" spans="2:11">
      <c r="B147" s="1781" t="s">
        <v>1763</v>
      </c>
    </row>
    <row r="148" spans="2:11">
      <c r="B148" s="1781" t="s">
        <v>1764</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01" priority="14" stopIfTrue="1">
      <formula>$F$52="超过30%"</formula>
    </cfRule>
  </conditionalFormatting>
  <conditionalFormatting sqref="E53">
    <cfRule type="expression" dxfId="100" priority="11" stopIfTrue="1">
      <formula>$F$53="超过20%"</formula>
    </cfRule>
  </conditionalFormatting>
  <conditionalFormatting sqref="E54">
    <cfRule type="expression" dxfId="99" priority="10" stopIfTrue="1">
      <formula>$F$54="超过30%"</formula>
    </cfRule>
  </conditionalFormatting>
  <conditionalFormatting sqref="F7:F46 H7:H46 J7:J46">
    <cfRule type="cellIs" dxfId="98" priority="1" operator="notEqual">
      <formula>100</formula>
    </cfRule>
  </conditionalFormatting>
  <conditionalFormatting sqref="F48">
    <cfRule type="expression" dxfId="97" priority="4">
      <formula>$D$48="简单平均"</formula>
    </cfRule>
  </conditionalFormatting>
  <conditionalFormatting sqref="F52:F54 H52:H54 J52:J54">
    <cfRule type="containsText" dxfId="96" priority="15" stopIfTrue="1" operator="containsText" text="超过">
      <formula>NOT(ISERROR(SEARCH("超过",F52)))</formula>
    </cfRule>
  </conditionalFormatting>
  <conditionalFormatting sqref="G52">
    <cfRule type="expression" dxfId="95" priority="9" stopIfTrue="1">
      <formula>$H$52="超过30%"</formula>
    </cfRule>
  </conditionalFormatting>
  <conditionalFormatting sqref="G53">
    <cfRule type="expression" dxfId="94" priority="8" stopIfTrue="1">
      <formula>$H$53="超过20%"</formula>
    </cfRule>
  </conditionalFormatting>
  <conditionalFormatting sqref="G54">
    <cfRule type="expression" dxfId="93" priority="12" stopIfTrue="1">
      <formula>$H$54="超过30%"</formula>
    </cfRule>
  </conditionalFormatting>
  <conditionalFormatting sqref="H48">
    <cfRule type="expression" dxfId="92" priority="3">
      <formula>$D$48="简单平均"</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J48">
    <cfRule type="expression" dxfId="8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1659</v>
      </c>
      <c r="B1" s="1734" t="s">
        <v>1765</v>
      </c>
      <c r="C1" s="1155" t="s">
        <v>1661</v>
      </c>
      <c r="D1" s="1142"/>
      <c r="E1" s="3125"/>
      <c r="F1" s="1735"/>
      <c r="G1" s="1152" t="s">
        <v>1766</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1461</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1462</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1463</v>
      </c>
      <c r="B3" s="536">
        <f>IF(C2="——",C49,ROUND(B2*10000/D3,0))</f>
        <v>0</v>
      </c>
      <c r="C3" s="344" t="s">
        <v>1767</v>
      </c>
      <c r="D3" s="343">
        <f>IF(D1="",'数据-汇总表'!E3,SUMIF('数据-汇总表'!$C19:$C33,D1,'数据-汇总表'!$E19:$E33))</f>
        <v>66288.099999999991</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1768</v>
      </c>
      <c r="B4" s="346"/>
      <c r="C4" s="3338" t="s">
        <v>1769</v>
      </c>
      <c r="D4" s="3364"/>
      <c r="E4" s="3365" t="s">
        <v>1770</v>
      </c>
      <c r="F4" s="3366"/>
      <c r="G4" s="3338" t="s">
        <v>1771</v>
      </c>
      <c r="H4" s="3364"/>
      <c r="I4" s="3338" t="s">
        <v>1772</v>
      </c>
      <c r="J4" s="3364"/>
      <c r="K4" s="537" t="s">
        <v>1773</v>
      </c>
      <c r="L4" s="2487"/>
      <c r="M4" s="2488"/>
      <c r="N4" s="2488"/>
      <c r="O4" s="2488"/>
      <c r="P4" s="3367" t="s">
        <v>1774</v>
      </c>
      <c r="Q4" s="3368"/>
      <c r="R4" s="3344" t="s">
        <v>1770</v>
      </c>
      <c r="S4" s="3345"/>
      <c r="T4" s="3344" t="s">
        <v>1771</v>
      </c>
      <c r="U4" s="3345"/>
      <c r="V4" s="3357" t="s">
        <v>1772</v>
      </c>
      <c r="W4" s="3357"/>
      <c r="X4" s="1265"/>
      <c r="Y4" s="3344" t="s">
        <v>1774</v>
      </c>
      <c r="Z4" s="3345"/>
      <c r="AA4" s="3361" t="s">
        <v>1770</v>
      </c>
      <c r="AB4" s="3357" t="s">
        <v>1771</v>
      </c>
      <c r="AC4" s="3361" t="s">
        <v>1772</v>
      </c>
    </row>
    <row r="5" spans="1:29" ht="15">
      <c r="A5" s="348"/>
      <c r="B5" s="349"/>
      <c r="C5" s="3348" t="s">
        <v>1672</v>
      </c>
      <c r="D5" s="3349"/>
      <c r="E5" s="3373" t="s">
        <v>1673</v>
      </c>
      <c r="F5" s="3374"/>
      <c r="G5" s="3348" t="s">
        <v>1674</v>
      </c>
      <c r="H5" s="3349"/>
      <c r="I5" s="3348" t="s">
        <v>1675</v>
      </c>
      <c r="J5" s="3349"/>
      <c r="K5" s="537"/>
      <c r="L5" s="2487"/>
      <c r="M5" s="2488"/>
      <c r="N5" s="2488"/>
      <c r="O5" s="2488"/>
      <c r="P5" s="3369"/>
      <c r="Q5" s="3370"/>
      <c r="R5" s="3346"/>
      <c r="S5" s="3347"/>
      <c r="T5" s="3346"/>
      <c r="U5" s="3347"/>
      <c r="V5" s="3357"/>
      <c r="W5" s="3357"/>
      <c r="X5" s="1265"/>
      <c r="Y5" s="3346"/>
      <c r="Z5" s="3347"/>
      <c r="AA5" s="3362"/>
      <c r="AB5" s="3357"/>
      <c r="AC5" s="3362"/>
    </row>
    <row r="6" spans="1:29" ht="15.75" thickBot="1">
      <c r="A6" s="350"/>
      <c r="B6" s="351"/>
      <c r="C6" s="3436" t="s">
        <v>1676</v>
      </c>
      <c r="D6" s="3437"/>
      <c r="E6" s="3438" t="s">
        <v>1676</v>
      </c>
      <c r="F6" s="3439"/>
      <c r="G6" s="3436" t="s">
        <v>1676</v>
      </c>
      <c r="H6" s="3437"/>
      <c r="I6" s="3436" t="s">
        <v>1676</v>
      </c>
      <c r="J6" s="3437"/>
      <c r="K6" s="537" t="s">
        <v>1677</v>
      </c>
      <c r="L6" s="2487"/>
      <c r="M6" s="2488"/>
      <c r="N6" s="2488"/>
      <c r="O6" s="2488"/>
      <c r="P6" s="3371"/>
      <c r="Q6" s="3372"/>
      <c r="R6" s="3346"/>
      <c r="S6" s="3347"/>
      <c r="T6" s="3355"/>
      <c r="U6" s="3356"/>
      <c r="V6" s="3357"/>
      <c r="W6" s="3357"/>
      <c r="X6" s="1265"/>
      <c r="Y6" s="3355"/>
      <c r="Z6" s="3356"/>
      <c r="AA6" s="3363"/>
      <c r="AB6" s="3357"/>
      <c r="AC6" s="3363"/>
    </row>
    <row r="7" spans="1:29" s="102" customFormat="1" ht="15.75" thickBot="1">
      <c r="A7" s="352" t="s">
        <v>1678</v>
      </c>
      <c r="B7" s="353"/>
      <c r="C7" s="354">
        <f>'数据-取费表'!B2</f>
        <v>45632</v>
      </c>
      <c r="D7" s="355">
        <v>100</v>
      </c>
      <c r="E7" s="356"/>
      <c r="F7" s="357">
        <f>SUMIF(58:58,YEAR(E7)&amp;"-"&amp;MONTH(E7),59:59)</f>
        <v>0</v>
      </c>
      <c r="G7" s="356"/>
      <c r="H7" s="355">
        <f>SUMIF(58:58,YEAR(G7)&amp;"-"&amp;MONTH(G7),59:59)</f>
        <v>0</v>
      </c>
      <c r="I7" s="356"/>
      <c r="J7" s="355">
        <f>SUMIF(58:58,YEAR(I7)&amp;"-"&amp;MONTH(I7),59:59)</f>
        <v>0</v>
      </c>
      <c r="K7" s="38"/>
      <c r="L7" s="2489"/>
      <c r="M7" s="2440"/>
      <c r="N7" s="2440"/>
      <c r="O7" s="2440"/>
      <c r="P7" s="3342" t="s">
        <v>1679</v>
      </c>
      <c r="Q7" s="3352"/>
      <c r="R7" s="664" t="s">
        <v>14</v>
      </c>
      <c r="S7" s="665">
        <f t="shared" ref="S7:S15" si="0">F7</f>
        <v>0</v>
      </c>
      <c r="T7" s="664" t="s">
        <v>14</v>
      </c>
      <c r="U7" s="665">
        <f t="shared" ref="U7:U15" si="1">H7</f>
        <v>0</v>
      </c>
      <c r="V7" s="664" t="s">
        <v>14</v>
      </c>
      <c r="W7" s="665">
        <f t="shared" ref="W7:W15" si="2">J7</f>
        <v>0</v>
      </c>
      <c r="X7" s="666"/>
      <c r="Y7" s="3342" t="s">
        <v>1679</v>
      </c>
      <c r="Z7" s="3343"/>
      <c r="AA7" s="50" t="e">
        <f>D7/F7</f>
        <v>#DIV/0!</v>
      </c>
      <c r="AB7" s="50" t="e">
        <f>D7/H7</f>
        <v>#DIV/0!</v>
      </c>
      <c r="AC7" s="50" t="e">
        <f>D7/J7</f>
        <v>#DIV/0!</v>
      </c>
    </row>
    <row r="8" spans="1:29" s="102" customFormat="1" ht="15.75" thickBot="1">
      <c r="A8" s="352" t="s">
        <v>1680</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342" t="s">
        <v>1682</v>
      </c>
      <c r="Q8" s="3343"/>
      <c r="R8" s="664" t="s">
        <v>14</v>
      </c>
      <c r="S8" s="665">
        <f t="shared" si="0"/>
        <v>100</v>
      </c>
      <c r="T8" s="664" t="s">
        <v>14</v>
      </c>
      <c r="U8" s="665">
        <f t="shared" si="1"/>
        <v>100</v>
      </c>
      <c r="V8" s="664" t="s">
        <v>14</v>
      </c>
      <c r="W8" s="665">
        <f t="shared" si="2"/>
        <v>100</v>
      </c>
      <c r="X8" s="666"/>
      <c r="Y8" s="3342" t="s">
        <v>1682</v>
      </c>
      <c r="Z8" s="3343"/>
      <c r="AA8" s="50">
        <f t="shared" ref="AA8:AA46" si="3">D8/F8</f>
        <v>1</v>
      </c>
      <c r="AB8" s="50">
        <f t="shared" ref="AB8:AB46" si="4">D8/H8</f>
        <v>1</v>
      </c>
      <c r="AC8" s="50">
        <f t="shared" ref="AC8:AC46" si="5">D8/J8</f>
        <v>1</v>
      </c>
    </row>
    <row r="9" spans="1:29" s="102" customFormat="1">
      <c r="A9" s="359" t="s">
        <v>1683</v>
      </c>
      <c r="B9" s="60" t="s">
        <v>1684</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340" t="s">
        <v>1685</v>
      </c>
      <c r="Q9" s="530" t="str">
        <f t="shared" ref="Q9:Q15" si="6">B9</f>
        <v>用途</v>
      </c>
      <c r="R9" s="664" t="s">
        <v>14</v>
      </c>
      <c r="S9" s="665">
        <f t="shared" si="0"/>
        <v>100</v>
      </c>
      <c r="T9" s="664" t="s">
        <v>14</v>
      </c>
      <c r="U9" s="665">
        <f t="shared" si="1"/>
        <v>100</v>
      </c>
      <c r="V9" s="664" t="s">
        <v>14</v>
      </c>
      <c r="W9" s="665">
        <f t="shared" si="2"/>
        <v>100</v>
      </c>
      <c r="X9" s="666"/>
      <c r="Y9" s="3242" t="s">
        <v>1686</v>
      </c>
      <c r="Z9" s="50" t="str">
        <f t="shared" ref="Z9:Z15" si="7">Q9</f>
        <v>用途</v>
      </c>
      <c r="AA9" s="50">
        <f t="shared" si="3"/>
        <v>1</v>
      </c>
      <c r="AB9" s="50">
        <f t="shared" si="4"/>
        <v>1</v>
      </c>
      <c r="AC9" s="50">
        <f t="shared" si="5"/>
        <v>1</v>
      </c>
    </row>
    <row r="10" spans="1:29" s="366" customFormat="1" ht="27">
      <c r="A10" s="363"/>
      <c r="B10" s="364" t="s">
        <v>1687</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340"/>
      <c r="Q10" s="530" t="str">
        <f t="shared" si="6"/>
        <v>土地使用年限（年）</v>
      </c>
      <c r="R10" s="664" t="s">
        <v>14</v>
      </c>
      <c r="S10" s="665">
        <f t="shared" si="0"/>
        <v>100</v>
      </c>
      <c r="T10" s="664" t="s">
        <v>14</v>
      </c>
      <c r="U10" s="665">
        <f t="shared" si="1"/>
        <v>100</v>
      </c>
      <c r="V10" s="664" t="s">
        <v>14</v>
      </c>
      <c r="W10" s="665">
        <f t="shared" si="2"/>
        <v>100</v>
      </c>
      <c r="X10" s="666"/>
      <c r="Y10" s="3242"/>
      <c r="Z10" s="50" t="str">
        <f t="shared" si="7"/>
        <v>土地使用年限（年）</v>
      </c>
      <c r="AA10" s="50">
        <f t="shared" si="3"/>
        <v>1</v>
      </c>
      <c r="AB10" s="50">
        <f t="shared" si="4"/>
        <v>1</v>
      </c>
      <c r="AC10" s="50">
        <f t="shared" si="5"/>
        <v>1</v>
      </c>
    </row>
    <row r="11" spans="1:29" ht="15">
      <c r="A11" s="367"/>
      <c r="B11" s="364" t="s">
        <v>1688</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340"/>
      <c r="Q11" s="530" t="str">
        <f t="shared" si="6"/>
        <v>容积率</v>
      </c>
      <c r="R11" s="664" t="s">
        <v>14</v>
      </c>
      <c r="S11" s="665" t="e">
        <f t="shared" si="0"/>
        <v>#N/A</v>
      </c>
      <c r="T11" s="664" t="s">
        <v>14</v>
      </c>
      <c r="U11" s="665" t="e">
        <f t="shared" si="1"/>
        <v>#N/A</v>
      </c>
      <c r="V11" s="664" t="s">
        <v>14</v>
      </c>
      <c r="W11" s="665" t="e">
        <f t="shared" si="2"/>
        <v>#N/A</v>
      </c>
      <c r="X11" s="666"/>
      <c r="Y11" s="3242"/>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340"/>
      <c r="Q12" s="530">
        <f t="shared" si="6"/>
        <v>111</v>
      </c>
      <c r="R12" s="664" t="s">
        <v>14</v>
      </c>
      <c r="S12" s="665">
        <f t="shared" si="0"/>
        <v>100</v>
      </c>
      <c r="T12" s="664" t="s">
        <v>14</v>
      </c>
      <c r="U12" s="665">
        <f t="shared" si="1"/>
        <v>100</v>
      </c>
      <c r="V12" s="664" t="s">
        <v>14</v>
      </c>
      <c r="W12" s="665">
        <f t="shared" si="2"/>
        <v>100</v>
      </c>
      <c r="X12" s="666"/>
      <c r="Y12" s="3242"/>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340"/>
      <c r="Q13" s="530">
        <f t="shared" si="6"/>
        <v>111</v>
      </c>
      <c r="R13" s="664" t="s">
        <v>14</v>
      </c>
      <c r="S13" s="665">
        <f t="shared" si="0"/>
        <v>100</v>
      </c>
      <c r="T13" s="664" t="s">
        <v>14</v>
      </c>
      <c r="U13" s="665">
        <f t="shared" si="1"/>
        <v>100</v>
      </c>
      <c r="V13" s="664" t="s">
        <v>14</v>
      </c>
      <c r="W13" s="665">
        <f t="shared" si="2"/>
        <v>100</v>
      </c>
      <c r="X13" s="666"/>
      <c r="Y13" s="3242"/>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340"/>
      <c r="Q14" s="530">
        <f t="shared" si="6"/>
        <v>111</v>
      </c>
      <c r="R14" s="664" t="s">
        <v>14</v>
      </c>
      <c r="S14" s="665">
        <f t="shared" si="0"/>
        <v>100</v>
      </c>
      <c r="T14" s="664" t="s">
        <v>14</v>
      </c>
      <c r="U14" s="665">
        <f t="shared" si="1"/>
        <v>100</v>
      </c>
      <c r="V14" s="664" t="s">
        <v>14</v>
      </c>
      <c r="W14" s="665">
        <f t="shared" si="2"/>
        <v>100</v>
      </c>
      <c r="X14" s="666"/>
      <c r="Y14" s="3242"/>
      <c r="Z14" s="50">
        <f t="shared" si="7"/>
        <v>111</v>
      </c>
      <c r="AA14" s="50">
        <f t="shared" si="3"/>
        <v>1</v>
      </c>
      <c r="AB14" s="50">
        <f t="shared" si="4"/>
        <v>1</v>
      </c>
      <c r="AC14" s="50">
        <f t="shared" si="5"/>
        <v>1</v>
      </c>
    </row>
    <row r="15" spans="1:29" ht="15">
      <c r="A15" s="379" t="s">
        <v>1689</v>
      </c>
      <c r="B15" s="58" t="s">
        <v>1776</v>
      </c>
      <c r="C15" s="1750">
        <f>估价对象房地状况!C4</f>
        <v>0</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434" t="s">
        <v>1690</v>
      </c>
      <c r="Q15" s="1263" t="str">
        <f t="shared" si="6"/>
        <v>商业繁华度</v>
      </c>
      <c r="R15" s="667" t="s">
        <v>14</v>
      </c>
      <c r="S15" s="668">
        <f t="shared" si="0"/>
        <v>100</v>
      </c>
      <c r="T15" s="667" t="s">
        <v>14</v>
      </c>
      <c r="U15" s="668">
        <f t="shared" si="1"/>
        <v>100</v>
      </c>
      <c r="V15" s="667" t="s">
        <v>14</v>
      </c>
      <c r="W15" s="668">
        <f t="shared" si="2"/>
        <v>100</v>
      </c>
      <c r="X15" s="1265"/>
      <c r="Y15" s="3358" t="s">
        <v>1690</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435"/>
      <c r="Q16" s="1263"/>
      <c r="R16" s="667"/>
      <c r="S16" s="668"/>
      <c r="T16" s="667"/>
      <c r="U16" s="668"/>
      <c r="V16" s="667"/>
      <c r="W16" s="668"/>
      <c r="X16" s="1265"/>
      <c r="Y16" s="3359"/>
      <c r="Z16" s="1264"/>
      <c r="AA16" s="1264">
        <v>1</v>
      </c>
      <c r="AB16" s="1264">
        <v>1</v>
      </c>
      <c r="AC16" s="1264">
        <v>1</v>
      </c>
    </row>
    <row r="17" spans="1:29" ht="15">
      <c r="A17" s="367"/>
      <c r="B17" s="390" t="s">
        <v>1258</v>
      </c>
      <c r="C17" s="1754">
        <f>估价对象房地状况!C6</f>
        <v>0</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435"/>
      <c r="Q17" s="1263" t="str">
        <f>B17</f>
        <v>交通便捷度</v>
      </c>
      <c r="R17" s="667" t="s">
        <v>14</v>
      </c>
      <c r="S17" s="668">
        <f>F17</f>
        <v>100</v>
      </c>
      <c r="T17" s="667" t="s">
        <v>14</v>
      </c>
      <c r="U17" s="668">
        <f>H17</f>
        <v>100</v>
      </c>
      <c r="V17" s="667" t="s">
        <v>14</v>
      </c>
      <c r="W17" s="668">
        <f>J17</f>
        <v>100</v>
      </c>
      <c r="X17" s="1265"/>
      <c r="Y17" s="3359"/>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435"/>
      <c r="Q18" s="1263"/>
      <c r="R18" s="667"/>
      <c r="S18" s="668"/>
      <c r="T18" s="667"/>
      <c r="U18" s="668"/>
      <c r="V18" s="667"/>
      <c r="W18" s="668"/>
      <c r="X18" s="1265"/>
      <c r="Y18" s="3359"/>
      <c r="Z18" s="1264"/>
      <c r="AA18" s="1264">
        <v>1</v>
      </c>
      <c r="AB18" s="1264">
        <v>1</v>
      </c>
      <c r="AC18" s="1264">
        <v>1</v>
      </c>
    </row>
    <row r="19" spans="1:29" ht="15">
      <c r="A19" s="367"/>
      <c r="B19" s="390" t="s">
        <v>1777</v>
      </c>
      <c r="C19" s="1754">
        <f>估价对象房地状况!C7</f>
        <v>0</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435"/>
      <c r="Q19" s="1263" t="str">
        <f>B19</f>
        <v>公共配套设施</v>
      </c>
      <c r="R19" s="667" t="s">
        <v>14</v>
      </c>
      <c r="S19" s="668">
        <f>F19</f>
        <v>100</v>
      </c>
      <c r="T19" s="667" t="s">
        <v>14</v>
      </c>
      <c r="U19" s="668">
        <f>H19</f>
        <v>100</v>
      </c>
      <c r="V19" s="667" t="s">
        <v>14</v>
      </c>
      <c r="W19" s="668">
        <f>J19</f>
        <v>100</v>
      </c>
      <c r="X19" s="1265"/>
      <c r="Y19" s="3359"/>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435"/>
      <c r="Q20" s="1263"/>
      <c r="R20" s="667"/>
      <c r="S20" s="668"/>
      <c r="T20" s="667"/>
      <c r="U20" s="668"/>
      <c r="V20" s="667"/>
      <c r="W20" s="668"/>
      <c r="X20" s="1265"/>
      <c r="Y20" s="3359"/>
      <c r="Z20" s="1264"/>
      <c r="AA20" s="1264">
        <v>1</v>
      </c>
      <c r="AB20" s="1264">
        <v>1</v>
      </c>
      <c r="AC20" s="1264">
        <v>1</v>
      </c>
    </row>
    <row r="21" spans="1:29" ht="15">
      <c r="A21" s="367"/>
      <c r="B21" s="586" t="s">
        <v>1778</v>
      </c>
      <c r="C21" s="1754">
        <f>估价对象房地状况!C8</f>
        <v>0</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435"/>
      <c r="Q21" s="1263" t="str">
        <f>B21</f>
        <v>基础设施水平</v>
      </c>
      <c r="R21" s="667" t="s">
        <v>14</v>
      </c>
      <c r="S21" s="668">
        <f>F21</f>
        <v>100</v>
      </c>
      <c r="T21" s="667" t="s">
        <v>14</v>
      </c>
      <c r="U21" s="668">
        <f>H21</f>
        <v>100</v>
      </c>
      <c r="V21" s="667" t="s">
        <v>14</v>
      </c>
      <c r="W21" s="668">
        <f>J21</f>
        <v>100</v>
      </c>
      <c r="X21" s="1265"/>
      <c r="Y21" s="3359"/>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435"/>
      <c r="Q22" s="1263"/>
      <c r="R22" s="667"/>
      <c r="S22" s="668"/>
      <c r="T22" s="667"/>
      <c r="U22" s="668"/>
      <c r="V22" s="667"/>
      <c r="W22" s="668"/>
      <c r="X22" s="1265"/>
      <c r="Y22" s="3359"/>
      <c r="Z22" s="1264"/>
      <c r="AA22" s="1264">
        <v>1</v>
      </c>
      <c r="AB22" s="1264">
        <v>1</v>
      </c>
      <c r="AC22" s="1264">
        <v>1</v>
      </c>
    </row>
    <row r="23" spans="1:29" ht="15">
      <c r="A23" s="367"/>
      <c r="B23" s="390" t="s">
        <v>1260</v>
      </c>
      <c r="C23" s="1806">
        <f>估价对象房地状况!C9</f>
        <v>0</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435"/>
      <c r="Q23" s="1263" t="str">
        <f>B23</f>
        <v>自然及人文环境</v>
      </c>
      <c r="R23" s="667" t="s">
        <v>14</v>
      </c>
      <c r="S23" s="668">
        <f>F23</f>
        <v>100</v>
      </c>
      <c r="T23" s="667" t="s">
        <v>14</v>
      </c>
      <c r="U23" s="668">
        <f>H23</f>
        <v>100</v>
      </c>
      <c r="V23" s="667" t="s">
        <v>14</v>
      </c>
      <c r="W23" s="668">
        <f>J23</f>
        <v>100</v>
      </c>
      <c r="X23" s="1265"/>
      <c r="Y23" s="3359"/>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435"/>
      <c r="Q24" s="1263"/>
      <c r="R24" s="667"/>
      <c r="S24" s="668"/>
      <c r="T24" s="667"/>
      <c r="U24" s="668"/>
      <c r="V24" s="667"/>
      <c r="W24" s="668"/>
      <c r="X24" s="1265"/>
      <c r="Y24" s="3359"/>
      <c r="Z24" s="1264"/>
      <c r="AA24" s="1264">
        <v>1</v>
      </c>
      <c r="AB24" s="1264">
        <v>1</v>
      </c>
      <c r="AC24" s="1264">
        <v>1</v>
      </c>
    </row>
    <row r="25" spans="1:29" ht="15">
      <c r="A25" s="367"/>
      <c r="B25" s="364" t="s">
        <v>1779</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435"/>
      <c r="Q25" s="1263" t="str">
        <f t="shared" ref="Q25:Q46" si="11">B25</f>
        <v>临街状况</v>
      </c>
      <c r="R25" s="667" t="s">
        <v>14</v>
      </c>
      <c r="S25" s="668">
        <f>F25</f>
        <v>100</v>
      </c>
      <c r="T25" s="667" t="s">
        <v>14</v>
      </c>
      <c r="U25" s="668">
        <f>H25</f>
        <v>100</v>
      </c>
      <c r="V25" s="667" t="s">
        <v>14</v>
      </c>
      <c r="W25" s="668">
        <f>J25</f>
        <v>100</v>
      </c>
      <c r="X25" s="1265"/>
      <c r="Y25" s="3359"/>
      <c r="Z25" s="1264" t="str">
        <f>Q25</f>
        <v>临街状况</v>
      </c>
      <c r="AA25" s="1264">
        <f t="shared" si="3"/>
        <v>1</v>
      </c>
      <c r="AB25" s="1264">
        <f t="shared" si="4"/>
        <v>1</v>
      </c>
      <c r="AC25" s="1264">
        <f t="shared" si="5"/>
        <v>1</v>
      </c>
    </row>
    <row r="26" spans="1:29" ht="15">
      <c r="A26" s="367"/>
      <c r="B26" s="1066" t="s">
        <v>1780</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435"/>
      <c r="Q26" s="1263" t="str">
        <f t="shared" si="11"/>
        <v>平面位置/可视性</v>
      </c>
      <c r="R26" s="667" t="s">
        <v>14</v>
      </c>
      <c r="S26" s="668">
        <f>F26</f>
        <v>100</v>
      </c>
      <c r="T26" s="667" t="s">
        <v>14</v>
      </c>
      <c r="U26" s="668">
        <f>H26</f>
        <v>100</v>
      </c>
      <c r="V26" s="667" t="s">
        <v>14</v>
      </c>
      <c r="W26" s="668">
        <f>J26</f>
        <v>100</v>
      </c>
      <c r="X26" s="1265"/>
      <c r="Y26" s="3359"/>
      <c r="Z26" s="1264" t="str">
        <f>Q26</f>
        <v>平面位置/可视性</v>
      </c>
      <c r="AA26" s="1264">
        <f t="shared" si="3"/>
        <v>1</v>
      </c>
      <c r="AB26" s="1264">
        <f t="shared" si="4"/>
        <v>1</v>
      </c>
      <c r="AC26" s="1264">
        <f t="shared" si="5"/>
        <v>1</v>
      </c>
    </row>
    <row r="27" spans="1:29" s="102" customFormat="1" ht="15">
      <c r="A27" s="370"/>
      <c r="B27" s="390" t="s">
        <v>1781</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435"/>
      <c r="Q27" s="530" t="str">
        <f t="shared" si="11"/>
        <v>人流量</v>
      </c>
      <c r="R27" s="664" t="s">
        <v>14</v>
      </c>
      <c r="S27" s="665">
        <f>F27</f>
        <v>100</v>
      </c>
      <c r="T27" s="664" t="s">
        <v>14</v>
      </c>
      <c r="U27" s="665">
        <f>H27</f>
        <v>100</v>
      </c>
      <c r="V27" s="664" t="s">
        <v>14</v>
      </c>
      <c r="W27" s="665">
        <f>J27</f>
        <v>100</v>
      </c>
      <c r="X27" s="666"/>
      <c r="Y27" s="3359"/>
      <c r="Z27" s="50" t="str">
        <f>Q27</f>
        <v>人流量</v>
      </c>
      <c r="AA27" s="1264">
        <f>D27/F27</f>
        <v>1</v>
      </c>
      <c r="AB27" s="1264">
        <f>D27/H27</f>
        <v>1</v>
      </c>
      <c r="AC27" s="1264">
        <f>D27/J27</f>
        <v>1</v>
      </c>
    </row>
    <row r="28" spans="1:29" ht="15">
      <c r="A28" s="367"/>
      <c r="B28" s="364" t="s">
        <v>1782</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435"/>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59"/>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435"/>
      <c r="Q29" s="1263">
        <f t="shared" si="11"/>
        <v>111</v>
      </c>
      <c r="R29" s="667" t="s">
        <v>14</v>
      </c>
      <c r="S29" s="668">
        <f t="shared" si="12"/>
        <v>100</v>
      </c>
      <c r="T29" s="667" t="s">
        <v>14</v>
      </c>
      <c r="U29" s="668">
        <f t="shared" si="13"/>
        <v>100</v>
      </c>
      <c r="V29" s="667" t="s">
        <v>14</v>
      </c>
      <c r="W29" s="668">
        <f t="shared" si="14"/>
        <v>100</v>
      </c>
      <c r="X29" s="1265"/>
      <c r="Y29" s="3359"/>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435"/>
      <c r="Q30" s="1263">
        <f t="shared" si="11"/>
        <v>111</v>
      </c>
      <c r="R30" s="667" t="s">
        <v>14</v>
      </c>
      <c r="S30" s="668">
        <f t="shared" si="12"/>
        <v>100</v>
      </c>
      <c r="T30" s="667" t="s">
        <v>14</v>
      </c>
      <c r="U30" s="668">
        <f t="shared" si="13"/>
        <v>100</v>
      </c>
      <c r="V30" s="667" t="s">
        <v>14</v>
      </c>
      <c r="W30" s="668">
        <f t="shared" si="14"/>
        <v>100</v>
      </c>
      <c r="X30" s="1265"/>
      <c r="Y30" s="3359"/>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435"/>
      <c r="Q31" s="1263">
        <f t="shared" si="11"/>
        <v>111</v>
      </c>
      <c r="R31" s="667" t="s">
        <v>14</v>
      </c>
      <c r="S31" s="668">
        <f t="shared" si="12"/>
        <v>100</v>
      </c>
      <c r="T31" s="667" t="s">
        <v>14</v>
      </c>
      <c r="U31" s="668">
        <f t="shared" si="13"/>
        <v>100</v>
      </c>
      <c r="V31" s="667" t="s">
        <v>14</v>
      </c>
      <c r="W31" s="668">
        <f t="shared" si="14"/>
        <v>100</v>
      </c>
      <c r="X31" s="1265"/>
      <c r="Y31" s="3359"/>
      <c r="Z31" s="1264">
        <f t="shared" si="15"/>
        <v>111</v>
      </c>
      <c r="AA31" s="1264">
        <f t="shared" si="3"/>
        <v>1</v>
      </c>
      <c r="AB31" s="1264">
        <f t="shared" si="4"/>
        <v>1</v>
      </c>
      <c r="AC31" s="1264">
        <f t="shared" si="5"/>
        <v>1</v>
      </c>
    </row>
    <row r="32" spans="1:29" ht="15">
      <c r="A32" s="379" t="s">
        <v>1693</v>
      </c>
      <c r="B32" s="60" t="s">
        <v>1783</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430" t="s">
        <v>1695</v>
      </c>
      <c r="Q32" s="1263" t="str">
        <f t="shared" si="11"/>
        <v>商业类型</v>
      </c>
      <c r="R32" s="667" t="s">
        <v>14</v>
      </c>
      <c r="S32" s="668">
        <f t="shared" si="12"/>
        <v>100</v>
      </c>
      <c r="T32" s="667" t="s">
        <v>14</v>
      </c>
      <c r="U32" s="668">
        <f t="shared" si="13"/>
        <v>100</v>
      </c>
      <c r="V32" s="667" t="s">
        <v>14</v>
      </c>
      <c r="W32" s="668">
        <f t="shared" si="14"/>
        <v>100</v>
      </c>
      <c r="X32" s="1265"/>
      <c r="Y32" s="3360" t="s">
        <v>1695</v>
      </c>
      <c r="Z32" s="1264" t="str">
        <f t="shared" si="15"/>
        <v>商业类型</v>
      </c>
      <c r="AA32" s="1264">
        <f t="shared" si="3"/>
        <v>1</v>
      </c>
      <c r="AB32" s="1264">
        <f t="shared" si="4"/>
        <v>1</v>
      </c>
      <c r="AC32" s="1264">
        <f t="shared" si="5"/>
        <v>1</v>
      </c>
    </row>
    <row r="33" spans="1:29" s="408" customFormat="1" ht="15">
      <c r="A33" s="406"/>
      <c r="B33" s="364" t="s">
        <v>1696</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431"/>
      <c r="Q33" s="531" t="str">
        <f t="shared" si="11"/>
        <v>项目建筑规模</v>
      </c>
      <c r="R33" s="669" t="s">
        <v>14</v>
      </c>
      <c r="S33" s="670" t="e">
        <f t="shared" si="12"/>
        <v>#N/A</v>
      </c>
      <c r="T33" s="669" t="s">
        <v>14</v>
      </c>
      <c r="U33" s="670" t="e">
        <f t="shared" si="13"/>
        <v>#N/A</v>
      </c>
      <c r="V33" s="669" t="s">
        <v>14</v>
      </c>
      <c r="W33" s="670" t="e">
        <f t="shared" si="14"/>
        <v>#N/A</v>
      </c>
      <c r="X33" s="671"/>
      <c r="Y33" s="3360"/>
      <c r="Z33" s="672" t="str">
        <f t="shared" si="15"/>
        <v>项目建筑规模</v>
      </c>
      <c r="AA33" s="1264" t="e">
        <f t="shared" si="3"/>
        <v>#N/A</v>
      </c>
      <c r="AB33" s="1264" t="e">
        <f t="shared" si="4"/>
        <v>#N/A</v>
      </c>
      <c r="AC33" s="1264" t="e">
        <f t="shared" si="5"/>
        <v>#N/A</v>
      </c>
    </row>
    <row r="34" spans="1:29" ht="15">
      <c r="A34" s="409"/>
      <c r="B34" s="364" t="s">
        <v>1697</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431"/>
      <c r="Q34" s="1263" t="str">
        <f t="shared" si="11"/>
        <v>建筑结构</v>
      </c>
      <c r="R34" s="667" t="s">
        <v>14</v>
      </c>
      <c r="S34" s="668">
        <f t="shared" si="12"/>
        <v>100</v>
      </c>
      <c r="T34" s="667" t="s">
        <v>14</v>
      </c>
      <c r="U34" s="668">
        <f t="shared" si="13"/>
        <v>100</v>
      </c>
      <c r="V34" s="667" t="s">
        <v>14</v>
      </c>
      <c r="W34" s="668">
        <f t="shared" si="14"/>
        <v>100</v>
      </c>
      <c r="X34" s="1265"/>
      <c r="Y34" s="3360"/>
      <c r="Z34" s="1264" t="str">
        <f t="shared" si="15"/>
        <v>建筑结构</v>
      </c>
      <c r="AA34" s="1264">
        <f t="shared" si="3"/>
        <v>1</v>
      </c>
      <c r="AB34" s="1264">
        <f t="shared" si="4"/>
        <v>1</v>
      </c>
      <c r="AC34" s="1264">
        <f t="shared" si="5"/>
        <v>1</v>
      </c>
    </row>
    <row r="35" spans="1:29" ht="15">
      <c r="A35" s="409"/>
      <c r="B35" s="364" t="s">
        <v>1784</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431"/>
      <c r="Q35" s="1263" t="str">
        <f t="shared" si="11"/>
        <v>公共部分装修</v>
      </c>
      <c r="R35" s="667" t="s">
        <v>14</v>
      </c>
      <c r="S35" s="668">
        <f t="shared" si="12"/>
        <v>100</v>
      </c>
      <c r="T35" s="667" t="s">
        <v>14</v>
      </c>
      <c r="U35" s="668">
        <f t="shared" si="13"/>
        <v>100</v>
      </c>
      <c r="V35" s="667" t="s">
        <v>14</v>
      </c>
      <c r="W35" s="668">
        <f t="shared" si="14"/>
        <v>100</v>
      </c>
      <c r="X35" s="1265"/>
      <c r="Y35" s="3360"/>
      <c r="Z35" s="1264" t="str">
        <f t="shared" si="15"/>
        <v>公共部分装修</v>
      </c>
      <c r="AA35" s="1264">
        <f t="shared" si="3"/>
        <v>1</v>
      </c>
      <c r="AB35" s="1264">
        <f t="shared" si="4"/>
        <v>1</v>
      </c>
      <c r="AC35" s="1264">
        <f t="shared" si="5"/>
        <v>1</v>
      </c>
    </row>
    <row r="36" spans="1:29" ht="15">
      <c r="A36" s="409"/>
      <c r="B36" s="364" t="s">
        <v>1785</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431"/>
      <c r="Q36" s="1263" t="str">
        <f t="shared" si="11"/>
        <v>成新度</v>
      </c>
      <c r="R36" s="667" t="s">
        <v>14</v>
      </c>
      <c r="S36" s="668" t="e">
        <f t="shared" si="12"/>
        <v>#N/A</v>
      </c>
      <c r="T36" s="667" t="s">
        <v>14</v>
      </c>
      <c r="U36" s="668" t="e">
        <f t="shared" si="13"/>
        <v>#N/A</v>
      </c>
      <c r="V36" s="667" t="s">
        <v>14</v>
      </c>
      <c r="W36" s="668" t="e">
        <f t="shared" si="14"/>
        <v>#N/A</v>
      </c>
      <c r="X36" s="1265"/>
      <c r="Y36" s="3360"/>
      <c r="Z36" s="1264" t="str">
        <f t="shared" si="15"/>
        <v>成新度</v>
      </c>
      <c r="AA36" s="1264" t="e">
        <f t="shared" si="3"/>
        <v>#N/A</v>
      </c>
      <c r="AB36" s="1264" t="e">
        <f t="shared" si="4"/>
        <v>#N/A</v>
      </c>
      <c r="AC36" s="1264" t="e">
        <f t="shared" si="5"/>
        <v>#N/A</v>
      </c>
    </row>
    <row r="37" spans="1:29" s="102" customFormat="1" ht="15">
      <c r="A37" s="410"/>
      <c r="B37" s="364" t="s">
        <v>1786</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431"/>
      <c r="Q37" s="530" t="str">
        <f t="shared" si="11"/>
        <v>市政基础设施</v>
      </c>
      <c r="R37" s="664" t="s">
        <v>14</v>
      </c>
      <c r="S37" s="665">
        <f t="shared" si="12"/>
        <v>100</v>
      </c>
      <c r="T37" s="664" t="s">
        <v>14</v>
      </c>
      <c r="U37" s="665">
        <f t="shared" si="13"/>
        <v>100</v>
      </c>
      <c r="V37" s="664" t="s">
        <v>14</v>
      </c>
      <c r="W37" s="665">
        <f t="shared" si="14"/>
        <v>100</v>
      </c>
      <c r="X37" s="666"/>
      <c r="Y37" s="3360"/>
      <c r="Z37" s="50" t="str">
        <f t="shared" si="15"/>
        <v>市政基础设施</v>
      </c>
      <c r="AA37" s="50">
        <f t="shared" si="3"/>
        <v>1</v>
      </c>
      <c r="AB37" s="50">
        <f t="shared" si="4"/>
        <v>1</v>
      </c>
      <c r="AC37" s="50">
        <f t="shared" si="5"/>
        <v>1</v>
      </c>
    </row>
    <row r="38" spans="1:29" ht="15">
      <c r="A38" s="409"/>
      <c r="B38" s="364" t="s">
        <v>1787</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431" t="s">
        <v>1695</v>
      </c>
      <c r="Q38" s="1263" t="str">
        <f t="shared" si="11"/>
        <v>业态</v>
      </c>
      <c r="R38" s="667" t="s">
        <v>14</v>
      </c>
      <c r="S38" s="668">
        <f t="shared" si="12"/>
        <v>100</v>
      </c>
      <c r="T38" s="667" t="s">
        <v>14</v>
      </c>
      <c r="U38" s="668">
        <f t="shared" si="13"/>
        <v>100</v>
      </c>
      <c r="V38" s="667" t="s">
        <v>14</v>
      </c>
      <c r="W38" s="668">
        <f t="shared" si="14"/>
        <v>100</v>
      </c>
      <c r="X38" s="1265"/>
      <c r="Y38" s="3360" t="s">
        <v>1695</v>
      </c>
      <c r="Z38" s="1264" t="str">
        <f t="shared" si="15"/>
        <v>业态</v>
      </c>
      <c r="AA38" s="1264">
        <f t="shared" si="3"/>
        <v>1</v>
      </c>
      <c r="AB38" s="1264">
        <f t="shared" si="4"/>
        <v>1</v>
      </c>
      <c r="AC38" s="1264">
        <f t="shared" si="5"/>
        <v>1</v>
      </c>
    </row>
    <row r="39" spans="1:29" ht="15">
      <c r="A39" s="409"/>
      <c r="B39" s="364" t="s">
        <v>1788</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431"/>
      <c r="Q39" s="1263" t="str">
        <f t="shared" si="11"/>
        <v>层高</v>
      </c>
      <c r="R39" s="667" t="s">
        <v>14</v>
      </c>
      <c r="S39" s="668">
        <f t="shared" si="12"/>
        <v>100</v>
      </c>
      <c r="T39" s="667" t="s">
        <v>14</v>
      </c>
      <c r="U39" s="668">
        <f t="shared" si="13"/>
        <v>100</v>
      </c>
      <c r="V39" s="667" t="s">
        <v>14</v>
      </c>
      <c r="W39" s="668">
        <f t="shared" si="14"/>
        <v>100</v>
      </c>
      <c r="X39" s="1265"/>
      <c r="Y39" s="3360"/>
      <c r="Z39" s="1264" t="str">
        <f t="shared" si="15"/>
        <v>层高</v>
      </c>
      <c r="AA39" s="1264">
        <f t="shared" si="3"/>
        <v>1</v>
      </c>
      <c r="AB39" s="1264">
        <f t="shared" si="4"/>
        <v>1</v>
      </c>
      <c r="AC39" s="1264">
        <f t="shared" si="5"/>
        <v>1</v>
      </c>
    </row>
    <row r="40" spans="1:29" ht="15">
      <c r="A40" s="409"/>
      <c r="B40" s="364" t="s">
        <v>1789</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431"/>
      <c r="Q40" s="1263" t="str">
        <f t="shared" si="11"/>
        <v>单套建筑面积</v>
      </c>
      <c r="R40" s="667" t="s">
        <v>14</v>
      </c>
      <c r="S40" s="668">
        <f t="shared" si="12"/>
        <v>100</v>
      </c>
      <c r="T40" s="667" t="s">
        <v>14</v>
      </c>
      <c r="U40" s="668">
        <f t="shared" si="13"/>
        <v>100</v>
      </c>
      <c r="V40" s="667" t="s">
        <v>14</v>
      </c>
      <c r="W40" s="668">
        <f t="shared" si="14"/>
        <v>100</v>
      </c>
      <c r="X40" s="1265"/>
      <c r="Y40" s="3360"/>
      <c r="Z40" s="1264" t="str">
        <f t="shared" si="15"/>
        <v>单套建筑面积</v>
      </c>
      <c r="AA40" s="1264">
        <f t="shared" si="3"/>
        <v>1</v>
      </c>
      <c r="AB40" s="1264">
        <f t="shared" si="4"/>
        <v>1</v>
      </c>
      <c r="AC40" s="1264">
        <f t="shared" si="5"/>
        <v>1</v>
      </c>
    </row>
    <row r="41" spans="1:29" s="408" customFormat="1" ht="15">
      <c r="A41" s="406"/>
      <c r="B41" s="400" t="s">
        <v>1790</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431"/>
      <c r="Q41" s="531" t="str">
        <f t="shared" si="11"/>
        <v>进深比</v>
      </c>
      <c r="R41" s="669" t="s">
        <v>14</v>
      </c>
      <c r="S41" s="670">
        <f t="shared" si="12"/>
        <v>100</v>
      </c>
      <c r="T41" s="669" t="s">
        <v>14</v>
      </c>
      <c r="U41" s="670">
        <f t="shared" si="13"/>
        <v>100</v>
      </c>
      <c r="V41" s="669" t="s">
        <v>14</v>
      </c>
      <c r="W41" s="670">
        <f t="shared" si="14"/>
        <v>100</v>
      </c>
      <c r="X41" s="671"/>
      <c r="Y41" s="3360"/>
      <c r="Z41" s="672" t="str">
        <f t="shared" si="15"/>
        <v>进深比</v>
      </c>
      <c r="AA41" s="1264">
        <f t="shared" si="3"/>
        <v>1</v>
      </c>
      <c r="AB41" s="1264">
        <f t="shared" si="4"/>
        <v>1</v>
      </c>
      <c r="AC41" s="1264">
        <f t="shared" si="5"/>
        <v>1</v>
      </c>
    </row>
    <row r="42" spans="1:29" ht="15">
      <c r="A42" s="409"/>
      <c r="B42" s="364" t="s">
        <v>1791</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431"/>
      <c r="Q42" s="1263" t="str">
        <f t="shared" si="11"/>
        <v>内部装修</v>
      </c>
      <c r="R42" s="667" t="s">
        <v>14</v>
      </c>
      <c r="S42" s="668">
        <f t="shared" si="12"/>
        <v>100</v>
      </c>
      <c r="T42" s="667" t="s">
        <v>14</v>
      </c>
      <c r="U42" s="668">
        <f t="shared" si="13"/>
        <v>100</v>
      </c>
      <c r="V42" s="667" t="s">
        <v>14</v>
      </c>
      <c r="W42" s="668">
        <f t="shared" si="14"/>
        <v>100</v>
      </c>
      <c r="X42" s="1265"/>
      <c r="Y42" s="3360"/>
      <c r="Z42" s="1264" t="str">
        <f t="shared" si="15"/>
        <v>内部装修</v>
      </c>
      <c r="AA42" s="1264">
        <f t="shared" si="3"/>
        <v>1</v>
      </c>
      <c r="AB42" s="1264">
        <f t="shared" si="4"/>
        <v>1</v>
      </c>
      <c r="AC42" s="1264">
        <f t="shared" si="5"/>
        <v>1</v>
      </c>
    </row>
    <row r="43" spans="1:29" ht="15">
      <c r="A43" s="409"/>
      <c r="B43" s="364" t="s">
        <v>1706</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431"/>
      <c r="Q43" s="1263" t="str">
        <f t="shared" si="11"/>
        <v>内部装修维护情况</v>
      </c>
      <c r="R43" s="667" t="s">
        <v>14</v>
      </c>
      <c r="S43" s="668">
        <f t="shared" si="12"/>
        <v>100</v>
      </c>
      <c r="T43" s="667" t="s">
        <v>14</v>
      </c>
      <c r="U43" s="668">
        <f t="shared" si="13"/>
        <v>100</v>
      </c>
      <c r="V43" s="667" t="s">
        <v>14</v>
      </c>
      <c r="W43" s="668">
        <f t="shared" si="14"/>
        <v>100</v>
      </c>
      <c r="X43" s="1265"/>
      <c r="Y43" s="3360"/>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431"/>
      <c r="Q44" s="530">
        <f t="shared" si="11"/>
        <v>111</v>
      </c>
      <c r="R44" s="664" t="s">
        <v>14</v>
      </c>
      <c r="S44" s="665">
        <f t="shared" si="12"/>
        <v>100</v>
      </c>
      <c r="T44" s="664" t="s">
        <v>14</v>
      </c>
      <c r="U44" s="665">
        <f t="shared" si="13"/>
        <v>100</v>
      </c>
      <c r="V44" s="664" t="s">
        <v>14</v>
      </c>
      <c r="W44" s="665">
        <f t="shared" si="14"/>
        <v>100</v>
      </c>
      <c r="X44" s="666"/>
      <c r="Y44" s="3360"/>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431"/>
      <c r="Q45" s="1263">
        <f t="shared" si="11"/>
        <v>111</v>
      </c>
      <c r="R45" s="667" t="s">
        <v>14</v>
      </c>
      <c r="S45" s="668">
        <f t="shared" si="12"/>
        <v>100</v>
      </c>
      <c r="T45" s="667" t="s">
        <v>14</v>
      </c>
      <c r="U45" s="668">
        <f t="shared" si="13"/>
        <v>100</v>
      </c>
      <c r="V45" s="667" t="s">
        <v>14</v>
      </c>
      <c r="W45" s="668">
        <f t="shared" si="14"/>
        <v>100</v>
      </c>
      <c r="X45" s="1265"/>
      <c r="Y45" s="3360"/>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432"/>
      <c r="Q46" s="1263">
        <f t="shared" si="11"/>
        <v>111</v>
      </c>
      <c r="R46" s="667" t="s">
        <v>14</v>
      </c>
      <c r="S46" s="668">
        <f t="shared" si="12"/>
        <v>100</v>
      </c>
      <c r="T46" s="667" t="s">
        <v>14</v>
      </c>
      <c r="U46" s="668">
        <f t="shared" si="13"/>
        <v>100</v>
      </c>
      <c r="V46" s="667" t="s">
        <v>14</v>
      </c>
      <c r="W46" s="668">
        <f t="shared" si="14"/>
        <v>100</v>
      </c>
      <c r="X46" s="1265"/>
      <c r="Y46" s="3433"/>
      <c r="Z46" s="1264">
        <f t="shared" si="15"/>
        <v>111</v>
      </c>
      <c r="AA46" s="1264">
        <f t="shared" si="3"/>
        <v>1</v>
      </c>
      <c r="AB46" s="1264">
        <f t="shared" si="4"/>
        <v>1</v>
      </c>
      <c r="AC46" s="1264">
        <f t="shared" si="5"/>
        <v>1</v>
      </c>
    </row>
    <row r="47" spans="1:29" ht="15">
      <c r="A47" s="416" t="s">
        <v>1707</v>
      </c>
      <c r="B47" s="417"/>
      <c r="C47" s="1081" t="s">
        <v>0</v>
      </c>
      <c r="D47" s="418"/>
      <c r="E47" s="419"/>
      <c r="F47" s="420"/>
      <c r="G47" s="421"/>
      <c r="H47" s="422"/>
      <c r="I47" s="419"/>
      <c r="J47" s="422"/>
      <c r="K47" s="674"/>
      <c r="L47" s="2495"/>
      <c r="M47" s="2488"/>
      <c r="N47" s="2488"/>
      <c r="O47" s="2488"/>
      <c r="P47" s="3341" t="str">
        <f>A47</f>
        <v>成交单价（元/平方米）</v>
      </c>
      <c r="Q47" s="3341"/>
      <c r="R47" s="3357">
        <f>E47</f>
        <v>0</v>
      </c>
      <c r="S47" s="3357"/>
      <c r="T47" s="3357">
        <f>G47</f>
        <v>0</v>
      </c>
      <c r="U47" s="3357"/>
      <c r="V47" s="3357">
        <f>I47</f>
        <v>0</v>
      </c>
      <c r="W47" s="3357"/>
      <c r="X47" s="385"/>
      <c r="Y47" s="673"/>
      <c r="Z47" s="385"/>
      <c r="AA47" s="385"/>
      <c r="AB47" s="385"/>
      <c r="AC47" s="385"/>
    </row>
    <row r="48" spans="1:29" ht="15.75" thickBot="1">
      <c r="A48" s="423" t="s">
        <v>1792</v>
      </c>
      <c r="B48" s="424"/>
      <c r="C48" s="1082" t="e">
        <f>R49</f>
        <v>#DIV/0!</v>
      </c>
      <c r="D48" s="2141" t="s">
        <v>2136</v>
      </c>
      <c r="E48" s="1083" t="e">
        <f>R48</f>
        <v>#DIV/0!</v>
      </c>
      <c r="F48" s="2142"/>
      <c r="G48" s="1082" t="e">
        <f>T48</f>
        <v>#DIV/0!</v>
      </c>
      <c r="H48" s="2142"/>
      <c r="I48" s="1083" t="e">
        <f>V48</f>
        <v>#DIV/0!</v>
      </c>
      <c r="J48" s="2142"/>
      <c r="K48" s="2144">
        <f>F48+H48+J48</f>
        <v>0</v>
      </c>
      <c r="L48" s="2495"/>
      <c r="M48" s="2488"/>
      <c r="N48" s="2488"/>
      <c r="O48" s="2488"/>
      <c r="P48" s="3341" t="str">
        <f>A48</f>
        <v>比较价值（元/平方米）</v>
      </c>
      <c r="Q48" s="3341"/>
      <c r="R48" s="3357" t="e">
        <f>IF(F1="售价",ROUND(PRODUCT(R47,AA7:AA46),0),ROUND(PRODUCT(R47,AA7:AA46),1))</f>
        <v>#DIV/0!</v>
      </c>
      <c r="S48" s="3357"/>
      <c r="T48" s="3357" t="e">
        <f>IF(F1="售价",ROUND(PRODUCT(T47,AB7:AB46),0),ROUND(PRODUCT(T47,AB7:AB46),1))</f>
        <v>#DIV/0!</v>
      </c>
      <c r="U48" s="3357"/>
      <c r="V48" s="3357" t="e">
        <f>IF(F1="售价",ROUND(PRODUCT(V47,AC7:AC46),0),ROUND(PRODUCT(V47,AC7:AC46),1))</f>
        <v>#DIV/0!</v>
      </c>
      <c r="W48" s="3357"/>
      <c r="X48" s="385"/>
      <c r="Y48" s="385"/>
      <c r="Z48" s="385"/>
      <c r="AA48" s="385"/>
      <c r="AB48" s="385"/>
      <c r="AC48" s="385"/>
    </row>
    <row r="49" spans="1:29" ht="15.75" thickBot="1">
      <c r="A49" s="427" t="s">
        <v>1793</v>
      </c>
      <c r="B49" s="428"/>
      <c r="C49" s="351" t="e">
        <f>R49</f>
        <v>#DIV/0!</v>
      </c>
      <c r="D49" s="351"/>
      <c r="E49" s="351"/>
      <c r="F49" s="351"/>
      <c r="G49" s="351"/>
      <c r="H49" s="351"/>
      <c r="I49" s="351"/>
      <c r="J49" s="351"/>
      <c r="K49" s="675"/>
      <c r="L49" s="2495"/>
      <c r="M49" s="2488"/>
      <c r="N49" s="2488"/>
      <c r="O49" s="2488"/>
      <c r="P49" s="3376" t="str">
        <f>A49</f>
        <v>估价对象XX用房的比较价值（楼面单价，元/平方米）</v>
      </c>
      <c r="Q49" s="3377"/>
      <c r="R49" s="3429" t="e">
        <f>IF(F1="售价",ROUND(IF(D48="简单平均",AVERAGE(R48:V48),R48*F48+T48*H48+V48*J48),0),ROUND(IF(D48="简单平均",AVERAGE(R48:V48),R48*F48+T48*H48+V48*J48),1))</f>
        <v>#DIV/0!</v>
      </c>
      <c r="S49" s="3429"/>
      <c r="T49" s="3429"/>
      <c r="U49" s="3429"/>
      <c r="V49" s="3429"/>
      <c r="W49" s="3429"/>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1794</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1795</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1796</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1797</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1678</v>
      </c>
      <c r="B58" s="441"/>
      <c r="C58" s="1103" t="str">
        <f>YEAR(C7)&amp;"-"&amp;MONTH(C7)</f>
        <v>2024-12</v>
      </c>
      <c r="D58" s="1104">
        <f>EDATE(C58,-1)</f>
        <v>45597</v>
      </c>
      <c r="E58" s="1104">
        <f t="shared" ref="E58:N58" si="16">EDATE(D58,-1)</f>
        <v>45566</v>
      </c>
      <c r="F58" s="1104">
        <f t="shared" si="16"/>
        <v>45536</v>
      </c>
      <c r="G58" s="1104">
        <f t="shared" si="16"/>
        <v>45505</v>
      </c>
      <c r="H58" s="1104">
        <f t="shared" si="16"/>
        <v>45474</v>
      </c>
      <c r="I58" s="1104">
        <f t="shared" si="16"/>
        <v>45444</v>
      </c>
      <c r="J58" s="1104">
        <f t="shared" si="16"/>
        <v>45413</v>
      </c>
      <c r="K58" s="1104">
        <f t="shared" si="16"/>
        <v>45383</v>
      </c>
      <c r="L58" s="1104">
        <f t="shared" si="16"/>
        <v>45352</v>
      </c>
      <c r="M58" s="1104">
        <f t="shared" si="16"/>
        <v>45323</v>
      </c>
      <c r="N58" s="1104">
        <f t="shared" si="16"/>
        <v>45292</v>
      </c>
      <c r="O58" s="1104">
        <f>EDATE(N58,-1)</f>
        <v>45261</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1715</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1680</v>
      </c>
      <c r="B61" s="444"/>
      <c r="C61" s="456" t="s">
        <v>1775</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1718</v>
      </c>
      <c r="B63" s="460" t="s">
        <v>1684</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1687</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1688</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1689</v>
      </c>
      <c r="B76" s="460" t="s">
        <v>1719</v>
      </c>
      <c r="C76" s="504" t="s">
        <v>1720</v>
      </c>
      <c r="D76" s="504" t="s">
        <v>1721</v>
      </c>
      <c r="E76" s="504" t="s">
        <v>1722</v>
      </c>
      <c r="F76" s="504" t="s">
        <v>1723</v>
      </c>
      <c r="G76" s="504" t="s">
        <v>1724</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1725</v>
      </c>
      <c r="C78" s="509" t="s">
        <v>1720</v>
      </c>
      <c r="D78" s="509" t="s">
        <v>1721</v>
      </c>
      <c r="E78" s="509" t="s">
        <v>1722</v>
      </c>
      <c r="F78" s="509" t="s">
        <v>1723</v>
      </c>
      <c r="G78" s="509" t="s">
        <v>1724</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1726</v>
      </c>
      <c r="C80" s="509" t="s">
        <v>1720</v>
      </c>
      <c r="D80" s="509" t="s">
        <v>1721</v>
      </c>
      <c r="E80" s="509" t="s">
        <v>1722</v>
      </c>
      <c r="F80" s="509" t="s">
        <v>1723</v>
      </c>
      <c r="G80" s="509" t="s">
        <v>1724</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1778</v>
      </c>
      <c r="C82" s="581" t="s">
        <v>1798</v>
      </c>
      <c r="D82" s="581" t="s">
        <v>1799</v>
      </c>
      <c r="E82" s="581" t="s">
        <v>1800</v>
      </c>
      <c r="F82" s="581" t="s">
        <v>1801</v>
      </c>
      <c r="G82" s="581" t="s">
        <v>1802</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1732</v>
      </c>
      <c r="C84" s="509" t="s">
        <v>1720</v>
      </c>
      <c r="D84" s="509" t="s">
        <v>1721</v>
      </c>
      <c r="E84" s="509" t="s">
        <v>1722</v>
      </c>
      <c r="F84" s="509" t="s">
        <v>1723</v>
      </c>
      <c r="G84" s="509" t="s">
        <v>1724</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1803</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1693</v>
      </c>
      <c r="B100" s="460" t="s">
        <v>1804</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1736</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1737</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1739</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1189</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1741</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1805</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1806</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1807</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1808</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1743</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1744</v>
      </c>
      <c r="C124" s="509" t="s">
        <v>1720</v>
      </c>
      <c r="D124" s="509" t="s">
        <v>1721</v>
      </c>
      <c r="E124" s="509" t="s">
        <v>1722</v>
      </c>
      <c r="F124" s="509" t="s">
        <v>1723</v>
      </c>
      <c r="G124" s="509" t="s">
        <v>1724</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87" priority="16" stopIfTrue="1">
      <formula>$F$52="超过30%"</formula>
    </cfRule>
  </conditionalFormatting>
  <conditionalFormatting sqref="E53">
    <cfRule type="expression" dxfId="86" priority="15" stopIfTrue="1">
      <formula>$F$53="超过20%"</formula>
    </cfRule>
  </conditionalFormatting>
  <conditionalFormatting sqref="E54">
    <cfRule type="expression" dxfId="85" priority="14" stopIfTrue="1">
      <formula>$F$54="超过30%"</formula>
    </cfRule>
  </conditionalFormatting>
  <conditionalFormatting sqref="F7:F46 H7:H46 J7:J46">
    <cfRule type="cellIs" dxfId="84" priority="1" operator="notEqual">
      <formula>100</formula>
    </cfRule>
  </conditionalFormatting>
  <conditionalFormatting sqref="F48">
    <cfRule type="expression" dxfId="83" priority="4">
      <formula>$D$48="简单平均"</formula>
    </cfRule>
  </conditionalFormatting>
  <conditionalFormatting sqref="F52:F54 H52:H54">
    <cfRule type="containsText" dxfId="82" priority="17" stopIfTrue="1" operator="containsText" text="超过">
      <formula>NOT(ISERROR(SEARCH("超过",F52)))</formula>
    </cfRule>
  </conditionalFormatting>
  <conditionalFormatting sqref="G52">
    <cfRule type="expression" dxfId="81" priority="12" stopIfTrue="1">
      <formula>$H$52="超过30%"</formula>
    </cfRule>
  </conditionalFormatting>
  <conditionalFormatting sqref="G53">
    <cfRule type="expression" dxfId="80" priority="11" stopIfTrue="1">
      <formula>$H$53="超过20%"</formula>
    </cfRule>
  </conditionalFormatting>
  <conditionalFormatting sqref="G54">
    <cfRule type="expression" dxfId="79" priority="13" stopIfTrue="1">
      <formula>$H$54="超过30%"</formula>
    </cfRule>
  </conditionalFormatting>
  <conditionalFormatting sqref="H48">
    <cfRule type="expression" dxfId="78" priority="3">
      <formula>$D$48="简单平均"</formula>
    </cfRule>
  </conditionalFormatting>
  <conditionalFormatting sqref="I52">
    <cfRule type="expression" dxfId="77" priority="7" stopIfTrue="1">
      <formula>$J$52="超过30%"</formula>
    </cfRule>
  </conditionalFormatting>
  <conditionalFormatting sqref="I53">
    <cfRule type="expression" dxfId="76" priority="6" stopIfTrue="1">
      <formula>$J$53="超过20%"</formula>
    </cfRule>
  </conditionalFormatting>
  <conditionalFormatting sqref="I54">
    <cfRule type="expression" dxfId="75" priority="5" stopIfTrue="1">
      <formula>$J$54="超过30%"</formula>
    </cfRule>
  </conditionalFormatting>
  <conditionalFormatting sqref="J48">
    <cfRule type="expression" dxfId="74" priority="2">
      <formula>$D$48="简单平均"</formula>
    </cfRule>
  </conditionalFormatting>
  <conditionalFormatting sqref="J52:J54">
    <cfRule type="containsText" dxfId="7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1659</v>
      </c>
      <c r="B1" s="1808" t="s">
        <v>1809</v>
      </c>
      <c r="C1" s="1141" t="s">
        <v>1661</v>
      </c>
      <c r="D1" s="1142"/>
      <c r="E1" s="3132"/>
      <c r="F1" s="1735"/>
      <c r="G1" s="1152" t="s">
        <v>1766</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1461</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1462</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1463</v>
      </c>
      <c r="B3" s="536">
        <f>IF(C2="——",C50,ROUND(B2*10000/D3,0))</f>
        <v>0</v>
      </c>
      <c r="C3" s="344" t="s">
        <v>1767</v>
      </c>
      <c r="D3" s="343">
        <f>IF(D1="",'数据-汇总表'!E3,SUMIF('数据-汇总表'!$C19:$C33,D1,'数据-汇总表'!$E19:$E33))</f>
        <v>66288.099999999991</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1768</v>
      </c>
      <c r="B4" s="346"/>
      <c r="C4" s="3338" t="s">
        <v>1769</v>
      </c>
      <c r="D4" s="3364"/>
      <c r="E4" s="3365" t="s">
        <v>1770</v>
      </c>
      <c r="F4" s="3366"/>
      <c r="G4" s="3338" t="s">
        <v>1771</v>
      </c>
      <c r="H4" s="3364"/>
      <c r="I4" s="3338" t="s">
        <v>1772</v>
      </c>
      <c r="J4" s="3364"/>
      <c r="K4" s="537" t="s">
        <v>1773</v>
      </c>
      <c r="L4" s="2487"/>
      <c r="M4" s="2488"/>
      <c r="N4" s="2488"/>
      <c r="O4" s="2488"/>
      <c r="P4" s="3446" t="s">
        <v>1774</v>
      </c>
      <c r="Q4" s="3447"/>
      <c r="R4" s="3450" t="s">
        <v>1770</v>
      </c>
      <c r="S4" s="3451"/>
      <c r="T4" s="3450" t="s">
        <v>1771</v>
      </c>
      <c r="U4" s="3451"/>
      <c r="V4" s="3452" t="s">
        <v>1772</v>
      </c>
      <c r="W4" s="3452"/>
      <c r="X4" s="1809"/>
      <c r="Y4" s="3450" t="s">
        <v>1774</v>
      </c>
      <c r="Z4" s="3451"/>
      <c r="AA4" s="3454" t="s">
        <v>1770</v>
      </c>
      <c r="AB4" s="3454" t="s">
        <v>1771</v>
      </c>
      <c r="AC4" s="3443" t="s">
        <v>1772</v>
      </c>
    </row>
    <row r="5" spans="1:29" ht="15">
      <c r="A5" s="348"/>
      <c r="B5" s="349"/>
      <c r="C5" s="3348" t="s">
        <v>1672</v>
      </c>
      <c r="D5" s="3349"/>
      <c r="E5" s="3373" t="s">
        <v>1673</v>
      </c>
      <c r="F5" s="3374"/>
      <c r="G5" s="3348" t="s">
        <v>1674</v>
      </c>
      <c r="H5" s="3349"/>
      <c r="I5" s="3348" t="s">
        <v>1675</v>
      </c>
      <c r="J5" s="3349"/>
      <c r="K5" s="537"/>
      <c r="L5" s="2487"/>
      <c r="M5" s="2488"/>
      <c r="N5" s="2488"/>
      <c r="O5" s="2488"/>
      <c r="P5" s="3448"/>
      <c r="Q5" s="3370"/>
      <c r="R5" s="3346"/>
      <c r="S5" s="3347"/>
      <c r="T5" s="3346"/>
      <c r="U5" s="3347"/>
      <c r="V5" s="3357"/>
      <c r="W5" s="3357"/>
      <c r="X5" s="1265"/>
      <c r="Y5" s="3346"/>
      <c r="Z5" s="3347"/>
      <c r="AA5" s="3362"/>
      <c r="AB5" s="3362"/>
      <c r="AC5" s="3444"/>
    </row>
    <row r="6" spans="1:29" ht="15.75" thickBot="1">
      <c r="A6" s="350"/>
      <c r="B6" s="351"/>
      <c r="C6" s="3436" t="s">
        <v>1676</v>
      </c>
      <c r="D6" s="3437"/>
      <c r="E6" s="3438" t="s">
        <v>1676</v>
      </c>
      <c r="F6" s="3439"/>
      <c r="G6" s="3436" t="s">
        <v>1676</v>
      </c>
      <c r="H6" s="3437"/>
      <c r="I6" s="3436" t="s">
        <v>1676</v>
      </c>
      <c r="J6" s="3437"/>
      <c r="K6" s="537" t="s">
        <v>1677</v>
      </c>
      <c r="L6" s="2487"/>
      <c r="M6" s="2488"/>
      <c r="N6" s="2488"/>
      <c r="O6" s="2488"/>
      <c r="P6" s="3449"/>
      <c r="Q6" s="3372"/>
      <c r="R6" s="3346"/>
      <c r="S6" s="3347"/>
      <c r="T6" s="3355"/>
      <c r="U6" s="3356"/>
      <c r="V6" s="3357"/>
      <c r="W6" s="3357"/>
      <c r="X6" s="1265"/>
      <c r="Y6" s="3355"/>
      <c r="Z6" s="3356"/>
      <c r="AA6" s="3363"/>
      <c r="AB6" s="3363"/>
      <c r="AC6" s="3445"/>
    </row>
    <row r="7" spans="1:29" s="102" customFormat="1" ht="15.75" thickBot="1">
      <c r="A7" s="352" t="s">
        <v>1678</v>
      </c>
      <c r="B7" s="353"/>
      <c r="C7" s="354">
        <f>'数据-取费表'!B2</f>
        <v>45632</v>
      </c>
      <c r="D7" s="355">
        <v>100</v>
      </c>
      <c r="E7" s="356"/>
      <c r="F7" s="357">
        <f>SUMIF(59:59,YEAR(E7)&amp;"-"&amp;MONTH(E7),60:60)</f>
        <v>0</v>
      </c>
      <c r="G7" s="356"/>
      <c r="H7" s="355">
        <f>SUMIF(59:59,YEAR(G7)&amp;"-"&amp;MONTH(G7),60:60)</f>
        <v>0</v>
      </c>
      <c r="I7" s="356"/>
      <c r="J7" s="355">
        <f>SUMIF(59:59,YEAR(I7)&amp;"-"&amp;MONTH(I7),60:60)</f>
        <v>0</v>
      </c>
      <c r="K7" s="38"/>
      <c r="L7" s="2489"/>
      <c r="M7" s="2440"/>
      <c r="N7" s="2440"/>
      <c r="O7" s="2440"/>
      <c r="P7" s="3453" t="s">
        <v>1679</v>
      </c>
      <c r="Q7" s="3352"/>
      <c r="R7" s="664" t="s">
        <v>14</v>
      </c>
      <c r="S7" s="665">
        <f t="shared" ref="S7:S15" si="0">F7</f>
        <v>0</v>
      </c>
      <c r="T7" s="664" t="s">
        <v>14</v>
      </c>
      <c r="U7" s="665">
        <f t="shared" ref="U7:U15" si="1">H7</f>
        <v>0</v>
      </c>
      <c r="V7" s="664" t="s">
        <v>14</v>
      </c>
      <c r="W7" s="665">
        <f t="shared" ref="W7:W15" si="2">J7</f>
        <v>0</v>
      </c>
      <c r="X7" s="666"/>
      <c r="Y7" s="3342" t="s">
        <v>1679</v>
      </c>
      <c r="Z7" s="3343"/>
      <c r="AA7" s="50" t="e">
        <f>D7/F7</f>
        <v>#DIV/0!</v>
      </c>
      <c r="AB7" s="50" t="e">
        <f>D7/H7</f>
        <v>#DIV/0!</v>
      </c>
      <c r="AC7" s="802" t="e">
        <f>D7/J7</f>
        <v>#DIV/0!</v>
      </c>
    </row>
    <row r="8" spans="1:29" s="102" customFormat="1" ht="15.75" thickBot="1">
      <c r="A8" s="352" t="s">
        <v>1680</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53" t="s">
        <v>1682</v>
      </c>
      <c r="Q8" s="3343"/>
      <c r="R8" s="664" t="s">
        <v>14</v>
      </c>
      <c r="S8" s="665">
        <f t="shared" si="0"/>
        <v>100</v>
      </c>
      <c r="T8" s="664" t="s">
        <v>14</v>
      </c>
      <c r="U8" s="665">
        <f t="shared" si="1"/>
        <v>100</v>
      </c>
      <c r="V8" s="664" t="s">
        <v>14</v>
      </c>
      <c r="W8" s="665">
        <f t="shared" si="2"/>
        <v>100</v>
      </c>
      <c r="X8" s="666"/>
      <c r="Y8" s="3342" t="s">
        <v>1682</v>
      </c>
      <c r="Z8" s="3343"/>
      <c r="AA8" s="50">
        <f t="shared" ref="AA8:AA47" si="3">D8/F8</f>
        <v>1</v>
      </c>
      <c r="AB8" s="50">
        <f t="shared" ref="AB8:AB47" si="4">D8/H8</f>
        <v>1</v>
      </c>
      <c r="AC8" s="802">
        <f t="shared" ref="AC8:AC47" si="5">D8/J8</f>
        <v>1</v>
      </c>
    </row>
    <row r="9" spans="1:29" s="102" customFormat="1">
      <c r="A9" s="359" t="s">
        <v>1683</v>
      </c>
      <c r="B9" s="60" t="s">
        <v>1684</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340" t="s">
        <v>1685</v>
      </c>
      <c r="Q9" s="530" t="str">
        <f t="shared" ref="Q9:Q15" si="6">B9</f>
        <v>用途</v>
      </c>
      <c r="R9" s="664" t="s">
        <v>14</v>
      </c>
      <c r="S9" s="665">
        <f t="shared" si="0"/>
        <v>100</v>
      </c>
      <c r="T9" s="664" t="s">
        <v>14</v>
      </c>
      <c r="U9" s="665">
        <f t="shared" si="1"/>
        <v>100</v>
      </c>
      <c r="V9" s="664" t="s">
        <v>14</v>
      </c>
      <c r="W9" s="665">
        <f t="shared" si="2"/>
        <v>100</v>
      </c>
      <c r="X9" s="666"/>
      <c r="Y9" s="3242" t="s">
        <v>1686</v>
      </c>
      <c r="Z9" s="50" t="str">
        <f t="shared" ref="Z9:Z15" si="7">Q9</f>
        <v>用途</v>
      </c>
      <c r="AA9" s="50">
        <f t="shared" si="3"/>
        <v>1</v>
      </c>
      <c r="AB9" s="50">
        <f t="shared" si="4"/>
        <v>1</v>
      </c>
      <c r="AC9" s="802">
        <f t="shared" si="5"/>
        <v>1</v>
      </c>
    </row>
    <row r="10" spans="1:29" s="366" customFormat="1" ht="27">
      <c r="A10" s="363"/>
      <c r="B10" s="364" t="s">
        <v>1687</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340"/>
      <c r="Q10" s="530" t="str">
        <f t="shared" si="6"/>
        <v>土地使用年限（年）</v>
      </c>
      <c r="R10" s="664" t="s">
        <v>14</v>
      </c>
      <c r="S10" s="665">
        <f t="shared" si="0"/>
        <v>100</v>
      </c>
      <c r="T10" s="664" t="s">
        <v>14</v>
      </c>
      <c r="U10" s="665">
        <f t="shared" si="1"/>
        <v>100</v>
      </c>
      <c r="V10" s="664" t="s">
        <v>14</v>
      </c>
      <c r="W10" s="665">
        <f t="shared" si="2"/>
        <v>100</v>
      </c>
      <c r="X10" s="666"/>
      <c r="Y10" s="3242"/>
      <c r="Z10" s="50" t="str">
        <f t="shared" si="7"/>
        <v>土地使用年限（年）</v>
      </c>
      <c r="AA10" s="50">
        <f t="shared" si="3"/>
        <v>1</v>
      </c>
      <c r="AB10" s="50">
        <f t="shared" si="4"/>
        <v>1</v>
      </c>
      <c r="AC10" s="802">
        <f t="shared" si="5"/>
        <v>1</v>
      </c>
    </row>
    <row r="11" spans="1:29" ht="15">
      <c r="A11" s="367"/>
      <c r="B11" s="364" t="s">
        <v>1688</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340"/>
      <c r="Q11" s="530" t="str">
        <f t="shared" si="6"/>
        <v>容积率</v>
      </c>
      <c r="R11" s="664" t="s">
        <v>14</v>
      </c>
      <c r="S11" s="665">
        <f t="shared" si="0"/>
        <v>100</v>
      </c>
      <c r="T11" s="664" t="s">
        <v>14</v>
      </c>
      <c r="U11" s="665">
        <f t="shared" si="1"/>
        <v>100</v>
      </c>
      <c r="V11" s="664" t="s">
        <v>14</v>
      </c>
      <c r="W11" s="665">
        <f t="shared" si="2"/>
        <v>100</v>
      </c>
      <c r="X11" s="666"/>
      <c r="Y11" s="3242"/>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340"/>
      <c r="Q12" s="530">
        <f t="shared" si="6"/>
        <v>111</v>
      </c>
      <c r="R12" s="664" t="s">
        <v>14</v>
      </c>
      <c r="S12" s="665">
        <f t="shared" si="0"/>
        <v>100</v>
      </c>
      <c r="T12" s="664" t="s">
        <v>14</v>
      </c>
      <c r="U12" s="665">
        <f t="shared" si="1"/>
        <v>100</v>
      </c>
      <c r="V12" s="664" t="s">
        <v>14</v>
      </c>
      <c r="W12" s="665">
        <f t="shared" si="2"/>
        <v>100</v>
      </c>
      <c r="X12" s="666"/>
      <c r="Y12" s="3242"/>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340"/>
      <c r="Q13" s="530">
        <f t="shared" si="6"/>
        <v>111</v>
      </c>
      <c r="R13" s="664" t="s">
        <v>14</v>
      </c>
      <c r="S13" s="665">
        <f t="shared" si="0"/>
        <v>100</v>
      </c>
      <c r="T13" s="664" t="s">
        <v>14</v>
      </c>
      <c r="U13" s="665">
        <f t="shared" si="1"/>
        <v>100</v>
      </c>
      <c r="V13" s="664" t="s">
        <v>14</v>
      </c>
      <c r="W13" s="665">
        <f t="shared" si="2"/>
        <v>100</v>
      </c>
      <c r="X13" s="666"/>
      <c r="Y13" s="3242"/>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340"/>
      <c r="Q14" s="530">
        <f t="shared" si="6"/>
        <v>111</v>
      </c>
      <c r="R14" s="664" t="s">
        <v>14</v>
      </c>
      <c r="S14" s="665">
        <f t="shared" si="0"/>
        <v>100</v>
      </c>
      <c r="T14" s="664" t="s">
        <v>14</v>
      </c>
      <c r="U14" s="665">
        <f t="shared" si="1"/>
        <v>100</v>
      </c>
      <c r="V14" s="664" t="s">
        <v>14</v>
      </c>
      <c r="W14" s="665">
        <f t="shared" si="2"/>
        <v>100</v>
      </c>
      <c r="X14" s="666"/>
      <c r="Y14" s="3242"/>
      <c r="Z14" s="50">
        <f t="shared" si="7"/>
        <v>111</v>
      </c>
      <c r="AA14" s="50">
        <f t="shared" si="3"/>
        <v>1</v>
      </c>
      <c r="AB14" s="50">
        <f t="shared" si="4"/>
        <v>1</v>
      </c>
      <c r="AC14" s="802">
        <f t="shared" si="5"/>
        <v>1</v>
      </c>
    </row>
    <row r="15" spans="1:29" ht="15">
      <c r="A15" s="379" t="s">
        <v>1689</v>
      </c>
      <c r="B15" s="554" t="s">
        <v>1810</v>
      </c>
      <c r="C15" s="1811">
        <f>估价对象房地状况!C5</f>
        <v>0</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434" t="s">
        <v>1690</v>
      </c>
      <c r="Q15" s="1263" t="str">
        <f t="shared" si="6"/>
        <v>办公集聚程度</v>
      </c>
      <c r="R15" s="667" t="s">
        <v>14</v>
      </c>
      <c r="S15" s="668">
        <f t="shared" si="0"/>
        <v>100</v>
      </c>
      <c r="T15" s="667" t="s">
        <v>14</v>
      </c>
      <c r="U15" s="668">
        <f t="shared" si="1"/>
        <v>100</v>
      </c>
      <c r="V15" s="667" t="s">
        <v>14</v>
      </c>
      <c r="W15" s="668">
        <f t="shared" si="2"/>
        <v>100</v>
      </c>
      <c r="X15" s="1265"/>
      <c r="Y15" s="3358" t="s">
        <v>1690</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435"/>
      <c r="Q16" s="1263"/>
      <c r="R16" s="667"/>
      <c r="S16" s="668"/>
      <c r="T16" s="667"/>
      <c r="U16" s="668"/>
      <c r="V16" s="667"/>
      <c r="W16" s="668"/>
      <c r="X16" s="1265"/>
      <c r="Y16" s="3359"/>
      <c r="Z16" s="1264"/>
      <c r="AA16" s="1264">
        <v>1</v>
      </c>
      <c r="AB16" s="1264">
        <v>1</v>
      </c>
      <c r="AC16" s="1812">
        <v>1</v>
      </c>
    </row>
    <row r="17" spans="1:29" ht="15">
      <c r="A17" s="367"/>
      <c r="B17" s="556" t="s">
        <v>1258</v>
      </c>
      <c r="C17" s="1813">
        <f>估价对象房地状况!C6</f>
        <v>0</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435"/>
      <c r="Q17" s="1263" t="str">
        <f>B17</f>
        <v>交通便捷度</v>
      </c>
      <c r="R17" s="667" t="s">
        <v>14</v>
      </c>
      <c r="S17" s="668">
        <f>F17</f>
        <v>100</v>
      </c>
      <c r="T17" s="667" t="s">
        <v>14</v>
      </c>
      <c r="U17" s="668">
        <f>H17</f>
        <v>100</v>
      </c>
      <c r="V17" s="667" t="s">
        <v>14</v>
      </c>
      <c r="W17" s="668">
        <f>J17</f>
        <v>100</v>
      </c>
      <c r="X17" s="1265"/>
      <c r="Y17" s="3359"/>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435"/>
      <c r="Q18" s="1263"/>
      <c r="R18" s="667"/>
      <c r="S18" s="668"/>
      <c r="T18" s="667"/>
      <c r="U18" s="668"/>
      <c r="V18" s="667"/>
      <c r="W18" s="668"/>
      <c r="X18" s="1265"/>
      <c r="Y18" s="3359"/>
      <c r="Z18" s="1264"/>
      <c r="AA18" s="1264">
        <v>1</v>
      </c>
      <c r="AB18" s="1264">
        <v>1</v>
      </c>
      <c r="AC18" s="1812">
        <v>1</v>
      </c>
    </row>
    <row r="19" spans="1:29" ht="15">
      <c r="A19" s="367"/>
      <c r="B19" s="556" t="s">
        <v>1811</v>
      </c>
      <c r="C19" s="1813">
        <f>估价对象房地状况!C7</f>
        <v>0</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435"/>
      <c r="Q19" s="1263" t="str">
        <f>B19</f>
        <v>公共配套设施</v>
      </c>
      <c r="R19" s="667" t="s">
        <v>14</v>
      </c>
      <c r="S19" s="668">
        <f>F19</f>
        <v>100</v>
      </c>
      <c r="T19" s="667" t="s">
        <v>14</v>
      </c>
      <c r="U19" s="668">
        <f>H19</f>
        <v>100</v>
      </c>
      <c r="V19" s="667" t="s">
        <v>14</v>
      </c>
      <c r="W19" s="668">
        <f>J19</f>
        <v>100</v>
      </c>
      <c r="X19" s="1265"/>
      <c r="Y19" s="3359"/>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435"/>
      <c r="Q20" s="1263"/>
      <c r="R20" s="667"/>
      <c r="S20" s="668"/>
      <c r="T20" s="667"/>
      <c r="U20" s="668"/>
      <c r="V20" s="667"/>
      <c r="W20" s="668"/>
      <c r="X20" s="1265"/>
      <c r="Y20" s="3359"/>
      <c r="Z20" s="1264"/>
      <c r="AA20" s="1264">
        <v>1</v>
      </c>
      <c r="AB20" s="1264">
        <v>1</v>
      </c>
      <c r="AC20" s="1812">
        <v>1</v>
      </c>
    </row>
    <row r="21" spans="1:29" ht="15">
      <c r="A21" s="367"/>
      <c r="B21" s="557" t="s">
        <v>1812</v>
      </c>
      <c r="C21" s="1813">
        <f>估价对象房地状况!C8</f>
        <v>0</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435"/>
      <c r="Q21" s="1263" t="str">
        <f>B21</f>
        <v>基础设施水平</v>
      </c>
      <c r="R21" s="667" t="s">
        <v>14</v>
      </c>
      <c r="S21" s="668">
        <f>F21</f>
        <v>100</v>
      </c>
      <c r="T21" s="667" t="s">
        <v>14</v>
      </c>
      <c r="U21" s="668">
        <f>H21</f>
        <v>100</v>
      </c>
      <c r="V21" s="667" t="s">
        <v>14</v>
      </c>
      <c r="W21" s="668">
        <f>J21</f>
        <v>100</v>
      </c>
      <c r="X21" s="1265"/>
      <c r="Y21" s="3359"/>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435"/>
      <c r="Q22" s="1263"/>
      <c r="R22" s="667"/>
      <c r="S22" s="668"/>
      <c r="T22" s="667"/>
      <c r="U22" s="668"/>
      <c r="V22" s="667"/>
      <c r="W22" s="668"/>
      <c r="X22" s="1265"/>
      <c r="Y22" s="3359"/>
      <c r="Z22" s="1264"/>
      <c r="AA22" s="1264">
        <v>1</v>
      </c>
      <c r="AB22" s="1264">
        <v>1</v>
      </c>
      <c r="AC22" s="1812">
        <v>1</v>
      </c>
    </row>
    <row r="23" spans="1:29" ht="15">
      <c r="A23" s="367"/>
      <c r="B23" s="556" t="s">
        <v>1813</v>
      </c>
      <c r="C23" s="1813">
        <f>估价对象房地状况!C9</f>
        <v>0</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435"/>
      <c r="Q23" s="1263" t="str">
        <f>B23</f>
        <v>环境质量</v>
      </c>
      <c r="R23" s="667" t="s">
        <v>14</v>
      </c>
      <c r="S23" s="668">
        <f>F23</f>
        <v>100</v>
      </c>
      <c r="T23" s="667" t="s">
        <v>14</v>
      </c>
      <c r="U23" s="668">
        <f>H23</f>
        <v>100</v>
      </c>
      <c r="V23" s="667" t="s">
        <v>14</v>
      </c>
      <c r="W23" s="668">
        <f>J23</f>
        <v>100</v>
      </c>
      <c r="X23" s="1265"/>
      <c r="Y23" s="3359"/>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435"/>
      <c r="Q24" s="1263"/>
      <c r="R24" s="667"/>
      <c r="S24" s="668"/>
      <c r="T24" s="667"/>
      <c r="U24" s="668"/>
      <c r="V24" s="667"/>
      <c r="W24" s="668"/>
      <c r="X24" s="1265"/>
      <c r="Y24" s="3359"/>
      <c r="Z24" s="1264"/>
      <c r="AA24" s="1264">
        <v>1</v>
      </c>
      <c r="AB24" s="1264">
        <v>1</v>
      </c>
      <c r="AC24" s="1812">
        <v>1</v>
      </c>
    </row>
    <row r="25" spans="1:29" ht="27">
      <c r="A25" s="348"/>
      <c r="B25" s="556" t="s">
        <v>1814</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435"/>
      <c r="Q25" s="1263" t="str">
        <f>B25</f>
        <v>毗邻道路的类型与等级</v>
      </c>
      <c r="R25" s="667" t="s">
        <v>14</v>
      </c>
      <c r="S25" s="668">
        <f>F25</f>
        <v>100</v>
      </c>
      <c r="T25" s="667" t="s">
        <v>14</v>
      </c>
      <c r="U25" s="668">
        <f>H25</f>
        <v>100</v>
      </c>
      <c r="V25" s="667" t="s">
        <v>14</v>
      </c>
      <c r="W25" s="668">
        <f>J25</f>
        <v>100</v>
      </c>
      <c r="X25" s="1265"/>
      <c r="Y25" s="3359"/>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435"/>
      <c r="Q26" s="1263"/>
      <c r="R26" s="667"/>
      <c r="S26" s="668"/>
      <c r="T26" s="667"/>
      <c r="U26" s="668"/>
      <c r="V26" s="667"/>
      <c r="W26" s="668"/>
      <c r="X26" s="1265"/>
      <c r="Y26" s="3359"/>
      <c r="Z26" s="1264"/>
      <c r="AA26" s="1264">
        <v>1</v>
      </c>
      <c r="AB26" s="1264">
        <v>1</v>
      </c>
      <c r="AC26" s="1812">
        <v>1</v>
      </c>
    </row>
    <row r="27" spans="1:29" ht="15">
      <c r="A27" s="367"/>
      <c r="B27" s="401" t="s">
        <v>1782</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435"/>
      <c r="Q27" s="1263" t="str">
        <f t="shared" ref="Q27:Q47" si="11">B27</f>
        <v>楼层</v>
      </c>
      <c r="R27" s="667" t="s">
        <v>14</v>
      </c>
      <c r="S27" s="668">
        <f>F27</f>
        <v>100</v>
      </c>
      <c r="T27" s="667" t="s">
        <v>14</v>
      </c>
      <c r="U27" s="668">
        <f>H27</f>
        <v>100</v>
      </c>
      <c r="V27" s="667" t="s">
        <v>14</v>
      </c>
      <c r="W27" s="668">
        <f>J27</f>
        <v>100</v>
      </c>
      <c r="X27" s="1265"/>
      <c r="Y27" s="3359"/>
      <c r="Z27" s="1264" t="str">
        <f>Q27</f>
        <v>楼层</v>
      </c>
      <c r="AA27" s="1264">
        <f t="shared" si="3"/>
        <v>1</v>
      </c>
      <c r="AB27" s="1264">
        <f t="shared" si="4"/>
        <v>1</v>
      </c>
      <c r="AC27" s="1812">
        <f t="shared" si="5"/>
        <v>1</v>
      </c>
    </row>
    <row r="28" spans="1:29" s="102" customFormat="1" ht="15">
      <c r="A28" s="370"/>
      <c r="B28" s="556" t="s">
        <v>1815</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435"/>
      <c r="Q28" s="530" t="str">
        <f t="shared" si="11"/>
        <v>朝向</v>
      </c>
      <c r="R28" s="664" t="s">
        <v>14</v>
      </c>
      <c r="S28" s="665">
        <f>F28</f>
        <v>100</v>
      </c>
      <c r="T28" s="664" t="s">
        <v>14</v>
      </c>
      <c r="U28" s="665">
        <f>H28</f>
        <v>100</v>
      </c>
      <c r="V28" s="664" t="s">
        <v>14</v>
      </c>
      <c r="W28" s="665">
        <f>J28</f>
        <v>100</v>
      </c>
      <c r="X28" s="666"/>
      <c r="Y28" s="3359"/>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435"/>
      <c r="Q29" s="1263">
        <f t="shared" si="11"/>
        <v>111</v>
      </c>
      <c r="R29" s="667" t="s">
        <v>14</v>
      </c>
      <c r="S29" s="668">
        <f t="shared" ref="S29:S47" si="12">F29</f>
        <v>100</v>
      </c>
      <c r="T29" s="667" t="s">
        <v>14</v>
      </c>
      <c r="U29" s="668">
        <f t="shared" ref="U29:U47" si="13">H29</f>
        <v>100</v>
      </c>
      <c r="V29" s="667" t="s">
        <v>14</v>
      </c>
      <c r="W29" s="668">
        <f t="shared" ref="W29:W47" si="14">J29</f>
        <v>100</v>
      </c>
      <c r="X29" s="1265"/>
      <c r="Y29" s="3359"/>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435"/>
      <c r="Q30" s="1263">
        <f t="shared" si="11"/>
        <v>111</v>
      </c>
      <c r="R30" s="667" t="s">
        <v>14</v>
      </c>
      <c r="S30" s="668">
        <f t="shared" si="12"/>
        <v>100</v>
      </c>
      <c r="T30" s="667" t="s">
        <v>14</v>
      </c>
      <c r="U30" s="668">
        <f t="shared" si="13"/>
        <v>100</v>
      </c>
      <c r="V30" s="667" t="s">
        <v>14</v>
      </c>
      <c r="W30" s="668">
        <f t="shared" si="14"/>
        <v>100</v>
      </c>
      <c r="X30" s="1265"/>
      <c r="Y30" s="3359"/>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435"/>
      <c r="Q31" s="1263">
        <f t="shared" si="11"/>
        <v>111</v>
      </c>
      <c r="R31" s="667" t="s">
        <v>14</v>
      </c>
      <c r="S31" s="668">
        <f t="shared" si="12"/>
        <v>100</v>
      </c>
      <c r="T31" s="667" t="s">
        <v>14</v>
      </c>
      <c r="U31" s="668">
        <f t="shared" si="13"/>
        <v>100</v>
      </c>
      <c r="V31" s="667" t="s">
        <v>14</v>
      </c>
      <c r="W31" s="668">
        <f t="shared" si="14"/>
        <v>100</v>
      </c>
      <c r="X31" s="1265"/>
      <c r="Y31" s="3359"/>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435"/>
      <c r="Q32" s="1263">
        <f t="shared" si="11"/>
        <v>111</v>
      </c>
      <c r="R32" s="667" t="s">
        <v>14</v>
      </c>
      <c r="S32" s="668">
        <f t="shared" si="12"/>
        <v>100</v>
      </c>
      <c r="T32" s="667" t="s">
        <v>14</v>
      </c>
      <c r="U32" s="668">
        <f t="shared" si="13"/>
        <v>100</v>
      </c>
      <c r="V32" s="667" t="s">
        <v>14</v>
      </c>
      <c r="W32" s="668">
        <f t="shared" si="14"/>
        <v>100</v>
      </c>
      <c r="X32" s="1265"/>
      <c r="Y32" s="3359"/>
      <c r="Z32" s="1264">
        <f t="shared" si="15"/>
        <v>111</v>
      </c>
      <c r="AA32" s="1264">
        <f t="shared" si="3"/>
        <v>1</v>
      </c>
      <c r="AB32" s="1264">
        <f t="shared" si="4"/>
        <v>1</v>
      </c>
      <c r="AC32" s="1812">
        <f t="shared" si="5"/>
        <v>1</v>
      </c>
    </row>
    <row r="33" spans="1:29" ht="15">
      <c r="A33" s="379" t="s">
        <v>1693</v>
      </c>
      <c r="B33" s="60" t="s">
        <v>1816</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430" t="s">
        <v>1695</v>
      </c>
      <c r="Q33" s="1263" t="str">
        <f t="shared" si="11"/>
        <v>建筑类型</v>
      </c>
      <c r="R33" s="667" t="s">
        <v>14</v>
      </c>
      <c r="S33" s="668">
        <f t="shared" si="12"/>
        <v>100</v>
      </c>
      <c r="T33" s="667" t="s">
        <v>14</v>
      </c>
      <c r="U33" s="668">
        <f t="shared" si="13"/>
        <v>100</v>
      </c>
      <c r="V33" s="667" t="s">
        <v>14</v>
      </c>
      <c r="W33" s="668">
        <f t="shared" si="14"/>
        <v>100</v>
      </c>
      <c r="X33" s="1265"/>
      <c r="Y33" s="3360" t="s">
        <v>1695</v>
      </c>
      <c r="Z33" s="1264" t="str">
        <f t="shared" si="15"/>
        <v>建筑类型</v>
      </c>
      <c r="AA33" s="1264">
        <f t="shared" si="3"/>
        <v>1</v>
      </c>
      <c r="AB33" s="1264">
        <f t="shared" si="4"/>
        <v>1</v>
      </c>
      <c r="AC33" s="1812">
        <f t="shared" si="5"/>
        <v>1</v>
      </c>
    </row>
    <row r="34" spans="1:29" s="408" customFormat="1" ht="15">
      <c r="A34" s="406"/>
      <c r="B34" s="364" t="s">
        <v>1696</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431"/>
      <c r="Q34" s="531" t="str">
        <f t="shared" si="11"/>
        <v>项目建筑规模</v>
      </c>
      <c r="R34" s="669" t="s">
        <v>14</v>
      </c>
      <c r="S34" s="670" t="e">
        <f t="shared" si="12"/>
        <v>#N/A</v>
      </c>
      <c r="T34" s="669" t="s">
        <v>14</v>
      </c>
      <c r="U34" s="670" t="e">
        <f t="shared" si="13"/>
        <v>#N/A</v>
      </c>
      <c r="V34" s="669" t="s">
        <v>14</v>
      </c>
      <c r="W34" s="670" t="e">
        <f t="shared" si="14"/>
        <v>#N/A</v>
      </c>
      <c r="X34" s="671"/>
      <c r="Y34" s="3360"/>
      <c r="Z34" s="672" t="str">
        <f t="shared" si="15"/>
        <v>项目建筑规模</v>
      </c>
      <c r="AA34" s="1264" t="e">
        <f t="shared" si="3"/>
        <v>#N/A</v>
      </c>
      <c r="AB34" s="1264" t="e">
        <f t="shared" si="4"/>
        <v>#N/A</v>
      </c>
      <c r="AC34" s="1812" t="e">
        <f t="shared" si="5"/>
        <v>#N/A</v>
      </c>
    </row>
    <row r="35" spans="1:29" ht="15">
      <c r="A35" s="409"/>
      <c r="B35" s="364" t="s">
        <v>1697</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431"/>
      <c r="Q35" s="1263" t="str">
        <f t="shared" si="11"/>
        <v>建筑结构</v>
      </c>
      <c r="R35" s="667" t="s">
        <v>14</v>
      </c>
      <c r="S35" s="668">
        <f t="shared" si="12"/>
        <v>100</v>
      </c>
      <c r="T35" s="667" t="s">
        <v>14</v>
      </c>
      <c r="U35" s="668">
        <f t="shared" si="13"/>
        <v>100</v>
      </c>
      <c r="V35" s="667" t="s">
        <v>14</v>
      </c>
      <c r="W35" s="668">
        <f t="shared" si="14"/>
        <v>100</v>
      </c>
      <c r="X35" s="1265"/>
      <c r="Y35" s="3360"/>
      <c r="Z35" s="1264" t="str">
        <f t="shared" si="15"/>
        <v>建筑结构</v>
      </c>
      <c r="AA35" s="1264">
        <f t="shared" si="3"/>
        <v>1</v>
      </c>
      <c r="AB35" s="1264">
        <f t="shared" si="4"/>
        <v>1</v>
      </c>
      <c r="AC35" s="1812">
        <f t="shared" si="5"/>
        <v>1</v>
      </c>
    </row>
    <row r="36" spans="1:29" ht="15">
      <c r="A36" s="409"/>
      <c r="B36" s="364" t="s">
        <v>1784</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431"/>
      <c r="Q36" s="1263" t="str">
        <f t="shared" si="11"/>
        <v>公共部分装修</v>
      </c>
      <c r="R36" s="667" t="s">
        <v>14</v>
      </c>
      <c r="S36" s="668">
        <f t="shared" si="12"/>
        <v>100</v>
      </c>
      <c r="T36" s="667" t="s">
        <v>14</v>
      </c>
      <c r="U36" s="668">
        <f t="shared" si="13"/>
        <v>100</v>
      </c>
      <c r="V36" s="667" t="s">
        <v>14</v>
      </c>
      <c r="W36" s="668">
        <f t="shared" si="14"/>
        <v>100</v>
      </c>
      <c r="X36" s="1265"/>
      <c r="Y36" s="3360"/>
      <c r="Z36" s="1264" t="str">
        <f t="shared" si="15"/>
        <v>公共部分装修</v>
      </c>
      <c r="AA36" s="1264">
        <f t="shared" si="3"/>
        <v>1</v>
      </c>
      <c r="AB36" s="1264">
        <f t="shared" si="4"/>
        <v>1</v>
      </c>
      <c r="AC36" s="1812">
        <f t="shared" si="5"/>
        <v>1</v>
      </c>
    </row>
    <row r="37" spans="1:29" ht="15">
      <c r="A37" s="409"/>
      <c r="B37" s="364" t="s">
        <v>1785</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431"/>
      <c r="Q37" s="1263" t="str">
        <f t="shared" si="11"/>
        <v>成新度</v>
      </c>
      <c r="R37" s="667" t="s">
        <v>14</v>
      </c>
      <c r="S37" s="668" t="e">
        <f t="shared" si="12"/>
        <v>#N/A</v>
      </c>
      <c r="T37" s="667" t="s">
        <v>14</v>
      </c>
      <c r="U37" s="668" t="e">
        <f t="shared" si="13"/>
        <v>#N/A</v>
      </c>
      <c r="V37" s="667" t="s">
        <v>14</v>
      </c>
      <c r="W37" s="668" t="e">
        <f t="shared" si="14"/>
        <v>#N/A</v>
      </c>
      <c r="X37" s="1265"/>
      <c r="Y37" s="3360"/>
      <c r="Z37" s="1264" t="str">
        <f t="shared" si="15"/>
        <v>成新度</v>
      </c>
      <c r="AA37" s="1264" t="e">
        <f t="shared" si="3"/>
        <v>#N/A</v>
      </c>
      <c r="AB37" s="1264" t="e">
        <f t="shared" si="4"/>
        <v>#N/A</v>
      </c>
      <c r="AC37" s="1812" t="e">
        <f t="shared" si="5"/>
        <v>#N/A</v>
      </c>
    </row>
    <row r="38" spans="1:29" s="102" customFormat="1" ht="15">
      <c r="A38" s="410"/>
      <c r="B38" s="364" t="s">
        <v>1817</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431"/>
      <c r="Q38" s="530" t="str">
        <f t="shared" si="11"/>
        <v>写字楼等级</v>
      </c>
      <c r="R38" s="664" t="s">
        <v>14</v>
      </c>
      <c r="S38" s="665">
        <f t="shared" si="12"/>
        <v>100</v>
      </c>
      <c r="T38" s="664" t="s">
        <v>14</v>
      </c>
      <c r="U38" s="665">
        <f t="shared" si="13"/>
        <v>100</v>
      </c>
      <c r="V38" s="664" t="s">
        <v>14</v>
      </c>
      <c r="W38" s="665">
        <f t="shared" si="14"/>
        <v>100</v>
      </c>
      <c r="X38" s="666"/>
      <c r="Y38" s="3360"/>
      <c r="Z38" s="50" t="str">
        <f t="shared" si="15"/>
        <v>写字楼等级</v>
      </c>
      <c r="AA38" s="50">
        <f t="shared" si="3"/>
        <v>1</v>
      </c>
      <c r="AB38" s="50">
        <f t="shared" si="4"/>
        <v>1</v>
      </c>
      <c r="AC38" s="802">
        <f t="shared" si="5"/>
        <v>1</v>
      </c>
    </row>
    <row r="39" spans="1:29" ht="15">
      <c r="A39" s="409"/>
      <c r="B39" s="364" t="s">
        <v>1818</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431" t="s">
        <v>1695</v>
      </c>
      <c r="Q39" s="1263" t="str">
        <f t="shared" si="11"/>
        <v>物业管理</v>
      </c>
      <c r="R39" s="667" t="s">
        <v>14</v>
      </c>
      <c r="S39" s="668">
        <f t="shared" si="12"/>
        <v>100</v>
      </c>
      <c r="T39" s="667" t="s">
        <v>14</v>
      </c>
      <c r="U39" s="668">
        <f t="shared" si="13"/>
        <v>100</v>
      </c>
      <c r="V39" s="667" t="s">
        <v>14</v>
      </c>
      <c r="W39" s="668">
        <f t="shared" si="14"/>
        <v>100</v>
      </c>
      <c r="X39" s="1265"/>
      <c r="Y39" s="3360" t="s">
        <v>1695</v>
      </c>
      <c r="Z39" s="1264" t="str">
        <f t="shared" si="15"/>
        <v>物业管理</v>
      </c>
      <c r="AA39" s="1264">
        <f t="shared" si="3"/>
        <v>1</v>
      </c>
      <c r="AB39" s="1264">
        <f t="shared" si="4"/>
        <v>1</v>
      </c>
      <c r="AC39" s="1812">
        <f t="shared" si="5"/>
        <v>1</v>
      </c>
    </row>
    <row r="40" spans="1:29" ht="15">
      <c r="A40" s="409"/>
      <c r="B40" s="364" t="s">
        <v>1786</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431"/>
      <c r="Q40" s="1263" t="str">
        <f t="shared" si="11"/>
        <v>市政基础设施</v>
      </c>
      <c r="R40" s="667" t="s">
        <v>14</v>
      </c>
      <c r="S40" s="668">
        <f t="shared" si="12"/>
        <v>100</v>
      </c>
      <c r="T40" s="667" t="s">
        <v>14</v>
      </c>
      <c r="U40" s="668">
        <f t="shared" si="13"/>
        <v>100</v>
      </c>
      <c r="V40" s="667" t="s">
        <v>14</v>
      </c>
      <c r="W40" s="668">
        <f t="shared" si="14"/>
        <v>100</v>
      </c>
      <c r="X40" s="1265"/>
      <c r="Y40" s="3360"/>
      <c r="Z40" s="1264" t="str">
        <f t="shared" si="15"/>
        <v>市政基础设施</v>
      </c>
      <c r="AA40" s="1264">
        <f t="shared" si="3"/>
        <v>1</v>
      </c>
      <c r="AB40" s="1264">
        <f t="shared" si="4"/>
        <v>1</v>
      </c>
      <c r="AC40" s="1812">
        <f t="shared" si="5"/>
        <v>1</v>
      </c>
    </row>
    <row r="41" spans="1:29" ht="15">
      <c r="A41" s="409"/>
      <c r="B41" s="364" t="s">
        <v>1788</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431"/>
      <c r="Q41" s="1263" t="str">
        <f t="shared" si="11"/>
        <v>层高</v>
      </c>
      <c r="R41" s="667" t="s">
        <v>14</v>
      </c>
      <c r="S41" s="668">
        <f t="shared" si="12"/>
        <v>100</v>
      </c>
      <c r="T41" s="667" t="s">
        <v>14</v>
      </c>
      <c r="U41" s="668">
        <f t="shared" si="13"/>
        <v>100</v>
      </c>
      <c r="V41" s="667" t="s">
        <v>14</v>
      </c>
      <c r="W41" s="668">
        <f t="shared" si="14"/>
        <v>100</v>
      </c>
      <c r="X41" s="1265"/>
      <c r="Y41" s="3360"/>
      <c r="Z41" s="1264" t="str">
        <f t="shared" si="15"/>
        <v>层高</v>
      </c>
      <c r="AA41" s="1264">
        <f t="shared" si="3"/>
        <v>1</v>
      </c>
      <c r="AB41" s="1264">
        <f t="shared" si="4"/>
        <v>1</v>
      </c>
      <c r="AC41" s="1812">
        <f t="shared" si="5"/>
        <v>1</v>
      </c>
    </row>
    <row r="42" spans="1:29" s="408" customFormat="1" ht="15">
      <c r="A42" s="406"/>
      <c r="B42" s="400" t="s">
        <v>1819</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431"/>
      <c r="Q42" s="531" t="str">
        <f t="shared" si="11"/>
        <v>单套建筑面积</v>
      </c>
      <c r="R42" s="669" t="s">
        <v>14</v>
      </c>
      <c r="S42" s="670">
        <f t="shared" si="12"/>
        <v>100</v>
      </c>
      <c r="T42" s="669" t="s">
        <v>14</v>
      </c>
      <c r="U42" s="670">
        <f t="shared" si="13"/>
        <v>100</v>
      </c>
      <c r="V42" s="669" t="s">
        <v>14</v>
      </c>
      <c r="W42" s="670">
        <f t="shared" si="14"/>
        <v>100</v>
      </c>
      <c r="X42" s="671"/>
      <c r="Y42" s="3360"/>
      <c r="Z42" s="672" t="str">
        <f t="shared" si="15"/>
        <v>单套建筑面积</v>
      </c>
      <c r="AA42" s="1264">
        <f t="shared" si="3"/>
        <v>1</v>
      </c>
      <c r="AB42" s="1264">
        <f t="shared" si="4"/>
        <v>1</v>
      </c>
      <c r="AC42" s="1812">
        <f t="shared" si="5"/>
        <v>1</v>
      </c>
    </row>
    <row r="43" spans="1:29" ht="15">
      <c r="A43" s="409"/>
      <c r="B43" s="364" t="s">
        <v>1791</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431"/>
      <c r="Q43" s="1263" t="str">
        <f t="shared" si="11"/>
        <v>内部装修</v>
      </c>
      <c r="R43" s="667" t="s">
        <v>14</v>
      </c>
      <c r="S43" s="668">
        <f t="shared" si="12"/>
        <v>100</v>
      </c>
      <c r="T43" s="667" t="s">
        <v>14</v>
      </c>
      <c r="U43" s="668">
        <f t="shared" si="13"/>
        <v>100</v>
      </c>
      <c r="V43" s="667" t="s">
        <v>14</v>
      </c>
      <c r="W43" s="668">
        <f t="shared" si="14"/>
        <v>100</v>
      </c>
      <c r="X43" s="1265"/>
      <c r="Y43" s="3360"/>
      <c r="Z43" s="1264" t="str">
        <f t="shared" si="15"/>
        <v>内部装修</v>
      </c>
      <c r="AA43" s="1264">
        <f t="shared" si="3"/>
        <v>1</v>
      </c>
      <c r="AB43" s="1264">
        <f t="shared" si="4"/>
        <v>1</v>
      </c>
      <c r="AC43" s="1812">
        <f t="shared" si="5"/>
        <v>1</v>
      </c>
    </row>
    <row r="44" spans="1:29" ht="15">
      <c r="A44" s="409"/>
      <c r="B44" s="364" t="s">
        <v>1706</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431"/>
      <c r="Q44" s="1263" t="str">
        <f t="shared" si="11"/>
        <v>内部装修维护情况</v>
      </c>
      <c r="R44" s="667" t="s">
        <v>14</v>
      </c>
      <c r="S44" s="668">
        <f t="shared" si="12"/>
        <v>100</v>
      </c>
      <c r="T44" s="667" t="s">
        <v>14</v>
      </c>
      <c r="U44" s="668">
        <f t="shared" si="13"/>
        <v>100</v>
      </c>
      <c r="V44" s="667" t="s">
        <v>14</v>
      </c>
      <c r="W44" s="668">
        <f t="shared" si="14"/>
        <v>100</v>
      </c>
      <c r="X44" s="1265"/>
      <c r="Y44" s="3360"/>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431"/>
      <c r="Q45" s="530">
        <f t="shared" si="11"/>
        <v>111</v>
      </c>
      <c r="R45" s="664" t="s">
        <v>14</v>
      </c>
      <c r="S45" s="665">
        <f t="shared" si="12"/>
        <v>100</v>
      </c>
      <c r="T45" s="664" t="s">
        <v>14</v>
      </c>
      <c r="U45" s="665">
        <f t="shared" si="13"/>
        <v>100</v>
      </c>
      <c r="V45" s="664" t="s">
        <v>14</v>
      </c>
      <c r="W45" s="665">
        <f t="shared" si="14"/>
        <v>100</v>
      </c>
      <c r="X45" s="666"/>
      <c r="Y45" s="3360"/>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431"/>
      <c r="Q46" s="1263">
        <f t="shared" si="11"/>
        <v>111</v>
      </c>
      <c r="R46" s="667" t="s">
        <v>14</v>
      </c>
      <c r="S46" s="668">
        <f t="shared" si="12"/>
        <v>100</v>
      </c>
      <c r="T46" s="667" t="s">
        <v>14</v>
      </c>
      <c r="U46" s="668">
        <f t="shared" si="13"/>
        <v>100</v>
      </c>
      <c r="V46" s="667" t="s">
        <v>14</v>
      </c>
      <c r="W46" s="668">
        <f t="shared" si="14"/>
        <v>100</v>
      </c>
      <c r="X46" s="1265"/>
      <c r="Y46" s="3360"/>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432"/>
      <c r="Q47" s="1263">
        <f t="shared" si="11"/>
        <v>111</v>
      </c>
      <c r="R47" s="667" t="s">
        <v>14</v>
      </c>
      <c r="S47" s="668">
        <f t="shared" si="12"/>
        <v>100</v>
      </c>
      <c r="T47" s="667" t="s">
        <v>14</v>
      </c>
      <c r="U47" s="668">
        <f t="shared" si="13"/>
        <v>100</v>
      </c>
      <c r="V47" s="667" t="s">
        <v>14</v>
      </c>
      <c r="W47" s="668">
        <f t="shared" si="14"/>
        <v>100</v>
      </c>
      <c r="X47" s="1265"/>
      <c r="Y47" s="3433"/>
      <c r="Z47" s="1264">
        <f t="shared" si="15"/>
        <v>111</v>
      </c>
      <c r="AA47" s="1264">
        <f t="shared" si="3"/>
        <v>1</v>
      </c>
      <c r="AB47" s="1264">
        <f t="shared" si="4"/>
        <v>1</v>
      </c>
      <c r="AC47" s="1812">
        <f t="shared" si="5"/>
        <v>1</v>
      </c>
    </row>
    <row r="48" spans="1:29" ht="15">
      <c r="A48" s="416" t="s">
        <v>1707</v>
      </c>
      <c r="B48" s="417"/>
      <c r="C48" s="1081" t="s">
        <v>0</v>
      </c>
      <c r="D48" s="418"/>
      <c r="E48" s="419"/>
      <c r="F48" s="420"/>
      <c r="G48" s="421"/>
      <c r="H48" s="422"/>
      <c r="I48" s="419"/>
      <c r="J48" s="422"/>
      <c r="K48" s="674"/>
      <c r="L48" s="2495"/>
      <c r="M48" s="2488"/>
      <c r="N48" s="2488"/>
      <c r="O48" s="2488"/>
      <c r="P48" s="3340" t="str">
        <f>A48</f>
        <v>成交单价（元/平方米）</v>
      </c>
      <c r="Q48" s="3341"/>
      <c r="R48" s="3357">
        <f>E48</f>
        <v>0</v>
      </c>
      <c r="S48" s="3357"/>
      <c r="T48" s="3357">
        <f>G48</f>
        <v>0</v>
      </c>
      <c r="U48" s="3357"/>
      <c r="V48" s="3357">
        <f>I48</f>
        <v>0</v>
      </c>
      <c r="W48" s="3357"/>
      <c r="X48" s="385"/>
      <c r="Y48" s="673"/>
      <c r="Z48" s="385"/>
      <c r="AA48" s="385"/>
      <c r="AB48" s="385"/>
      <c r="AC48" s="555"/>
    </row>
    <row r="49" spans="1:29" ht="15.75" thickBot="1">
      <c r="A49" s="423" t="s">
        <v>1792</v>
      </c>
      <c r="B49" s="424"/>
      <c r="C49" s="1082" t="e">
        <f>R50</f>
        <v>#DIV/0!</v>
      </c>
      <c r="D49" s="2141" t="s">
        <v>2136</v>
      </c>
      <c r="E49" s="1083" t="e">
        <f>R49</f>
        <v>#DIV/0!</v>
      </c>
      <c r="F49" s="2142"/>
      <c r="G49" s="1082" t="e">
        <f>T49</f>
        <v>#DIV/0!</v>
      </c>
      <c r="H49" s="2142"/>
      <c r="I49" s="1083" t="e">
        <f>V49</f>
        <v>#DIV/0!</v>
      </c>
      <c r="J49" s="2142"/>
      <c r="K49" s="2144">
        <f>F49+H49+J49</f>
        <v>0</v>
      </c>
      <c r="L49" s="2495"/>
      <c r="M49" s="2488"/>
      <c r="N49" s="2488"/>
      <c r="O49" s="2488"/>
      <c r="P49" s="3340" t="str">
        <f>A49</f>
        <v>比较价值（元/平方米）</v>
      </c>
      <c r="Q49" s="3341"/>
      <c r="R49" s="3357" t="e">
        <f>IF(F1="售价",ROUND(PRODUCT(R48,AA7:AA47),0),ROUND(PRODUCT(R48,AA7:AA47),1))</f>
        <v>#DIV/0!</v>
      </c>
      <c r="S49" s="3357"/>
      <c r="T49" s="3357" t="e">
        <f>IF(F1="售价",ROUND(PRODUCT(T48,AB7:AB47),0),ROUND(PRODUCT(T48,AB7:AB47),1))</f>
        <v>#DIV/0!</v>
      </c>
      <c r="U49" s="3357"/>
      <c r="V49" s="3357" t="e">
        <f>IF(F1="售价",ROUND(PRODUCT(V48,AC7:AC47),0),ROUND(PRODUCT(V48,AC7:AC47),1))</f>
        <v>#DIV/0!</v>
      </c>
      <c r="W49" s="3357"/>
      <c r="X49" s="385"/>
      <c r="Y49" s="385"/>
      <c r="Z49" s="385"/>
      <c r="AA49" s="385"/>
      <c r="AB49" s="385"/>
      <c r="AC49" s="555"/>
    </row>
    <row r="50" spans="1:29" ht="15.75" thickBot="1">
      <c r="A50" s="427" t="s">
        <v>1793</v>
      </c>
      <c r="B50" s="428"/>
      <c r="C50" s="351" t="e">
        <f>R50</f>
        <v>#DIV/0!</v>
      </c>
      <c r="D50" s="351"/>
      <c r="E50" s="351"/>
      <c r="F50" s="351"/>
      <c r="G50" s="351"/>
      <c r="H50" s="351"/>
      <c r="I50" s="351"/>
      <c r="J50" s="429"/>
      <c r="K50" s="675"/>
      <c r="L50" s="2495"/>
      <c r="M50" s="2488"/>
      <c r="N50" s="2488"/>
      <c r="O50" s="2488"/>
      <c r="P50" s="3440" t="str">
        <f>A50</f>
        <v>估价对象XX用房的比较价值（楼面单价，元/平方米）</v>
      </c>
      <c r="Q50" s="3441"/>
      <c r="R50" s="3442" t="e">
        <f>IF(F1="售价",ROUND(IF(D49="简单平均",AVERAGE(R49:V49),R49*F49+T49*H49+V49*J49),0),ROUND(IF(D49="简单平均",AVERAGE(R49:V49),R49*F49+T49*H49+V49*J49),1))</f>
        <v>#DIV/0!</v>
      </c>
      <c r="S50" s="3442"/>
      <c r="T50" s="3442"/>
      <c r="U50" s="3442"/>
      <c r="V50" s="3442"/>
      <c r="W50" s="3442"/>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1794</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1795</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1796</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1797</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1678</v>
      </c>
      <c r="B59" s="441"/>
      <c r="C59" s="1103" t="str">
        <f>YEAR(C7)&amp;"-"&amp;MONTH(C7)</f>
        <v>2024-12</v>
      </c>
      <c r="D59" s="1104">
        <f>EDATE(C59,-1)</f>
        <v>45597</v>
      </c>
      <c r="E59" s="1104">
        <f>EDATE(D59,-1)</f>
        <v>45566</v>
      </c>
      <c r="F59" s="1104">
        <f t="shared" ref="F59:O59" si="16">EDATE(E59,-1)</f>
        <v>45536</v>
      </c>
      <c r="G59" s="1104">
        <f t="shared" si="16"/>
        <v>45505</v>
      </c>
      <c r="H59" s="1104">
        <f t="shared" si="16"/>
        <v>45474</v>
      </c>
      <c r="I59" s="1104">
        <f t="shared" si="16"/>
        <v>45444</v>
      </c>
      <c r="J59" s="1104">
        <f t="shared" si="16"/>
        <v>45413</v>
      </c>
      <c r="K59" s="1104">
        <f t="shared" si="16"/>
        <v>45383</v>
      </c>
      <c r="L59" s="1104">
        <f t="shared" si="16"/>
        <v>45352</v>
      </c>
      <c r="M59" s="1104">
        <f t="shared" si="16"/>
        <v>45323</v>
      </c>
      <c r="N59" s="1104">
        <f t="shared" si="16"/>
        <v>45292</v>
      </c>
      <c r="O59" s="1104">
        <f t="shared" si="16"/>
        <v>45261</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1715</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1680</v>
      </c>
      <c r="B62" s="444"/>
      <c r="C62" s="456" t="s">
        <v>1775</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1718</v>
      </c>
      <c r="B64" s="460" t="s">
        <v>1684</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1687</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1688</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1689</v>
      </c>
      <c r="B77" s="460" t="s">
        <v>1820</v>
      </c>
      <c r="C77" s="504" t="s">
        <v>1720</v>
      </c>
      <c r="D77" s="504" t="s">
        <v>1721</v>
      </c>
      <c r="E77" s="504" t="s">
        <v>1722</v>
      </c>
      <c r="F77" s="504" t="s">
        <v>1723</v>
      </c>
      <c r="G77" s="504" t="s">
        <v>1724</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1725</v>
      </c>
      <c r="C79" s="509" t="s">
        <v>1720</v>
      </c>
      <c r="D79" s="509" t="s">
        <v>1721</v>
      </c>
      <c r="E79" s="509" t="s">
        <v>1722</v>
      </c>
      <c r="F79" s="509" t="s">
        <v>1723</v>
      </c>
      <c r="G79" s="509" t="s">
        <v>1724</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1726</v>
      </c>
      <c r="C81" s="509" t="s">
        <v>1720</v>
      </c>
      <c r="D81" s="509" t="s">
        <v>1721</v>
      </c>
      <c r="E81" s="509" t="s">
        <v>1722</v>
      </c>
      <c r="F81" s="509" t="s">
        <v>1723</v>
      </c>
      <c r="G81" s="509" t="s">
        <v>1724</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1812</v>
      </c>
      <c r="C83" s="581" t="s">
        <v>1798</v>
      </c>
      <c r="D83" s="581" t="s">
        <v>1799</v>
      </c>
      <c r="E83" s="581" t="s">
        <v>1800</v>
      </c>
      <c r="F83" s="581" t="s">
        <v>1801</v>
      </c>
      <c r="G83" s="581" t="s">
        <v>1802</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1821</v>
      </c>
      <c r="C85" s="509" t="s">
        <v>1720</v>
      </c>
      <c r="D85" s="509" t="s">
        <v>1721</v>
      </c>
      <c r="E85" s="509" t="s">
        <v>1722</v>
      </c>
      <c r="F85" s="509" t="s">
        <v>1723</v>
      </c>
      <c r="G85" s="509" t="s">
        <v>1724</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1822</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1693</v>
      </c>
      <c r="B101" s="460" t="s">
        <v>1735</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1736</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1737</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1739</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1189</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1823</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1740</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1741</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1824</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1807</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1743</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1744</v>
      </c>
      <c r="C125" s="509" t="s">
        <v>1720</v>
      </c>
      <c r="D125" s="509" t="s">
        <v>1721</v>
      </c>
      <c r="E125" s="509" t="s">
        <v>1722</v>
      </c>
      <c r="F125" s="509" t="s">
        <v>1723</v>
      </c>
      <c r="G125" s="509" t="s">
        <v>1724</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72" priority="16" stopIfTrue="1">
      <formula>$F$53="超过30%"</formula>
    </cfRule>
  </conditionalFormatting>
  <conditionalFormatting sqref="E54">
    <cfRule type="expression" dxfId="71" priority="15" stopIfTrue="1">
      <formula>$F$54="超过20%"</formula>
    </cfRule>
  </conditionalFormatting>
  <conditionalFormatting sqref="E55">
    <cfRule type="expression" dxfId="70" priority="14" stopIfTrue="1">
      <formula>$F$55="超过30%"</formula>
    </cfRule>
  </conditionalFormatting>
  <conditionalFormatting sqref="F7:F47 H7:H47 J7:J47">
    <cfRule type="cellIs" dxfId="69" priority="1" operator="notEqual">
      <formula>100</formula>
    </cfRule>
  </conditionalFormatting>
  <conditionalFormatting sqref="F49">
    <cfRule type="expression" dxfId="68" priority="4">
      <formula>$D$49="简单平均"</formula>
    </cfRule>
  </conditionalFormatting>
  <conditionalFormatting sqref="F53:F55 H53:H55">
    <cfRule type="containsText" dxfId="67" priority="17" stopIfTrue="1" operator="containsText" text="超过">
      <formula>NOT(ISERROR(SEARCH("超过",F53)))</formula>
    </cfRule>
  </conditionalFormatting>
  <conditionalFormatting sqref="G53">
    <cfRule type="expression" dxfId="66" priority="12" stopIfTrue="1">
      <formula>$H$53="超过30%"</formula>
    </cfRule>
  </conditionalFormatting>
  <conditionalFormatting sqref="G54">
    <cfRule type="expression" dxfId="65" priority="11" stopIfTrue="1">
      <formula>$H$54="超过20%"</formula>
    </cfRule>
  </conditionalFormatting>
  <conditionalFormatting sqref="G55">
    <cfRule type="expression" dxfId="64" priority="13" stopIfTrue="1">
      <formula>$H$55="超过30%"</formula>
    </cfRule>
  </conditionalFormatting>
  <conditionalFormatting sqref="H49">
    <cfRule type="expression" dxfId="63" priority="3">
      <formula>$D$49="简单平均"</formula>
    </cfRule>
  </conditionalFormatting>
  <conditionalFormatting sqref="I53">
    <cfRule type="expression" dxfId="62" priority="7" stopIfTrue="1">
      <formula>$J$53="超过30%"</formula>
    </cfRule>
  </conditionalFormatting>
  <conditionalFormatting sqref="I54">
    <cfRule type="expression" dxfId="61" priority="6" stopIfTrue="1">
      <formula>$J$53+$J$54="超过20%"</formula>
    </cfRule>
  </conditionalFormatting>
  <conditionalFormatting sqref="I55">
    <cfRule type="expression" dxfId="60" priority="5" stopIfTrue="1">
      <formula>$J$55="超过30%"</formula>
    </cfRule>
  </conditionalFormatting>
  <conditionalFormatting sqref="J49">
    <cfRule type="expression" dxfId="59" priority="2">
      <formula>$D$49="简单平均"</formula>
    </cfRule>
  </conditionalFormatting>
  <conditionalFormatting sqref="J53:J55">
    <cfRule type="containsText" dxfId="58"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1659</v>
      </c>
      <c r="B1" s="1808" t="s">
        <v>1825</v>
      </c>
      <c r="C1" s="1141" t="s">
        <v>1661</v>
      </c>
      <c r="D1" s="1142"/>
      <c r="E1" s="3132"/>
      <c r="F1" s="1735"/>
      <c r="G1" s="1152" t="s">
        <v>1766</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1461</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1462</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1463</v>
      </c>
      <c r="B3" s="536">
        <f>IF(C2="——",C43,ROUND(B2*10000/D3,0))</f>
        <v>0</v>
      </c>
      <c r="C3" s="344" t="s">
        <v>1767</v>
      </c>
      <c r="D3" s="343">
        <f>IF(D1="",'数据-汇总表'!E3,SUMIF('数据-汇总表'!$C19:$C33,D1,'数据-汇总表'!$E19:$E33))</f>
        <v>66288.099999999991</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1768</v>
      </c>
      <c r="B4" s="346"/>
      <c r="C4" s="3338" t="s">
        <v>1769</v>
      </c>
      <c r="D4" s="3364"/>
      <c r="E4" s="3365" t="s">
        <v>1770</v>
      </c>
      <c r="F4" s="3366"/>
      <c r="G4" s="3338" t="s">
        <v>1771</v>
      </c>
      <c r="H4" s="3364"/>
      <c r="I4" s="3338" t="s">
        <v>1772</v>
      </c>
      <c r="J4" s="3364"/>
      <c r="K4" s="537" t="s">
        <v>1773</v>
      </c>
      <c r="L4" s="860"/>
      <c r="M4" s="861"/>
      <c r="N4" s="861"/>
      <c r="O4" s="861"/>
      <c r="P4" s="3367" t="s">
        <v>1774</v>
      </c>
      <c r="Q4" s="3368"/>
      <c r="R4" s="3344" t="s">
        <v>1770</v>
      </c>
      <c r="S4" s="3345"/>
      <c r="T4" s="3344" t="s">
        <v>1771</v>
      </c>
      <c r="U4" s="3345"/>
      <c r="V4" s="3357" t="s">
        <v>1772</v>
      </c>
      <c r="W4" s="3357"/>
      <c r="X4" s="1265"/>
      <c r="Y4" s="3344" t="s">
        <v>1774</v>
      </c>
      <c r="Z4" s="3345"/>
      <c r="AA4" s="3361" t="s">
        <v>1770</v>
      </c>
      <c r="AB4" s="3362" t="s">
        <v>1771</v>
      </c>
      <c r="AC4" s="3361" t="s">
        <v>1772</v>
      </c>
    </row>
    <row r="5" spans="1:29" ht="15">
      <c r="A5" s="348"/>
      <c r="B5" s="349"/>
      <c r="C5" s="3348" t="s">
        <v>1672</v>
      </c>
      <c r="D5" s="3349"/>
      <c r="E5" s="3373" t="s">
        <v>1673</v>
      </c>
      <c r="F5" s="3374"/>
      <c r="G5" s="3348" t="s">
        <v>1674</v>
      </c>
      <c r="H5" s="3349"/>
      <c r="I5" s="3348" t="s">
        <v>1675</v>
      </c>
      <c r="J5" s="3349"/>
      <c r="K5" s="537"/>
      <c r="L5" s="860"/>
      <c r="M5" s="861"/>
      <c r="N5" s="861"/>
      <c r="O5" s="861"/>
      <c r="P5" s="3369"/>
      <c r="Q5" s="3370"/>
      <c r="R5" s="3346"/>
      <c r="S5" s="3347"/>
      <c r="T5" s="3346"/>
      <c r="U5" s="3347"/>
      <c r="V5" s="3357"/>
      <c r="W5" s="3357"/>
      <c r="X5" s="1265"/>
      <c r="Y5" s="3346"/>
      <c r="Z5" s="3347"/>
      <c r="AA5" s="3362"/>
      <c r="AB5" s="3362"/>
      <c r="AC5" s="3362"/>
    </row>
    <row r="6" spans="1:29" ht="15.75" thickBot="1">
      <c r="A6" s="350"/>
      <c r="B6" s="351"/>
      <c r="C6" s="3436" t="s">
        <v>1676</v>
      </c>
      <c r="D6" s="3437"/>
      <c r="E6" s="3438" t="s">
        <v>1676</v>
      </c>
      <c r="F6" s="3439"/>
      <c r="G6" s="3436" t="s">
        <v>1676</v>
      </c>
      <c r="H6" s="3437"/>
      <c r="I6" s="3436" t="s">
        <v>1676</v>
      </c>
      <c r="J6" s="3437"/>
      <c r="K6" s="537" t="s">
        <v>1677</v>
      </c>
      <c r="L6" s="860"/>
      <c r="M6" s="861"/>
      <c r="N6" s="861"/>
      <c r="O6" s="861"/>
      <c r="P6" s="3371"/>
      <c r="Q6" s="3372"/>
      <c r="R6" s="3346"/>
      <c r="S6" s="3347"/>
      <c r="T6" s="3355"/>
      <c r="U6" s="3356"/>
      <c r="V6" s="3357"/>
      <c r="W6" s="3357"/>
      <c r="X6" s="1265"/>
      <c r="Y6" s="3355"/>
      <c r="Z6" s="3356"/>
      <c r="AA6" s="3363"/>
      <c r="AB6" s="3363"/>
      <c r="AC6" s="3363"/>
    </row>
    <row r="7" spans="1:29" s="102" customFormat="1" ht="15.75" thickBot="1">
      <c r="A7" s="352" t="s">
        <v>1678</v>
      </c>
      <c r="B7" s="353"/>
      <c r="C7" s="354">
        <f>'数据-取费表'!B2</f>
        <v>45632</v>
      </c>
      <c r="D7" s="355">
        <v>100</v>
      </c>
      <c r="E7" s="356"/>
      <c r="F7" s="357">
        <f>SUMIF(52:52,YEAR(E7)&amp;"-"&amp;MONTH(E7),53:53)</f>
        <v>0</v>
      </c>
      <c r="G7" s="356"/>
      <c r="H7" s="355">
        <f>SUMIF(52:52,YEAR(G7)&amp;"-"&amp;MONTH(G7),53:53)</f>
        <v>0</v>
      </c>
      <c r="I7" s="356"/>
      <c r="J7" s="355">
        <f>SUMIF(52:52,YEAR(I7)&amp;"-"&amp;MONTH(I7),53:53)</f>
        <v>0</v>
      </c>
      <c r="K7" s="38"/>
      <c r="L7" s="862"/>
      <c r="M7" s="863"/>
      <c r="N7" s="863"/>
      <c r="O7" s="863"/>
      <c r="P7" s="3342" t="s">
        <v>1679</v>
      </c>
      <c r="Q7" s="3352"/>
      <c r="R7" s="664" t="s">
        <v>14</v>
      </c>
      <c r="S7" s="665">
        <f t="shared" ref="S7:S15" si="0">F7</f>
        <v>0</v>
      </c>
      <c r="T7" s="664" t="s">
        <v>14</v>
      </c>
      <c r="U7" s="665">
        <f t="shared" ref="U7:U15" si="1">H7</f>
        <v>0</v>
      </c>
      <c r="V7" s="664" t="s">
        <v>14</v>
      </c>
      <c r="W7" s="665">
        <f t="shared" ref="W7:W15" si="2">J7</f>
        <v>0</v>
      </c>
      <c r="X7" s="666"/>
      <c r="Y7" s="3342" t="s">
        <v>1679</v>
      </c>
      <c r="Z7" s="3343"/>
      <c r="AA7" s="50" t="e">
        <f>D7/F7</f>
        <v>#DIV/0!</v>
      </c>
      <c r="AB7" s="50" t="e">
        <f>D7/H7</f>
        <v>#DIV/0!</v>
      </c>
      <c r="AC7" s="50" t="e">
        <f>D7/J7</f>
        <v>#DIV/0!</v>
      </c>
    </row>
    <row r="8" spans="1:29" s="102" customFormat="1" ht="15.75" thickBot="1">
      <c r="A8" s="352" t="s">
        <v>1680</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342" t="s">
        <v>1682</v>
      </c>
      <c r="Q8" s="3343"/>
      <c r="R8" s="664" t="s">
        <v>14</v>
      </c>
      <c r="S8" s="665">
        <f t="shared" si="0"/>
        <v>100</v>
      </c>
      <c r="T8" s="664" t="s">
        <v>14</v>
      </c>
      <c r="U8" s="665">
        <f t="shared" si="1"/>
        <v>100</v>
      </c>
      <c r="V8" s="664" t="s">
        <v>14</v>
      </c>
      <c r="W8" s="665">
        <f t="shared" si="2"/>
        <v>100</v>
      </c>
      <c r="X8" s="666"/>
      <c r="Y8" s="3342" t="s">
        <v>1682</v>
      </c>
      <c r="Z8" s="3343"/>
      <c r="AA8" s="50">
        <f t="shared" ref="AA8:AA40" si="3">D8/F8</f>
        <v>1</v>
      </c>
      <c r="AB8" s="50">
        <f t="shared" ref="AB8:AB40" si="4">D8/H8</f>
        <v>1</v>
      </c>
      <c r="AC8" s="50">
        <f t="shared" ref="AC8:AC40" si="5">D8/J8</f>
        <v>1</v>
      </c>
    </row>
    <row r="9" spans="1:29" s="102" customFormat="1">
      <c r="A9" s="359" t="s">
        <v>1683</v>
      </c>
      <c r="B9" s="60" t="s">
        <v>1684</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41" t="s">
        <v>1685</v>
      </c>
      <c r="Q9" s="530" t="str">
        <f t="shared" ref="Q9:Q15" si="6">B9</f>
        <v>用途</v>
      </c>
      <c r="R9" s="664" t="s">
        <v>14</v>
      </c>
      <c r="S9" s="665">
        <f t="shared" si="0"/>
        <v>100</v>
      </c>
      <c r="T9" s="664" t="s">
        <v>14</v>
      </c>
      <c r="U9" s="665">
        <f t="shared" si="1"/>
        <v>100</v>
      </c>
      <c r="V9" s="664" t="s">
        <v>14</v>
      </c>
      <c r="W9" s="665">
        <f t="shared" si="2"/>
        <v>100</v>
      </c>
      <c r="X9" s="666"/>
      <c r="Y9" s="3242" t="s">
        <v>1686</v>
      </c>
      <c r="Z9" s="50" t="str">
        <f t="shared" ref="Z9:Z15" si="7">Q9</f>
        <v>用途</v>
      </c>
      <c r="AA9" s="50">
        <f t="shared" si="3"/>
        <v>1</v>
      </c>
      <c r="AB9" s="50">
        <f t="shared" si="4"/>
        <v>1</v>
      </c>
      <c r="AC9" s="50">
        <f t="shared" si="5"/>
        <v>1</v>
      </c>
    </row>
    <row r="10" spans="1:29" s="366" customFormat="1" ht="27">
      <c r="A10" s="363"/>
      <c r="B10" s="364" t="s">
        <v>1687</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341"/>
      <c r="Q10" s="530" t="str">
        <f t="shared" si="6"/>
        <v>土地使用年限（年）</v>
      </c>
      <c r="R10" s="664" t="s">
        <v>14</v>
      </c>
      <c r="S10" s="665">
        <f t="shared" si="0"/>
        <v>100</v>
      </c>
      <c r="T10" s="664" t="s">
        <v>14</v>
      </c>
      <c r="U10" s="665">
        <f t="shared" si="1"/>
        <v>100</v>
      </c>
      <c r="V10" s="664" t="s">
        <v>14</v>
      </c>
      <c r="W10" s="665">
        <f t="shared" si="2"/>
        <v>100</v>
      </c>
      <c r="X10" s="666"/>
      <c r="Y10" s="3242"/>
      <c r="Z10" s="50" t="str">
        <f t="shared" si="7"/>
        <v>土地使用年限（年）</v>
      </c>
      <c r="AA10" s="50">
        <f t="shared" si="3"/>
        <v>1</v>
      </c>
      <c r="AB10" s="50">
        <f t="shared" si="4"/>
        <v>1</v>
      </c>
      <c r="AC10" s="50">
        <f t="shared" si="5"/>
        <v>1</v>
      </c>
    </row>
    <row r="11" spans="1:29" ht="15">
      <c r="A11" s="367"/>
      <c r="B11" s="364" t="s">
        <v>1688</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41"/>
      <c r="Q11" s="530" t="str">
        <f t="shared" si="6"/>
        <v>容积率</v>
      </c>
      <c r="R11" s="664" t="s">
        <v>14</v>
      </c>
      <c r="S11" s="665">
        <f t="shared" si="0"/>
        <v>100</v>
      </c>
      <c r="T11" s="664" t="s">
        <v>14</v>
      </c>
      <c r="U11" s="665">
        <f t="shared" si="1"/>
        <v>100</v>
      </c>
      <c r="V11" s="664" t="s">
        <v>14</v>
      </c>
      <c r="W11" s="665">
        <f t="shared" si="2"/>
        <v>100</v>
      </c>
      <c r="X11" s="666"/>
      <c r="Y11" s="3242"/>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41"/>
      <c r="Q12" s="530">
        <f t="shared" si="6"/>
        <v>111</v>
      </c>
      <c r="R12" s="664" t="s">
        <v>14</v>
      </c>
      <c r="S12" s="665">
        <f t="shared" si="0"/>
        <v>100</v>
      </c>
      <c r="T12" s="664" t="s">
        <v>14</v>
      </c>
      <c r="U12" s="665">
        <f t="shared" si="1"/>
        <v>100</v>
      </c>
      <c r="V12" s="664" t="s">
        <v>14</v>
      </c>
      <c r="W12" s="665">
        <f t="shared" si="2"/>
        <v>100</v>
      </c>
      <c r="X12" s="666"/>
      <c r="Y12" s="3242"/>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41"/>
      <c r="Q13" s="530">
        <f t="shared" si="6"/>
        <v>111</v>
      </c>
      <c r="R13" s="664" t="s">
        <v>14</v>
      </c>
      <c r="S13" s="665">
        <f t="shared" si="0"/>
        <v>100</v>
      </c>
      <c r="T13" s="664" t="s">
        <v>14</v>
      </c>
      <c r="U13" s="665">
        <f t="shared" si="1"/>
        <v>100</v>
      </c>
      <c r="V13" s="664" t="s">
        <v>14</v>
      </c>
      <c r="W13" s="665">
        <f t="shared" si="2"/>
        <v>100</v>
      </c>
      <c r="X13" s="666"/>
      <c r="Y13" s="3242"/>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41"/>
      <c r="Q14" s="530">
        <f t="shared" si="6"/>
        <v>111</v>
      </c>
      <c r="R14" s="664" t="s">
        <v>14</v>
      </c>
      <c r="S14" s="665">
        <f t="shared" si="0"/>
        <v>100</v>
      </c>
      <c r="T14" s="664" t="s">
        <v>14</v>
      </c>
      <c r="U14" s="665">
        <f t="shared" si="1"/>
        <v>100</v>
      </c>
      <c r="V14" s="664" t="s">
        <v>14</v>
      </c>
      <c r="W14" s="665">
        <f t="shared" si="2"/>
        <v>100</v>
      </c>
      <c r="X14" s="666"/>
      <c r="Y14" s="3242"/>
      <c r="Z14" s="50">
        <f t="shared" si="7"/>
        <v>111</v>
      </c>
      <c r="AA14" s="50">
        <f t="shared" si="3"/>
        <v>1</v>
      </c>
      <c r="AB14" s="50">
        <f t="shared" si="4"/>
        <v>1</v>
      </c>
      <c r="AC14" s="50">
        <f t="shared" si="5"/>
        <v>1</v>
      </c>
    </row>
    <row r="15" spans="1:29" ht="15">
      <c r="A15" s="379" t="s">
        <v>1689</v>
      </c>
      <c r="B15" s="58" t="s">
        <v>1826</v>
      </c>
      <c r="C15" s="1819">
        <f>估价对象房地状况!G3</f>
        <v>0</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58" t="s">
        <v>1690</v>
      </c>
      <c r="Q15" s="1263" t="str">
        <f t="shared" si="6"/>
        <v>产业集聚程度</v>
      </c>
      <c r="R15" s="667" t="s">
        <v>14</v>
      </c>
      <c r="S15" s="668">
        <f t="shared" si="0"/>
        <v>100</v>
      </c>
      <c r="T15" s="667" t="s">
        <v>14</v>
      </c>
      <c r="U15" s="668">
        <f t="shared" si="1"/>
        <v>100</v>
      </c>
      <c r="V15" s="667" t="s">
        <v>14</v>
      </c>
      <c r="W15" s="668">
        <f t="shared" si="2"/>
        <v>100</v>
      </c>
      <c r="X15" s="1265"/>
      <c r="Y15" s="3358" t="s">
        <v>1690</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359"/>
      <c r="Q16" s="1263"/>
      <c r="R16" s="667"/>
      <c r="S16" s="668"/>
      <c r="T16" s="667"/>
      <c r="U16" s="668"/>
      <c r="V16" s="667"/>
      <c r="W16" s="668"/>
      <c r="X16" s="1265"/>
      <c r="Y16" s="3359"/>
      <c r="Z16" s="1264"/>
      <c r="AA16" s="1264">
        <v>1</v>
      </c>
      <c r="AB16" s="1264">
        <v>1</v>
      </c>
      <c r="AC16" s="1264">
        <v>1</v>
      </c>
    </row>
    <row r="17" spans="1:29" ht="15">
      <c r="A17" s="367"/>
      <c r="B17" s="390" t="s">
        <v>1258</v>
      </c>
      <c r="C17" s="1754">
        <f>估价对象房地状况!G4</f>
        <v>0</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59"/>
      <c r="Q17" s="1263" t="str">
        <f>B17</f>
        <v>交通便捷度</v>
      </c>
      <c r="R17" s="667" t="s">
        <v>14</v>
      </c>
      <c r="S17" s="668">
        <f>F17</f>
        <v>100</v>
      </c>
      <c r="T17" s="667" t="s">
        <v>14</v>
      </c>
      <c r="U17" s="668">
        <f>H17</f>
        <v>100</v>
      </c>
      <c r="V17" s="667" t="s">
        <v>14</v>
      </c>
      <c r="W17" s="668">
        <f>J17</f>
        <v>100</v>
      </c>
      <c r="X17" s="1265"/>
      <c r="Y17" s="3359"/>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359"/>
      <c r="Q18" s="1263"/>
      <c r="R18" s="667"/>
      <c r="S18" s="668"/>
      <c r="T18" s="667"/>
      <c r="U18" s="668"/>
      <c r="V18" s="667"/>
      <c r="W18" s="668"/>
      <c r="X18" s="1265"/>
      <c r="Y18" s="3359"/>
      <c r="Z18" s="1264"/>
      <c r="AA18" s="1264">
        <v>1</v>
      </c>
      <c r="AB18" s="1264">
        <v>1</v>
      </c>
      <c r="AC18" s="1264">
        <v>1</v>
      </c>
    </row>
    <row r="19" spans="1:29" ht="15">
      <c r="A19" s="367"/>
      <c r="B19" s="390" t="s">
        <v>1811</v>
      </c>
      <c r="C19" s="1754">
        <f>估价对象房地状况!G5</f>
        <v>0</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59"/>
      <c r="Q19" s="1263" t="str">
        <f>B19</f>
        <v>公共配套设施</v>
      </c>
      <c r="R19" s="667" t="s">
        <v>14</v>
      </c>
      <c r="S19" s="668">
        <f>F19</f>
        <v>100</v>
      </c>
      <c r="T19" s="667" t="s">
        <v>14</v>
      </c>
      <c r="U19" s="668">
        <f>H19</f>
        <v>100</v>
      </c>
      <c r="V19" s="667" t="s">
        <v>14</v>
      </c>
      <c r="W19" s="668">
        <f>J19</f>
        <v>100</v>
      </c>
      <c r="X19" s="1265"/>
      <c r="Y19" s="3359"/>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359"/>
      <c r="Q20" s="1263"/>
      <c r="R20" s="667"/>
      <c r="S20" s="668"/>
      <c r="T20" s="667"/>
      <c r="U20" s="668"/>
      <c r="V20" s="667"/>
      <c r="W20" s="668"/>
      <c r="X20" s="1265"/>
      <c r="Y20" s="3359"/>
      <c r="Z20" s="1264"/>
      <c r="AA20" s="1264">
        <v>1</v>
      </c>
      <c r="AB20" s="1264">
        <v>1</v>
      </c>
      <c r="AC20" s="1264">
        <v>1</v>
      </c>
    </row>
    <row r="21" spans="1:29" ht="15">
      <c r="A21" s="367"/>
      <c r="B21" s="586" t="s">
        <v>1812</v>
      </c>
      <c r="C21" s="1754">
        <f>估价对象房地状况!G6</f>
        <v>0</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59"/>
      <c r="Q21" s="1263" t="str">
        <f>B21</f>
        <v>基础设施水平</v>
      </c>
      <c r="R21" s="667" t="s">
        <v>14</v>
      </c>
      <c r="S21" s="668">
        <f>F21</f>
        <v>100</v>
      </c>
      <c r="T21" s="667" t="s">
        <v>14</v>
      </c>
      <c r="U21" s="668">
        <f>H21</f>
        <v>100</v>
      </c>
      <c r="V21" s="667" t="s">
        <v>14</v>
      </c>
      <c r="W21" s="668">
        <f>J21</f>
        <v>100</v>
      </c>
      <c r="X21" s="1265"/>
      <c r="Y21" s="3359"/>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359"/>
      <c r="Q22" s="1263"/>
      <c r="R22" s="667"/>
      <c r="S22" s="668"/>
      <c r="T22" s="667"/>
      <c r="U22" s="668"/>
      <c r="V22" s="667"/>
      <c r="W22" s="668"/>
      <c r="X22" s="1265"/>
      <c r="Y22" s="3359"/>
      <c r="Z22" s="1264"/>
      <c r="AA22" s="1264">
        <v>1</v>
      </c>
      <c r="AB22" s="1264">
        <v>1</v>
      </c>
      <c r="AC22" s="1264">
        <v>1</v>
      </c>
    </row>
    <row r="23" spans="1:29" ht="15">
      <c r="A23" s="367"/>
      <c r="B23" s="390" t="s">
        <v>1813</v>
      </c>
      <c r="C23" s="1754">
        <f>估价对象房地状况!G7</f>
        <v>0</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59"/>
      <c r="Q23" s="1263" t="str">
        <f>B23</f>
        <v>环境质量</v>
      </c>
      <c r="R23" s="667" t="s">
        <v>14</v>
      </c>
      <c r="S23" s="668">
        <f>F23</f>
        <v>100</v>
      </c>
      <c r="T23" s="667" t="s">
        <v>14</v>
      </c>
      <c r="U23" s="668">
        <f>H23</f>
        <v>100</v>
      </c>
      <c r="V23" s="667" t="s">
        <v>14</v>
      </c>
      <c r="W23" s="668">
        <f>J23</f>
        <v>100</v>
      </c>
      <c r="X23" s="1265"/>
      <c r="Y23" s="3359"/>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359"/>
      <c r="Q24" s="1263"/>
      <c r="R24" s="667"/>
      <c r="S24" s="668"/>
      <c r="T24" s="667"/>
      <c r="U24" s="668"/>
      <c r="V24" s="667"/>
      <c r="W24" s="668"/>
      <c r="X24" s="1265"/>
      <c r="Y24" s="3359"/>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59"/>
      <c r="Q25" s="1263">
        <f>B25</f>
        <v>111</v>
      </c>
      <c r="R25" s="667" t="s">
        <v>14</v>
      </c>
      <c r="S25" s="668">
        <f>F25</f>
        <v>100</v>
      </c>
      <c r="T25" s="667" t="s">
        <v>14</v>
      </c>
      <c r="U25" s="668">
        <f>H25</f>
        <v>100</v>
      </c>
      <c r="V25" s="667" t="s">
        <v>14</v>
      </c>
      <c r="W25" s="668">
        <f>J25</f>
        <v>100</v>
      </c>
      <c r="X25" s="1265"/>
      <c r="Y25" s="3359"/>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59"/>
      <c r="Q26" s="1263">
        <f t="shared" ref="Q26:Q40" si="11">B26</f>
        <v>111</v>
      </c>
      <c r="R26" s="667" t="s">
        <v>14</v>
      </c>
      <c r="S26" s="668">
        <f>F26</f>
        <v>100</v>
      </c>
      <c r="T26" s="667" t="s">
        <v>14</v>
      </c>
      <c r="U26" s="668">
        <f>H26</f>
        <v>100</v>
      </c>
      <c r="V26" s="667" t="s">
        <v>14</v>
      </c>
      <c r="W26" s="668">
        <f>J26</f>
        <v>100</v>
      </c>
      <c r="X26" s="1265"/>
      <c r="Y26" s="3359"/>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59"/>
      <c r="Q27" s="530">
        <f t="shared" si="11"/>
        <v>111</v>
      </c>
      <c r="R27" s="664" t="s">
        <v>14</v>
      </c>
      <c r="S27" s="665">
        <f>F27</f>
        <v>100</v>
      </c>
      <c r="T27" s="664" t="s">
        <v>14</v>
      </c>
      <c r="U27" s="665">
        <f>H27</f>
        <v>100</v>
      </c>
      <c r="V27" s="664" t="s">
        <v>14</v>
      </c>
      <c r="W27" s="665">
        <f>J27</f>
        <v>100</v>
      </c>
      <c r="X27" s="666"/>
      <c r="Y27" s="3359"/>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59"/>
      <c r="Q28" s="1263">
        <f t="shared" si="11"/>
        <v>111</v>
      </c>
      <c r="R28" s="667" t="s">
        <v>14</v>
      </c>
      <c r="S28" s="668">
        <f t="shared" ref="S28:S40" si="12">F28</f>
        <v>100</v>
      </c>
      <c r="T28" s="667" t="s">
        <v>14</v>
      </c>
      <c r="U28" s="668">
        <f t="shared" ref="U28:U40" si="13">H28</f>
        <v>100</v>
      </c>
      <c r="V28" s="667" t="s">
        <v>14</v>
      </c>
      <c r="W28" s="668">
        <f t="shared" ref="W28:W40" si="14">J28</f>
        <v>100</v>
      </c>
      <c r="X28" s="1265"/>
      <c r="Y28" s="3359"/>
      <c r="Z28" s="1264">
        <f t="shared" ref="Z28:Z40" si="15">Q28</f>
        <v>111</v>
      </c>
      <c r="AA28" s="1264">
        <f t="shared" si="3"/>
        <v>1</v>
      </c>
      <c r="AB28" s="1264">
        <f t="shared" si="4"/>
        <v>1</v>
      </c>
      <c r="AC28" s="1264">
        <f t="shared" si="5"/>
        <v>1</v>
      </c>
    </row>
    <row r="29" spans="1:29" ht="28.5">
      <c r="A29" s="404" t="s">
        <v>1693</v>
      </c>
      <c r="B29" s="60" t="s">
        <v>1816</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375" t="s">
        <v>1695</v>
      </c>
      <c r="Q29" s="1263" t="str">
        <f t="shared" si="11"/>
        <v>建筑类型</v>
      </c>
      <c r="R29" s="667" t="s">
        <v>14</v>
      </c>
      <c r="S29" s="668">
        <f t="shared" si="12"/>
        <v>100</v>
      </c>
      <c r="T29" s="667" t="s">
        <v>14</v>
      </c>
      <c r="U29" s="668">
        <f t="shared" si="13"/>
        <v>100</v>
      </c>
      <c r="V29" s="667" t="s">
        <v>14</v>
      </c>
      <c r="W29" s="668">
        <f t="shared" si="14"/>
        <v>100</v>
      </c>
      <c r="X29" s="1265"/>
      <c r="Y29" s="3360" t="s">
        <v>1695</v>
      </c>
      <c r="Z29" s="1264" t="str">
        <f t="shared" si="15"/>
        <v>建筑类型</v>
      </c>
      <c r="AA29" s="1264">
        <f t="shared" si="3"/>
        <v>1</v>
      </c>
      <c r="AB29" s="1264">
        <f t="shared" si="4"/>
        <v>1</v>
      </c>
      <c r="AC29" s="1264">
        <f t="shared" si="5"/>
        <v>1</v>
      </c>
    </row>
    <row r="30" spans="1:29" s="408" customFormat="1" ht="15">
      <c r="A30" s="406"/>
      <c r="B30" s="364" t="s">
        <v>1696</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60"/>
      <c r="Q30" s="531" t="str">
        <f t="shared" si="11"/>
        <v>项目建筑规模</v>
      </c>
      <c r="R30" s="669" t="s">
        <v>14</v>
      </c>
      <c r="S30" s="670" t="e">
        <f t="shared" si="12"/>
        <v>#N/A</v>
      </c>
      <c r="T30" s="669" t="s">
        <v>14</v>
      </c>
      <c r="U30" s="670" t="e">
        <f t="shared" si="13"/>
        <v>#N/A</v>
      </c>
      <c r="V30" s="669" t="s">
        <v>14</v>
      </c>
      <c r="W30" s="670" t="e">
        <f t="shared" si="14"/>
        <v>#N/A</v>
      </c>
      <c r="X30" s="671"/>
      <c r="Y30" s="3360"/>
      <c r="Z30" s="672" t="str">
        <f t="shared" si="15"/>
        <v>项目建筑规模</v>
      </c>
      <c r="AA30" s="1264" t="e">
        <f t="shared" si="3"/>
        <v>#N/A</v>
      </c>
      <c r="AB30" s="1264" t="e">
        <f t="shared" si="4"/>
        <v>#N/A</v>
      </c>
      <c r="AC30" s="1264" t="e">
        <f t="shared" si="5"/>
        <v>#N/A</v>
      </c>
    </row>
    <row r="31" spans="1:29" ht="15">
      <c r="A31" s="409"/>
      <c r="B31" s="364" t="s">
        <v>1697</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60"/>
      <c r="Q31" s="1263" t="str">
        <f t="shared" si="11"/>
        <v>建筑结构</v>
      </c>
      <c r="R31" s="667" t="s">
        <v>14</v>
      </c>
      <c r="S31" s="668">
        <f t="shared" si="12"/>
        <v>100</v>
      </c>
      <c r="T31" s="667" t="s">
        <v>14</v>
      </c>
      <c r="U31" s="668">
        <f t="shared" si="13"/>
        <v>100</v>
      </c>
      <c r="V31" s="667" t="s">
        <v>14</v>
      </c>
      <c r="W31" s="668">
        <f t="shared" si="14"/>
        <v>100</v>
      </c>
      <c r="X31" s="1265"/>
      <c r="Y31" s="3360"/>
      <c r="Z31" s="1264" t="str">
        <f t="shared" si="15"/>
        <v>建筑结构</v>
      </c>
      <c r="AA31" s="1264">
        <f t="shared" si="3"/>
        <v>1</v>
      </c>
      <c r="AB31" s="1264">
        <f t="shared" si="4"/>
        <v>1</v>
      </c>
      <c r="AC31" s="1264">
        <f t="shared" si="5"/>
        <v>1</v>
      </c>
    </row>
    <row r="32" spans="1:29" ht="15">
      <c r="A32" s="409"/>
      <c r="B32" s="364" t="s">
        <v>1784</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60"/>
      <c r="Q32" s="1263" t="str">
        <f t="shared" si="11"/>
        <v>公共部分装修</v>
      </c>
      <c r="R32" s="667" t="s">
        <v>14</v>
      </c>
      <c r="S32" s="668">
        <f t="shared" si="12"/>
        <v>100</v>
      </c>
      <c r="T32" s="667" t="s">
        <v>14</v>
      </c>
      <c r="U32" s="668">
        <f t="shared" si="13"/>
        <v>100</v>
      </c>
      <c r="V32" s="667" t="s">
        <v>14</v>
      </c>
      <c r="W32" s="668">
        <f t="shared" si="14"/>
        <v>100</v>
      </c>
      <c r="X32" s="1265"/>
      <c r="Y32" s="3360"/>
      <c r="Z32" s="1264" t="str">
        <f t="shared" si="15"/>
        <v>公共部分装修</v>
      </c>
      <c r="AA32" s="1264">
        <f t="shared" si="3"/>
        <v>1</v>
      </c>
      <c r="AB32" s="1264">
        <f t="shared" si="4"/>
        <v>1</v>
      </c>
      <c r="AC32" s="1264">
        <f t="shared" si="5"/>
        <v>1</v>
      </c>
    </row>
    <row r="33" spans="1:29" ht="15">
      <c r="A33" s="409"/>
      <c r="B33" s="364" t="s">
        <v>1785</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60"/>
      <c r="Q33" s="1263" t="str">
        <f t="shared" si="11"/>
        <v>成新度</v>
      </c>
      <c r="R33" s="667" t="s">
        <v>14</v>
      </c>
      <c r="S33" s="668" t="e">
        <f t="shared" si="12"/>
        <v>#N/A</v>
      </c>
      <c r="T33" s="667" t="s">
        <v>14</v>
      </c>
      <c r="U33" s="668" t="e">
        <f t="shared" si="13"/>
        <v>#N/A</v>
      </c>
      <c r="V33" s="667" t="s">
        <v>14</v>
      </c>
      <c r="W33" s="668" t="e">
        <f t="shared" si="14"/>
        <v>#N/A</v>
      </c>
      <c r="X33" s="1265"/>
      <c r="Y33" s="3360"/>
      <c r="Z33" s="1264" t="str">
        <f t="shared" si="15"/>
        <v>成新度</v>
      </c>
      <c r="AA33" s="1264" t="e">
        <f t="shared" si="3"/>
        <v>#N/A</v>
      </c>
      <c r="AB33" s="1264" t="e">
        <f t="shared" si="4"/>
        <v>#N/A</v>
      </c>
      <c r="AC33" s="1264" t="e">
        <f t="shared" si="5"/>
        <v>#N/A</v>
      </c>
    </row>
    <row r="34" spans="1:29" s="102" customFormat="1" ht="15">
      <c r="A34" s="410"/>
      <c r="B34" s="364" t="s">
        <v>1818</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60"/>
      <c r="Q34" s="530" t="str">
        <f t="shared" si="11"/>
        <v>物业管理</v>
      </c>
      <c r="R34" s="664" t="s">
        <v>14</v>
      </c>
      <c r="S34" s="665">
        <f t="shared" si="12"/>
        <v>100</v>
      </c>
      <c r="T34" s="664" t="s">
        <v>14</v>
      </c>
      <c r="U34" s="665">
        <f t="shared" si="13"/>
        <v>100</v>
      </c>
      <c r="V34" s="664" t="s">
        <v>14</v>
      </c>
      <c r="W34" s="665">
        <f t="shared" si="14"/>
        <v>100</v>
      </c>
      <c r="X34" s="666"/>
      <c r="Y34" s="3360"/>
      <c r="Z34" s="50" t="str">
        <f t="shared" si="15"/>
        <v>物业管理</v>
      </c>
      <c r="AA34" s="50">
        <f t="shared" si="3"/>
        <v>1</v>
      </c>
      <c r="AB34" s="50">
        <f t="shared" si="4"/>
        <v>1</v>
      </c>
      <c r="AC34" s="50">
        <f t="shared" si="5"/>
        <v>1</v>
      </c>
    </row>
    <row r="35" spans="1:29" ht="15">
      <c r="A35" s="409"/>
      <c r="B35" s="364" t="s">
        <v>1786</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60" t="s">
        <v>1695</v>
      </c>
      <c r="Q35" s="1263" t="str">
        <f t="shared" si="11"/>
        <v>市政基础设施</v>
      </c>
      <c r="R35" s="667" t="s">
        <v>14</v>
      </c>
      <c r="S35" s="668">
        <f t="shared" si="12"/>
        <v>100</v>
      </c>
      <c r="T35" s="667" t="s">
        <v>14</v>
      </c>
      <c r="U35" s="668">
        <f t="shared" si="13"/>
        <v>100</v>
      </c>
      <c r="V35" s="667" t="s">
        <v>14</v>
      </c>
      <c r="W35" s="668">
        <f t="shared" si="14"/>
        <v>100</v>
      </c>
      <c r="X35" s="1265"/>
      <c r="Y35" s="3360" t="s">
        <v>1695</v>
      </c>
      <c r="Z35" s="1264" t="str">
        <f t="shared" si="15"/>
        <v>市政基础设施</v>
      </c>
      <c r="AA35" s="1264">
        <f t="shared" si="3"/>
        <v>1</v>
      </c>
      <c r="AB35" s="1264">
        <f t="shared" si="4"/>
        <v>1</v>
      </c>
      <c r="AC35" s="1264">
        <f t="shared" si="5"/>
        <v>1</v>
      </c>
    </row>
    <row r="36" spans="1:29" ht="15">
      <c r="A36" s="409"/>
      <c r="B36" s="364" t="s">
        <v>1791</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60"/>
      <c r="Q36" s="1263" t="str">
        <f t="shared" si="11"/>
        <v>内部装修</v>
      </c>
      <c r="R36" s="667" t="s">
        <v>14</v>
      </c>
      <c r="S36" s="668">
        <f t="shared" si="12"/>
        <v>100</v>
      </c>
      <c r="T36" s="667" t="s">
        <v>14</v>
      </c>
      <c r="U36" s="668">
        <f t="shared" si="13"/>
        <v>100</v>
      </c>
      <c r="V36" s="667" t="s">
        <v>14</v>
      </c>
      <c r="W36" s="668">
        <f t="shared" si="14"/>
        <v>100</v>
      </c>
      <c r="X36" s="1265"/>
      <c r="Y36" s="3360"/>
      <c r="Z36" s="1264" t="str">
        <f t="shared" si="15"/>
        <v>内部装修</v>
      </c>
      <c r="AA36" s="1264">
        <f t="shared" si="3"/>
        <v>1</v>
      </c>
      <c r="AB36" s="1264">
        <f t="shared" si="4"/>
        <v>1</v>
      </c>
      <c r="AC36" s="1264">
        <f t="shared" si="5"/>
        <v>1</v>
      </c>
    </row>
    <row r="37" spans="1:29" ht="15">
      <c r="A37" s="409"/>
      <c r="B37" s="364" t="s">
        <v>1827</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60"/>
      <c r="Q37" s="1263" t="str">
        <f t="shared" si="11"/>
        <v>内部装修状况</v>
      </c>
      <c r="R37" s="667" t="s">
        <v>14</v>
      </c>
      <c r="S37" s="668">
        <f t="shared" si="12"/>
        <v>100</v>
      </c>
      <c r="T37" s="667" t="s">
        <v>14</v>
      </c>
      <c r="U37" s="668">
        <f t="shared" si="13"/>
        <v>100</v>
      </c>
      <c r="V37" s="667" t="s">
        <v>14</v>
      </c>
      <c r="W37" s="668">
        <f t="shared" si="14"/>
        <v>100</v>
      </c>
      <c r="X37" s="1265"/>
      <c r="Y37" s="3360"/>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60"/>
      <c r="Q38" s="531">
        <f t="shared" si="11"/>
        <v>111</v>
      </c>
      <c r="R38" s="669" t="s">
        <v>14</v>
      </c>
      <c r="S38" s="670">
        <f t="shared" si="12"/>
        <v>100</v>
      </c>
      <c r="T38" s="669" t="s">
        <v>14</v>
      </c>
      <c r="U38" s="670">
        <f t="shared" si="13"/>
        <v>100</v>
      </c>
      <c r="V38" s="669" t="s">
        <v>14</v>
      </c>
      <c r="W38" s="670">
        <f t="shared" si="14"/>
        <v>100</v>
      </c>
      <c r="X38" s="671"/>
      <c r="Y38" s="3360"/>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60"/>
      <c r="Q39" s="1263">
        <f t="shared" si="11"/>
        <v>111</v>
      </c>
      <c r="R39" s="667" t="s">
        <v>14</v>
      </c>
      <c r="S39" s="668">
        <f t="shared" si="12"/>
        <v>100</v>
      </c>
      <c r="T39" s="667" t="s">
        <v>14</v>
      </c>
      <c r="U39" s="668">
        <f t="shared" si="13"/>
        <v>100</v>
      </c>
      <c r="V39" s="667" t="s">
        <v>14</v>
      </c>
      <c r="W39" s="668">
        <f t="shared" si="14"/>
        <v>100</v>
      </c>
      <c r="X39" s="1265"/>
      <c r="Y39" s="3360"/>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33"/>
      <c r="Q40" s="1263">
        <f t="shared" si="11"/>
        <v>111</v>
      </c>
      <c r="R40" s="667" t="s">
        <v>14</v>
      </c>
      <c r="S40" s="668">
        <f t="shared" si="12"/>
        <v>100</v>
      </c>
      <c r="T40" s="667" t="s">
        <v>14</v>
      </c>
      <c r="U40" s="668">
        <f t="shared" si="13"/>
        <v>100</v>
      </c>
      <c r="V40" s="667" t="s">
        <v>14</v>
      </c>
      <c r="W40" s="668">
        <f t="shared" si="14"/>
        <v>100</v>
      </c>
      <c r="X40" s="1265"/>
      <c r="Y40" s="3433"/>
      <c r="Z40" s="1264">
        <f t="shared" si="15"/>
        <v>111</v>
      </c>
      <c r="AA40" s="1264">
        <f t="shared" si="3"/>
        <v>1</v>
      </c>
      <c r="AB40" s="1264">
        <f t="shared" si="4"/>
        <v>1</v>
      </c>
      <c r="AC40" s="1264">
        <f t="shared" si="5"/>
        <v>1</v>
      </c>
    </row>
    <row r="41" spans="1:29" ht="15">
      <c r="A41" s="416" t="s">
        <v>1707</v>
      </c>
      <c r="B41" s="417"/>
      <c r="C41" s="1081" t="s">
        <v>0</v>
      </c>
      <c r="D41" s="418"/>
      <c r="E41" s="419"/>
      <c r="F41" s="420"/>
      <c r="G41" s="421"/>
      <c r="H41" s="422"/>
      <c r="I41" s="419"/>
      <c r="J41" s="422"/>
      <c r="K41" s="674"/>
      <c r="L41" s="873"/>
      <c r="M41" s="861"/>
      <c r="N41" s="861"/>
      <c r="O41" s="861"/>
      <c r="P41" s="3341" t="str">
        <f>A41</f>
        <v>成交单价（元/平方米）</v>
      </c>
      <c r="Q41" s="3341"/>
      <c r="R41" s="3357">
        <f>E41</f>
        <v>0</v>
      </c>
      <c r="S41" s="3357"/>
      <c r="T41" s="3357">
        <f>G41</f>
        <v>0</v>
      </c>
      <c r="U41" s="3357"/>
      <c r="V41" s="3357">
        <f>I41</f>
        <v>0</v>
      </c>
      <c r="W41" s="3357"/>
      <c r="X41" s="385"/>
      <c r="Y41" s="673"/>
      <c r="Z41" s="385"/>
      <c r="AA41" s="385"/>
      <c r="AB41" s="385"/>
      <c r="AC41" s="385"/>
    </row>
    <row r="42" spans="1:29" ht="15.75" thickBot="1">
      <c r="A42" s="423" t="s">
        <v>1792</v>
      </c>
      <c r="B42" s="424"/>
      <c r="C42" s="1082" t="e">
        <f>R43</f>
        <v>#DIV/0!</v>
      </c>
      <c r="D42" s="2141" t="s">
        <v>2136</v>
      </c>
      <c r="E42" s="1083" t="e">
        <f>R42</f>
        <v>#DIV/0!</v>
      </c>
      <c r="F42" s="2142"/>
      <c r="G42" s="1082" t="e">
        <f>T42</f>
        <v>#DIV/0!</v>
      </c>
      <c r="H42" s="2142"/>
      <c r="I42" s="1083" t="e">
        <f>V42</f>
        <v>#DIV/0!</v>
      </c>
      <c r="J42" s="2142"/>
      <c r="K42" s="2144">
        <f>F42+H42+J42</f>
        <v>0</v>
      </c>
      <c r="L42" s="873"/>
      <c r="M42" s="861"/>
      <c r="N42" s="861"/>
      <c r="O42" s="861"/>
      <c r="P42" s="3341" t="str">
        <f>A42</f>
        <v>比较价值（元/平方米）</v>
      </c>
      <c r="Q42" s="3341"/>
      <c r="R42" s="3357" t="e">
        <f>IF(F1="售价",ROUND(PRODUCT(R41,AA7:AA40),0),ROUND(PRODUCT(R41,AA7:AA40),1))</f>
        <v>#DIV/0!</v>
      </c>
      <c r="S42" s="3357"/>
      <c r="T42" s="3357" t="e">
        <f>IF(F1="售价",ROUND(PRODUCT(T41,AB7:AB40),0),ROUND(PRODUCT(T41,AB7:AB40),1))</f>
        <v>#DIV/0!</v>
      </c>
      <c r="U42" s="3357"/>
      <c r="V42" s="3357" t="e">
        <f>IF(F1="售价",ROUND(PRODUCT(V41,AC7:AC40),0),ROUND(PRODUCT(V41,AC7:AC40),1))</f>
        <v>#DIV/0!</v>
      </c>
      <c r="W42" s="3357"/>
      <c r="X42" s="385"/>
      <c r="Y42" s="385"/>
      <c r="Z42" s="385"/>
      <c r="AA42" s="385"/>
      <c r="AB42" s="385"/>
      <c r="AC42" s="385"/>
    </row>
    <row r="43" spans="1:29" ht="15.75" thickBot="1">
      <c r="A43" s="427" t="s">
        <v>1793</v>
      </c>
      <c r="B43" s="428"/>
      <c r="C43" s="351" t="e">
        <f>R43</f>
        <v>#DIV/0!</v>
      </c>
      <c r="D43" s="351"/>
      <c r="E43" s="351"/>
      <c r="F43" s="351"/>
      <c r="G43" s="351"/>
      <c r="H43" s="351"/>
      <c r="I43" s="351"/>
      <c r="J43" s="351"/>
      <c r="K43" s="675"/>
      <c r="L43" s="873"/>
      <c r="M43" s="861"/>
      <c r="N43" s="861"/>
      <c r="O43" s="861"/>
      <c r="P43" s="3376" t="str">
        <f>A43</f>
        <v>估价对象XX用房的比较价值（楼面单价，元/平方米）</v>
      </c>
      <c r="Q43" s="3377"/>
      <c r="R43" s="3429" t="e">
        <f>IF(F1="售价",ROUND(IF(D42="简单平均",AVERAGE(R42:V42),R42*F42+T42*H42+V42*J42),0),ROUND(IF(D42="简单平均",AVERAGE(R42:V42),R42*F42+T42*H42+V42*J42),1))</f>
        <v>#DIV/0!</v>
      </c>
      <c r="S43" s="3429"/>
      <c r="T43" s="3429"/>
      <c r="U43" s="3429"/>
      <c r="V43" s="3429"/>
      <c r="W43" s="3429"/>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1794</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1795</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1796</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1797</v>
      </c>
      <c r="B51" s="385"/>
      <c r="C51" s="659"/>
      <c r="D51" s="659"/>
      <c r="E51" s="659"/>
      <c r="F51" s="660"/>
      <c r="G51" s="660"/>
      <c r="H51" s="659"/>
      <c r="I51" s="659"/>
      <c r="J51" s="659"/>
      <c r="K51" s="887"/>
      <c r="L51" s="888"/>
      <c r="M51" s="886"/>
      <c r="N51" s="886"/>
      <c r="O51" s="886"/>
      <c r="P51" s="438"/>
      <c r="Q51" s="439"/>
    </row>
    <row r="52" spans="1:17" s="442" customFormat="1" ht="15">
      <c r="A52" s="440" t="s">
        <v>1678</v>
      </c>
      <c r="B52" s="441"/>
      <c r="C52" s="1103" t="str">
        <f>YEAR(C7)&amp;"-"&amp;MONTH(C7)</f>
        <v>2024-12</v>
      </c>
      <c r="D52" s="1104">
        <f>EDATE(C52,-1)</f>
        <v>45597</v>
      </c>
      <c r="E52" s="1104">
        <f t="shared" ref="E52:O52" si="16">EDATE(D52,-1)</f>
        <v>45566</v>
      </c>
      <c r="F52" s="1104">
        <f t="shared" si="16"/>
        <v>45536</v>
      </c>
      <c r="G52" s="1104">
        <f t="shared" si="16"/>
        <v>45505</v>
      </c>
      <c r="H52" s="1104">
        <f t="shared" si="16"/>
        <v>45474</v>
      </c>
      <c r="I52" s="1104">
        <f t="shared" si="16"/>
        <v>45444</v>
      </c>
      <c r="J52" s="1104">
        <f t="shared" si="16"/>
        <v>45413</v>
      </c>
      <c r="K52" s="1104">
        <f t="shared" si="16"/>
        <v>45383</v>
      </c>
      <c r="L52" s="1104">
        <f t="shared" si="16"/>
        <v>45352</v>
      </c>
      <c r="M52" s="1104">
        <f t="shared" si="16"/>
        <v>45323</v>
      </c>
      <c r="N52" s="1104">
        <f t="shared" si="16"/>
        <v>45292</v>
      </c>
      <c r="O52" s="1104">
        <f t="shared" si="16"/>
        <v>45261</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1715</v>
      </c>
      <c r="B54" s="450"/>
      <c r="C54" s="451"/>
      <c r="D54" s="452"/>
      <c r="E54" s="452"/>
      <c r="F54" s="452"/>
      <c r="G54" s="452"/>
      <c r="H54" s="452"/>
      <c r="I54" s="452"/>
      <c r="J54" s="452"/>
      <c r="K54" s="452"/>
      <c r="L54" s="452"/>
      <c r="M54" s="453"/>
      <c r="N54" s="2539"/>
      <c r="O54" s="2540"/>
      <c r="P54" s="439"/>
      <c r="Q54" s="439"/>
    </row>
    <row r="55" spans="1:17" s="102" customFormat="1" ht="15">
      <c r="A55" s="455" t="s">
        <v>1680</v>
      </c>
      <c r="B55" s="444"/>
      <c r="C55" s="456" t="s">
        <v>1775</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1718</v>
      </c>
      <c r="B57" s="460" t="s">
        <v>1684</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1687</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1688</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1689</v>
      </c>
      <c r="B70" s="460" t="s">
        <v>1828</v>
      </c>
      <c r="C70" s="504" t="s">
        <v>1720</v>
      </c>
      <c r="D70" s="504" t="s">
        <v>1721</v>
      </c>
      <c r="E70" s="504" t="s">
        <v>1722</v>
      </c>
      <c r="F70" s="504" t="s">
        <v>1723</v>
      </c>
      <c r="G70" s="504" t="s">
        <v>1724</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1725</v>
      </c>
      <c r="C72" s="509" t="s">
        <v>1720</v>
      </c>
      <c r="D72" s="509" t="s">
        <v>1721</v>
      </c>
      <c r="E72" s="509" t="s">
        <v>1722</v>
      </c>
      <c r="F72" s="509" t="s">
        <v>1723</v>
      </c>
      <c r="G72" s="509" t="s">
        <v>1724</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1726</v>
      </c>
      <c r="C74" s="509" t="s">
        <v>1720</v>
      </c>
      <c r="D74" s="509" t="s">
        <v>1721</v>
      </c>
      <c r="E74" s="509" t="s">
        <v>1722</v>
      </c>
      <c r="F74" s="509" t="s">
        <v>1723</v>
      </c>
      <c r="G74" s="509" t="s">
        <v>1724</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1812</v>
      </c>
      <c r="C76" s="581" t="s">
        <v>1798</v>
      </c>
      <c r="D76" s="581" t="s">
        <v>1799</v>
      </c>
      <c r="E76" s="581" t="s">
        <v>1800</v>
      </c>
      <c r="F76" s="581" t="s">
        <v>1801</v>
      </c>
      <c r="G76" s="581" t="s">
        <v>1802</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1821</v>
      </c>
      <c r="C78" s="509" t="s">
        <v>1720</v>
      </c>
      <c r="D78" s="509" t="s">
        <v>1721</v>
      </c>
      <c r="E78" s="509" t="s">
        <v>1722</v>
      </c>
      <c r="F78" s="509" t="s">
        <v>1723</v>
      </c>
      <c r="G78" s="509" t="s">
        <v>1724</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1693</v>
      </c>
      <c r="B88" s="460" t="s">
        <v>1735</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1736</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1737</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1739</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1189</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1740</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1741</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1743</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1829</v>
      </c>
      <c r="C106" s="509" t="s">
        <v>1720</v>
      </c>
      <c r="D106" s="509" t="s">
        <v>1721</v>
      </c>
      <c r="E106" s="509" t="s">
        <v>1722</v>
      </c>
      <c r="F106" s="509" t="s">
        <v>1723</v>
      </c>
      <c r="G106" s="509" t="s">
        <v>1724</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57" priority="16" stopIfTrue="1">
      <formula>$F$46="超过30%"</formula>
    </cfRule>
  </conditionalFormatting>
  <conditionalFormatting sqref="E47">
    <cfRule type="expression" dxfId="56" priority="15" stopIfTrue="1">
      <formula>$F$47="超过20%"</formula>
    </cfRule>
  </conditionalFormatting>
  <conditionalFormatting sqref="E48">
    <cfRule type="expression" dxfId="55" priority="14" stopIfTrue="1">
      <formula>$F$48="超过30%"</formula>
    </cfRule>
  </conditionalFormatting>
  <conditionalFormatting sqref="F7:F40 H7:H40 J7:J40">
    <cfRule type="cellIs" dxfId="54" priority="1" operator="notEqual">
      <formula>100</formula>
    </cfRule>
  </conditionalFormatting>
  <conditionalFormatting sqref="F42">
    <cfRule type="expression" dxfId="53" priority="4">
      <formula>$D$42="简单平均"</formula>
    </cfRule>
  </conditionalFormatting>
  <conditionalFormatting sqref="F46:F48 H46:H48">
    <cfRule type="containsText" dxfId="52" priority="17" stopIfTrue="1" operator="containsText" text="超过">
      <formula>NOT(ISERROR(SEARCH("超过",F46)))</formula>
    </cfRule>
  </conditionalFormatting>
  <conditionalFormatting sqref="G46">
    <cfRule type="expression" dxfId="51" priority="12" stopIfTrue="1">
      <formula>$H$46="超过30%"</formula>
    </cfRule>
  </conditionalFormatting>
  <conditionalFormatting sqref="G47">
    <cfRule type="expression" dxfId="50" priority="11" stopIfTrue="1">
      <formula>$H$47="超过20%"</formula>
    </cfRule>
  </conditionalFormatting>
  <conditionalFormatting sqref="G48">
    <cfRule type="expression" dxfId="49" priority="13" stopIfTrue="1">
      <formula>$H$48="超过30%"</formula>
    </cfRule>
  </conditionalFormatting>
  <conditionalFormatting sqref="H42">
    <cfRule type="expression" dxfId="48" priority="3">
      <formula>$D$42="简单平均"</formula>
    </cfRule>
  </conditionalFormatting>
  <conditionalFormatting sqref="I46">
    <cfRule type="expression" dxfId="47" priority="7" stopIfTrue="1">
      <formula>$J$46="超过30%"</formula>
    </cfRule>
  </conditionalFormatting>
  <conditionalFormatting sqref="I47">
    <cfRule type="expression" dxfId="46" priority="6" stopIfTrue="1">
      <formula>$J$47="超过20%"</formula>
    </cfRule>
  </conditionalFormatting>
  <conditionalFormatting sqref="I48">
    <cfRule type="expression" dxfId="45" priority="5" stopIfTrue="1">
      <formula>$J$48="超过30%"</formula>
    </cfRule>
  </conditionalFormatting>
  <conditionalFormatting sqref="J42">
    <cfRule type="expression" dxfId="44" priority="2">
      <formula>$D$42="简单平均"</formula>
    </cfRule>
  </conditionalFormatting>
  <conditionalFormatting sqref="J46:J48">
    <cfRule type="containsText" dxfId="4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1830</v>
      </c>
      <c r="B1" s="1140" t="s">
        <v>3324</v>
      </c>
      <c r="C1" s="1141" t="s">
        <v>1661</v>
      </c>
      <c r="D1" s="1142"/>
      <c r="E1" s="3132"/>
      <c r="F1" s="1735"/>
      <c r="G1" s="1144" t="s">
        <v>1766</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1461</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1462</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1463</v>
      </c>
      <c r="B3" s="536" t="e">
        <f>IF(AND(C2="——",B37="元/平方米"),C39,ROUND(B2*10000/D3,0))</f>
        <v>#DIV/0!</v>
      </c>
      <c r="C3" s="344" t="s">
        <v>1767</v>
      </c>
      <c r="D3" s="343">
        <f>SUMIF('数据-汇总表'!$C19:$C33,D1,'数据-汇总表'!$E19:$E33)</f>
        <v>0</v>
      </c>
      <c r="E3" s="344" t="s">
        <v>1831</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1768</v>
      </c>
      <c r="B4" s="346"/>
      <c r="C4" s="3338" t="s">
        <v>1769</v>
      </c>
      <c r="D4" s="3364"/>
      <c r="E4" s="3365" t="s">
        <v>1770</v>
      </c>
      <c r="F4" s="3366"/>
      <c r="G4" s="3338" t="s">
        <v>1771</v>
      </c>
      <c r="H4" s="3364"/>
      <c r="I4" s="3338" t="s">
        <v>1772</v>
      </c>
      <c r="J4" s="3364"/>
      <c r="K4" s="537" t="s">
        <v>1773</v>
      </c>
      <c r="L4" s="2487"/>
      <c r="M4" s="2488"/>
      <c r="N4" s="2488"/>
      <c r="O4" s="2488"/>
      <c r="P4" s="3367" t="s">
        <v>1774</v>
      </c>
      <c r="Q4" s="3368"/>
      <c r="R4" s="3344" t="s">
        <v>1770</v>
      </c>
      <c r="S4" s="3345"/>
      <c r="T4" s="3344" t="s">
        <v>1771</v>
      </c>
      <c r="U4" s="3345"/>
      <c r="V4" s="3357" t="s">
        <v>1772</v>
      </c>
      <c r="W4" s="3357"/>
      <c r="X4" s="1265"/>
      <c r="Y4" s="3344" t="s">
        <v>1774</v>
      </c>
      <c r="Z4" s="3345"/>
      <c r="AA4" s="3361" t="s">
        <v>1770</v>
      </c>
      <c r="AB4" s="3362" t="s">
        <v>1771</v>
      </c>
      <c r="AC4" s="3361" t="s">
        <v>1772</v>
      </c>
    </row>
    <row r="5" spans="1:29" ht="15">
      <c r="A5" s="348"/>
      <c r="B5" s="349"/>
      <c r="C5" s="3348" t="s">
        <v>1672</v>
      </c>
      <c r="D5" s="3349"/>
      <c r="E5" s="3373" t="s">
        <v>1673</v>
      </c>
      <c r="F5" s="3374"/>
      <c r="G5" s="3348" t="s">
        <v>1674</v>
      </c>
      <c r="H5" s="3349"/>
      <c r="I5" s="3348" t="s">
        <v>1675</v>
      </c>
      <c r="J5" s="3349"/>
      <c r="K5" s="537"/>
      <c r="L5" s="2487"/>
      <c r="M5" s="2488"/>
      <c r="N5" s="2488"/>
      <c r="O5" s="2488"/>
      <c r="P5" s="3369"/>
      <c r="Q5" s="3370"/>
      <c r="R5" s="3346"/>
      <c r="S5" s="3347"/>
      <c r="T5" s="3346"/>
      <c r="U5" s="3347"/>
      <c r="V5" s="3357"/>
      <c r="W5" s="3357"/>
      <c r="X5" s="1265"/>
      <c r="Y5" s="3346"/>
      <c r="Z5" s="3347"/>
      <c r="AA5" s="3362"/>
      <c r="AB5" s="3362"/>
      <c r="AC5" s="3362"/>
    </row>
    <row r="6" spans="1:29" ht="15.75" thickBot="1">
      <c r="A6" s="350"/>
      <c r="B6" s="351"/>
      <c r="C6" s="3436" t="s">
        <v>1676</v>
      </c>
      <c r="D6" s="3437"/>
      <c r="E6" s="3438" t="s">
        <v>1676</v>
      </c>
      <c r="F6" s="3439"/>
      <c r="G6" s="3436" t="s">
        <v>1676</v>
      </c>
      <c r="H6" s="3437"/>
      <c r="I6" s="3436" t="s">
        <v>1676</v>
      </c>
      <c r="J6" s="3437"/>
      <c r="K6" s="537" t="s">
        <v>1677</v>
      </c>
      <c r="L6" s="2487"/>
      <c r="M6" s="2488"/>
      <c r="N6" s="2488"/>
      <c r="O6" s="2488"/>
      <c r="P6" s="3371"/>
      <c r="Q6" s="3372"/>
      <c r="R6" s="3346"/>
      <c r="S6" s="3347"/>
      <c r="T6" s="3355"/>
      <c r="U6" s="3356"/>
      <c r="V6" s="3357"/>
      <c r="W6" s="3357"/>
      <c r="X6" s="1265"/>
      <c r="Y6" s="3355"/>
      <c r="Z6" s="3356"/>
      <c r="AA6" s="3363"/>
      <c r="AB6" s="3363"/>
      <c r="AC6" s="3363"/>
    </row>
    <row r="7" spans="1:29" s="102" customFormat="1" ht="15.75" thickBot="1">
      <c r="A7" s="352" t="s">
        <v>1678</v>
      </c>
      <c r="B7" s="353"/>
      <c r="C7" s="354">
        <f>'数据-取费表'!B2</f>
        <v>45632</v>
      </c>
      <c r="D7" s="355">
        <v>100</v>
      </c>
      <c r="E7" s="356"/>
      <c r="F7" s="357">
        <f>SUMIF(48:48,YEAR(E7)&amp;"-"&amp;MONTH(E7),49:49)</f>
        <v>0</v>
      </c>
      <c r="G7" s="356"/>
      <c r="H7" s="355">
        <f>SUMIF(48:48,YEAR(G7)&amp;"-"&amp;MONTH(G7),49:49)</f>
        <v>0</v>
      </c>
      <c r="I7" s="356"/>
      <c r="J7" s="355">
        <f>SUMIF(48:48,YEAR(I7)&amp;"-"&amp;MONTH(I7),49:49)</f>
        <v>0</v>
      </c>
      <c r="K7" s="38"/>
      <c r="L7" s="2489"/>
      <c r="M7" s="2440"/>
      <c r="N7" s="2440"/>
      <c r="O7" s="2440"/>
      <c r="P7" s="3342" t="s">
        <v>1679</v>
      </c>
      <c r="Q7" s="3352"/>
      <c r="R7" s="664" t="s">
        <v>14</v>
      </c>
      <c r="S7" s="665">
        <f t="shared" ref="S7:S14" si="0">F7</f>
        <v>0</v>
      </c>
      <c r="T7" s="664" t="s">
        <v>14</v>
      </c>
      <c r="U7" s="665">
        <f t="shared" ref="U7:U14" si="1">H7</f>
        <v>0</v>
      </c>
      <c r="V7" s="664" t="s">
        <v>14</v>
      </c>
      <c r="W7" s="665">
        <f t="shared" ref="W7:W14" si="2">J7</f>
        <v>0</v>
      </c>
      <c r="X7" s="666"/>
      <c r="Y7" s="3342" t="s">
        <v>1679</v>
      </c>
      <c r="Z7" s="3343"/>
      <c r="AA7" s="50" t="e">
        <f>D7/F7</f>
        <v>#DIV/0!</v>
      </c>
      <c r="AB7" s="50" t="e">
        <f>D7/H7</f>
        <v>#DIV/0!</v>
      </c>
      <c r="AC7" s="50" t="e">
        <f>D7/J7</f>
        <v>#DIV/0!</v>
      </c>
    </row>
    <row r="8" spans="1:29" s="102" customFormat="1" ht="15.75" thickBot="1">
      <c r="A8" s="352" t="s">
        <v>1680</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342" t="s">
        <v>1682</v>
      </c>
      <c r="Q8" s="3343"/>
      <c r="R8" s="664" t="s">
        <v>14</v>
      </c>
      <c r="S8" s="665">
        <f t="shared" si="0"/>
        <v>100</v>
      </c>
      <c r="T8" s="664" t="s">
        <v>14</v>
      </c>
      <c r="U8" s="665">
        <f t="shared" si="1"/>
        <v>100</v>
      </c>
      <c r="V8" s="664" t="s">
        <v>14</v>
      </c>
      <c r="W8" s="665">
        <f t="shared" si="2"/>
        <v>100</v>
      </c>
      <c r="X8" s="666"/>
      <c r="Y8" s="3342" t="s">
        <v>1682</v>
      </c>
      <c r="Z8" s="3343"/>
      <c r="AA8" s="50">
        <f t="shared" ref="AA8:AA36" si="3">D8/F8</f>
        <v>1</v>
      </c>
      <c r="AB8" s="50">
        <f t="shared" ref="AB8:AB36" si="4">D8/H8</f>
        <v>1</v>
      </c>
      <c r="AC8" s="50">
        <f t="shared" ref="AC8:AC36" si="5">D8/J8</f>
        <v>1</v>
      </c>
    </row>
    <row r="9" spans="1:29" s="102" customFormat="1">
      <c r="A9" s="57" t="s">
        <v>1683</v>
      </c>
      <c r="B9" s="564" t="s">
        <v>1684</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341" t="s">
        <v>1685</v>
      </c>
      <c r="Q9" s="530" t="str">
        <f t="shared" ref="Q9:Q14" si="6">B9</f>
        <v>用途</v>
      </c>
      <c r="R9" s="664" t="s">
        <v>14</v>
      </c>
      <c r="S9" s="665">
        <f t="shared" si="0"/>
        <v>100</v>
      </c>
      <c r="T9" s="664" t="s">
        <v>14</v>
      </c>
      <c r="U9" s="665">
        <f t="shared" si="1"/>
        <v>100</v>
      </c>
      <c r="V9" s="664" t="s">
        <v>14</v>
      </c>
      <c r="W9" s="665">
        <f t="shared" si="2"/>
        <v>100</v>
      </c>
      <c r="X9" s="666"/>
      <c r="Y9" s="3242" t="s">
        <v>1686</v>
      </c>
      <c r="Z9" s="50" t="str">
        <f t="shared" ref="Z9:Z14" si="7">Q9</f>
        <v>用途</v>
      </c>
      <c r="AA9" s="50">
        <f t="shared" si="3"/>
        <v>1</v>
      </c>
      <c r="AB9" s="50">
        <f t="shared" si="4"/>
        <v>1</v>
      </c>
      <c r="AC9" s="50">
        <f t="shared" si="5"/>
        <v>1</v>
      </c>
    </row>
    <row r="10" spans="1:29" s="366" customFormat="1" ht="27">
      <c r="A10" s="565"/>
      <c r="B10" s="566" t="s">
        <v>1687</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341"/>
      <c r="Q10" s="530" t="str">
        <f t="shared" si="6"/>
        <v>土地使用年限（年）</v>
      </c>
      <c r="R10" s="664" t="s">
        <v>14</v>
      </c>
      <c r="S10" s="665">
        <f t="shared" si="0"/>
        <v>100</v>
      </c>
      <c r="T10" s="664" t="s">
        <v>14</v>
      </c>
      <c r="U10" s="665">
        <f t="shared" si="1"/>
        <v>100</v>
      </c>
      <c r="V10" s="664" t="s">
        <v>14</v>
      </c>
      <c r="W10" s="665">
        <f t="shared" si="2"/>
        <v>100</v>
      </c>
      <c r="X10" s="666"/>
      <c r="Y10" s="3242"/>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341"/>
      <c r="Q11" s="530">
        <f t="shared" si="6"/>
        <v>111</v>
      </c>
      <c r="R11" s="664" t="s">
        <v>14</v>
      </c>
      <c r="S11" s="665">
        <f t="shared" si="0"/>
        <v>100</v>
      </c>
      <c r="T11" s="664" t="s">
        <v>14</v>
      </c>
      <c r="U11" s="665">
        <f t="shared" si="1"/>
        <v>100</v>
      </c>
      <c r="V11" s="664" t="s">
        <v>14</v>
      </c>
      <c r="W11" s="665">
        <f t="shared" si="2"/>
        <v>100</v>
      </c>
      <c r="X11" s="666"/>
      <c r="Y11" s="3242"/>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341"/>
      <c r="Q12" s="530">
        <f t="shared" si="6"/>
        <v>111</v>
      </c>
      <c r="R12" s="664" t="s">
        <v>14</v>
      </c>
      <c r="S12" s="665">
        <f t="shared" si="0"/>
        <v>100</v>
      </c>
      <c r="T12" s="664" t="s">
        <v>14</v>
      </c>
      <c r="U12" s="665">
        <f t="shared" si="1"/>
        <v>100</v>
      </c>
      <c r="V12" s="664" t="s">
        <v>14</v>
      </c>
      <c r="W12" s="665">
        <f t="shared" si="2"/>
        <v>100</v>
      </c>
      <c r="X12" s="666"/>
      <c r="Y12" s="3242"/>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341"/>
      <c r="Q13" s="530">
        <f t="shared" si="6"/>
        <v>111</v>
      </c>
      <c r="R13" s="664" t="s">
        <v>14</v>
      </c>
      <c r="S13" s="665">
        <f t="shared" si="0"/>
        <v>100</v>
      </c>
      <c r="T13" s="664" t="s">
        <v>14</v>
      </c>
      <c r="U13" s="665">
        <f t="shared" si="1"/>
        <v>100</v>
      </c>
      <c r="V13" s="664" t="s">
        <v>14</v>
      </c>
      <c r="W13" s="665">
        <f t="shared" si="2"/>
        <v>100</v>
      </c>
      <c r="X13" s="666"/>
      <c r="Y13" s="3242"/>
      <c r="Z13" s="50">
        <f t="shared" si="7"/>
        <v>111</v>
      </c>
      <c r="AA13" s="50">
        <f t="shared" si="3"/>
        <v>1</v>
      </c>
      <c r="AB13" s="50">
        <f t="shared" si="4"/>
        <v>1</v>
      </c>
      <c r="AC13" s="50">
        <f t="shared" si="5"/>
        <v>1</v>
      </c>
    </row>
    <row r="14" spans="1:29" ht="15">
      <c r="A14" s="345" t="s">
        <v>1689</v>
      </c>
      <c r="B14" s="554" t="s">
        <v>1832</v>
      </c>
      <c r="C14" s="1819">
        <f>IF(B1="工业",估价对象房地状况!G4,估价对象房地状况!C6)</f>
        <v>0</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358" t="s">
        <v>1690</v>
      </c>
      <c r="Q14" s="1263" t="str">
        <f t="shared" si="6"/>
        <v>交通便捷度</v>
      </c>
      <c r="R14" s="667" t="s">
        <v>14</v>
      </c>
      <c r="S14" s="668">
        <f t="shared" si="0"/>
        <v>100</v>
      </c>
      <c r="T14" s="667" t="s">
        <v>14</v>
      </c>
      <c r="U14" s="668">
        <f t="shared" si="1"/>
        <v>100</v>
      </c>
      <c r="V14" s="667" t="s">
        <v>14</v>
      </c>
      <c r="W14" s="668">
        <f t="shared" si="2"/>
        <v>100</v>
      </c>
      <c r="X14" s="1265"/>
      <c r="Y14" s="3358" t="s">
        <v>1690</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359"/>
      <c r="Q15" s="1263"/>
      <c r="R15" s="667"/>
      <c r="S15" s="668"/>
      <c r="T15" s="667"/>
      <c r="U15" s="668"/>
      <c r="V15" s="667"/>
      <c r="W15" s="668"/>
      <c r="X15" s="1265"/>
      <c r="Y15" s="3359"/>
      <c r="Z15" s="1264"/>
      <c r="AA15" s="1264">
        <v>1</v>
      </c>
      <c r="AB15" s="1264">
        <v>1</v>
      </c>
      <c r="AC15" s="1264">
        <v>1</v>
      </c>
    </row>
    <row r="16" spans="1:29" ht="15">
      <c r="A16" s="348"/>
      <c r="B16" s="556" t="s">
        <v>1811</v>
      </c>
      <c r="C16" s="1754">
        <f>IF(B1="工业",估价对象房地状况!G5,估价对象房地状况!C7)</f>
        <v>0</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359"/>
      <c r="Q16" s="1263" t="str">
        <f>B16</f>
        <v>公共配套设施</v>
      </c>
      <c r="R16" s="667" t="s">
        <v>14</v>
      </c>
      <c r="S16" s="668">
        <f>F16</f>
        <v>100</v>
      </c>
      <c r="T16" s="667" t="s">
        <v>14</v>
      </c>
      <c r="U16" s="668">
        <f>H16</f>
        <v>100</v>
      </c>
      <c r="V16" s="667" t="s">
        <v>14</v>
      </c>
      <c r="W16" s="668">
        <f>J16</f>
        <v>100</v>
      </c>
      <c r="X16" s="1265"/>
      <c r="Y16" s="3359"/>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359"/>
      <c r="Q17" s="1263"/>
      <c r="R17" s="667"/>
      <c r="S17" s="668"/>
      <c r="T17" s="667"/>
      <c r="U17" s="668"/>
      <c r="V17" s="667"/>
      <c r="W17" s="668"/>
      <c r="X17" s="1265"/>
      <c r="Y17" s="3359"/>
      <c r="Z17" s="1264"/>
      <c r="AA17" s="1264">
        <v>1</v>
      </c>
      <c r="AB17" s="1264">
        <v>1</v>
      </c>
      <c r="AC17" s="1264">
        <v>1</v>
      </c>
    </row>
    <row r="18" spans="1:29" ht="15">
      <c r="A18" s="348"/>
      <c r="B18" s="557" t="s">
        <v>1812</v>
      </c>
      <c r="C18" s="1754">
        <f>IF(B1="工业",估价对象房地状况!G6,估价对象房地状况!C8)</f>
        <v>0</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359"/>
      <c r="Q18" s="1263" t="str">
        <f>B18</f>
        <v>基础设施水平</v>
      </c>
      <c r="R18" s="667" t="s">
        <v>14</v>
      </c>
      <c r="S18" s="668">
        <f>F18</f>
        <v>100</v>
      </c>
      <c r="T18" s="667" t="s">
        <v>14</v>
      </c>
      <c r="U18" s="668">
        <f>H18</f>
        <v>100</v>
      </c>
      <c r="V18" s="667" t="s">
        <v>14</v>
      </c>
      <c r="W18" s="668">
        <f>J18</f>
        <v>100</v>
      </c>
      <c r="X18" s="1265"/>
      <c r="Y18" s="3359"/>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359"/>
      <c r="Q19" s="1263"/>
      <c r="R19" s="667"/>
      <c r="S19" s="668"/>
      <c r="T19" s="667"/>
      <c r="U19" s="668"/>
      <c r="V19" s="667"/>
      <c r="W19" s="668"/>
      <c r="X19" s="1265"/>
      <c r="Y19" s="3359"/>
      <c r="Z19" s="1264"/>
      <c r="AA19" s="1264">
        <v>1</v>
      </c>
      <c r="AB19" s="1264">
        <v>1</v>
      </c>
      <c r="AC19" s="1264">
        <v>1</v>
      </c>
    </row>
    <row r="20" spans="1:29" ht="15">
      <c r="A20" s="348"/>
      <c r="B20" s="556" t="s">
        <v>1833</v>
      </c>
      <c r="C20" s="1754">
        <f>IF(B1="工业",估价对象房地状况!G7,估价对象房地状况!C9)</f>
        <v>0</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359"/>
      <c r="Q20" s="1263" t="str">
        <f>B20</f>
        <v>自然及人文环境</v>
      </c>
      <c r="R20" s="667" t="s">
        <v>14</v>
      </c>
      <c r="S20" s="668">
        <f>F20</f>
        <v>100</v>
      </c>
      <c r="T20" s="667" t="s">
        <v>14</v>
      </c>
      <c r="U20" s="668">
        <f>H20</f>
        <v>100</v>
      </c>
      <c r="V20" s="667" t="s">
        <v>14</v>
      </c>
      <c r="W20" s="668">
        <f>J20</f>
        <v>100</v>
      </c>
      <c r="X20" s="1265"/>
      <c r="Y20" s="3359"/>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359"/>
      <c r="Q21" s="1263"/>
      <c r="R21" s="667"/>
      <c r="S21" s="668"/>
      <c r="T21" s="667"/>
      <c r="U21" s="668"/>
      <c r="V21" s="667"/>
      <c r="W21" s="668"/>
      <c r="X21" s="1265"/>
      <c r="Y21" s="3359"/>
      <c r="Z21" s="1264"/>
      <c r="AA21" s="1264">
        <v>1</v>
      </c>
      <c r="AB21" s="1264">
        <v>1</v>
      </c>
      <c r="AC21" s="1264">
        <v>1</v>
      </c>
    </row>
    <row r="22" spans="1:29" ht="15">
      <c r="A22" s="348"/>
      <c r="B22" s="556" t="s">
        <v>1834</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359"/>
      <c r="Q22" s="1263" t="str">
        <f>B22</f>
        <v>楼层</v>
      </c>
      <c r="R22" s="667" t="s">
        <v>14</v>
      </c>
      <c r="S22" s="668">
        <f>F22</f>
        <v>100</v>
      </c>
      <c r="T22" s="667" t="s">
        <v>14</v>
      </c>
      <c r="U22" s="668">
        <f>H22</f>
        <v>100</v>
      </c>
      <c r="V22" s="667" t="s">
        <v>14</v>
      </c>
      <c r="W22" s="668">
        <f>J22</f>
        <v>100</v>
      </c>
      <c r="X22" s="1265"/>
      <c r="Y22" s="3359"/>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359"/>
      <c r="Q23" s="1263">
        <f>B23</f>
        <v>111</v>
      </c>
      <c r="R23" s="667" t="s">
        <v>14</v>
      </c>
      <c r="S23" s="668">
        <f>F23</f>
        <v>100</v>
      </c>
      <c r="T23" s="667" t="s">
        <v>14</v>
      </c>
      <c r="U23" s="668">
        <f>H23</f>
        <v>100</v>
      </c>
      <c r="V23" s="667" t="s">
        <v>14</v>
      </c>
      <c r="W23" s="668">
        <f>J23</f>
        <v>100</v>
      </c>
      <c r="X23" s="1265"/>
      <c r="Y23" s="3359"/>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359"/>
      <c r="Q24" s="1263">
        <f t="shared" ref="Q24:Q36" si="11">B24</f>
        <v>111</v>
      </c>
      <c r="R24" s="667" t="s">
        <v>14</v>
      </c>
      <c r="S24" s="668">
        <f>F24</f>
        <v>100</v>
      </c>
      <c r="T24" s="667" t="s">
        <v>14</v>
      </c>
      <c r="U24" s="668">
        <f>H24</f>
        <v>100</v>
      </c>
      <c r="V24" s="667" t="s">
        <v>14</v>
      </c>
      <c r="W24" s="668">
        <f>J24</f>
        <v>100</v>
      </c>
      <c r="X24" s="1265"/>
      <c r="Y24" s="3359"/>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359"/>
      <c r="Q25" s="530">
        <f t="shared" si="11"/>
        <v>111</v>
      </c>
      <c r="R25" s="664" t="s">
        <v>14</v>
      </c>
      <c r="S25" s="665">
        <f>F25</f>
        <v>100</v>
      </c>
      <c r="T25" s="664" t="s">
        <v>14</v>
      </c>
      <c r="U25" s="665">
        <f>H25</f>
        <v>100</v>
      </c>
      <c r="V25" s="664" t="s">
        <v>14</v>
      </c>
      <c r="W25" s="665">
        <f>J25</f>
        <v>100</v>
      </c>
      <c r="X25" s="666"/>
      <c r="Y25" s="3359"/>
      <c r="Z25" s="50">
        <f>Q25</f>
        <v>111</v>
      </c>
      <c r="AA25" s="1264">
        <f>D25/F25</f>
        <v>1</v>
      </c>
      <c r="AB25" s="1264">
        <f>D25/H25</f>
        <v>1</v>
      </c>
      <c r="AC25" s="1264">
        <f>D25/J25</f>
        <v>1</v>
      </c>
    </row>
    <row r="26" spans="1:29" ht="28.5">
      <c r="A26" s="574" t="s">
        <v>1693</v>
      </c>
      <c r="B26" s="59" t="s">
        <v>1835</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375" t="s">
        <v>1695</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60" t="s">
        <v>1695</v>
      </c>
      <c r="Z26" s="1264" t="str">
        <f t="shared" ref="Z26:Z36" si="15">Q26</f>
        <v>配套类型</v>
      </c>
      <c r="AA26" s="1264" t="e">
        <f t="shared" si="3"/>
        <v>#DIV/0!</v>
      </c>
      <c r="AB26" s="1264" t="e">
        <f t="shared" si="4"/>
        <v>#DIV/0!</v>
      </c>
      <c r="AC26" s="1264" t="e">
        <f t="shared" si="5"/>
        <v>#DIV/0!</v>
      </c>
    </row>
    <row r="27" spans="1:29" s="408" customFormat="1" ht="15">
      <c r="A27" s="575"/>
      <c r="B27" s="119" t="s">
        <v>1836</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360"/>
      <c r="Q27" s="531" t="str">
        <f t="shared" si="11"/>
        <v>项目停车位配比</v>
      </c>
      <c r="R27" s="669" t="s">
        <v>14</v>
      </c>
      <c r="S27" s="670">
        <f t="shared" si="12"/>
        <v>100</v>
      </c>
      <c r="T27" s="669" t="s">
        <v>14</v>
      </c>
      <c r="U27" s="670">
        <f t="shared" si="13"/>
        <v>100</v>
      </c>
      <c r="V27" s="669" t="s">
        <v>14</v>
      </c>
      <c r="W27" s="670">
        <f t="shared" si="14"/>
        <v>100</v>
      </c>
      <c r="X27" s="671"/>
      <c r="Y27" s="3360"/>
      <c r="Z27" s="672" t="str">
        <f t="shared" si="15"/>
        <v>项目停车位配比</v>
      </c>
      <c r="AA27" s="1264">
        <f t="shared" si="3"/>
        <v>1</v>
      </c>
      <c r="AB27" s="1264">
        <f t="shared" si="4"/>
        <v>1</v>
      </c>
      <c r="AC27" s="1264">
        <f t="shared" si="5"/>
        <v>1</v>
      </c>
    </row>
    <row r="28" spans="1:29" ht="15">
      <c r="A28" s="577"/>
      <c r="B28" s="119" t="s">
        <v>1837</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360"/>
      <c r="Q28" s="1263" t="str">
        <f t="shared" si="11"/>
        <v>公共部分装修</v>
      </c>
      <c r="R28" s="667" t="s">
        <v>14</v>
      </c>
      <c r="S28" s="668">
        <f t="shared" si="12"/>
        <v>100</v>
      </c>
      <c r="T28" s="667" t="s">
        <v>14</v>
      </c>
      <c r="U28" s="668">
        <f t="shared" si="13"/>
        <v>100</v>
      </c>
      <c r="V28" s="667" t="s">
        <v>14</v>
      </c>
      <c r="W28" s="668">
        <f t="shared" si="14"/>
        <v>100</v>
      </c>
      <c r="X28" s="1265"/>
      <c r="Y28" s="3360"/>
      <c r="Z28" s="1264" t="str">
        <f t="shared" si="15"/>
        <v>公共部分装修</v>
      </c>
      <c r="AA28" s="1264">
        <f t="shared" si="3"/>
        <v>1</v>
      </c>
      <c r="AB28" s="1264">
        <f t="shared" si="4"/>
        <v>1</v>
      </c>
      <c r="AC28" s="1264">
        <f t="shared" si="5"/>
        <v>1</v>
      </c>
    </row>
    <row r="29" spans="1:29" ht="15">
      <c r="A29" s="577"/>
      <c r="B29" s="119" t="s">
        <v>1838</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360"/>
      <c r="Q29" s="1263" t="str">
        <f t="shared" si="11"/>
        <v>成新率</v>
      </c>
      <c r="R29" s="667" t="s">
        <v>14</v>
      </c>
      <c r="S29" s="668" t="e">
        <f t="shared" si="12"/>
        <v>#N/A</v>
      </c>
      <c r="T29" s="667" t="s">
        <v>14</v>
      </c>
      <c r="U29" s="668" t="e">
        <f t="shared" si="13"/>
        <v>#N/A</v>
      </c>
      <c r="V29" s="667" t="s">
        <v>14</v>
      </c>
      <c r="W29" s="668" t="e">
        <f t="shared" si="14"/>
        <v>#N/A</v>
      </c>
      <c r="X29" s="1265"/>
      <c r="Y29" s="3360"/>
      <c r="Z29" s="1264" t="str">
        <f t="shared" si="15"/>
        <v>成新率</v>
      </c>
      <c r="AA29" s="1264" t="e">
        <f t="shared" si="3"/>
        <v>#N/A</v>
      </c>
      <c r="AB29" s="1264" t="e">
        <f t="shared" si="4"/>
        <v>#N/A</v>
      </c>
      <c r="AC29" s="1264" t="e">
        <f t="shared" si="5"/>
        <v>#N/A</v>
      </c>
    </row>
    <row r="30" spans="1:29" ht="15">
      <c r="A30" s="577"/>
      <c r="B30" s="119" t="s">
        <v>1839</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360"/>
      <c r="Q30" s="1263" t="str">
        <f t="shared" si="11"/>
        <v>物业等级</v>
      </c>
      <c r="R30" s="667" t="s">
        <v>14</v>
      </c>
      <c r="S30" s="668">
        <f t="shared" si="12"/>
        <v>100</v>
      </c>
      <c r="T30" s="667" t="s">
        <v>14</v>
      </c>
      <c r="U30" s="668">
        <f t="shared" si="13"/>
        <v>100</v>
      </c>
      <c r="V30" s="667" t="s">
        <v>14</v>
      </c>
      <c r="W30" s="668">
        <f t="shared" si="14"/>
        <v>100</v>
      </c>
      <c r="X30" s="1265"/>
      <c r="Y30" s="3360"/>
      <c r="Z30" s="1264" t="str">
        <f t="shared" si="15"/>
        <v>物业等级</v>
      </c>
      <c r="AA30" s="1264">
        <f t="shared" si="3"/>
        <v>1</v>
      </c>
      <c r="AB30" s="1264">
        <f t="shared" si="4"/>
        <v>1</v>
      </c>
      <c r="AC30" s="1264">
        <f t="shared" si="5"/>
        <v>1</v>
      </c>
    </row>
    <row r="31" spans="1:29" s="102" customFormat="1" ht="15">
      <c r="A31" s="579"/>
      <c r="B31" s="119" t="s">
        <v>1840</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360"/>
      <c r="Q31" s="530" t="str">
        <f t="shared" si="11"/>
        <v>停车位面积</v>
      </c>
      <c r="R31" s="664" t="s">
        <v>14</v>
      </c>
      <c r="S31" s="665" t="e">
        <f t="shared" si="12"/>
        <v>#N/A</v>
      </c>
      <c r="T31" s="664" t="s">
        <v>14</v>
      </c>
      <c r="U31" s="665" t="e">
        <f t="shared" si="13"/>
        <v>#N/A</v>
      </c>
      <c r="V31" s="664" t="s">
        <v>14</v>
      </c>
      <c r="W31" s="665" t="e">
        <f t="shared" si="14"/>
        <v>#N/A</v>
      </c>
      <c r="X31" s="666"/>
      <c r="Y31" s="3360"/>
      <c r="Z31" s="50" t="str">
        <f t="shared" si="15"/>
        <v>停车位面积</v>
      </c>
      <c r="AA31" s="50" t="e">
        <f t="shared" si="3"/>
        <v>#N/A</v>
      </c>
      <c r="AB31" s="50" t="e">
        <f t="shared" si="4"/>
        <v>#N/A</v>
      </c>
      <c r="AC31" s="50" t="e">
        <f t="shared" si="5"/>
        <v>#N/A</v>
      </c>
    </row>
    <row r="32" spans="1:29" ht="15">
      <c r="A32" s="577"/>
      <c r="B32" s="119" t="s">
        <v>1841</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360" t="s">
        <v>1695</v>
      </c>
      <c r="Q32" s="1263" t="str">
        <f t="shared" si="11"/>
        <v>车位类型</v>
      </c>
      <c r="R32" s="667" t="s">
        <v>14</v>
      </c>
      <c r="S32" s="668">
        <f t="shared" si="12"/>
        <v>100</v>
      </c>
      <c r="T32" s="667" t="s">
        <v>14</v>
      </c>
      <c r="U32" s="668">
        <f t="shared" si="13"/>
        <v>100</v>
      </c>
      <c r="V32" s="667" t="s">
        <v>14</v>
      </c>
      <c r="W32" s="668">
        <f t="shared" si="14"/>
        <v>100</v>
      </c>
      <c r="X32" s="1265"/>
      <c r="Y32" s="3360" t="s">
        <v>1695</v>
      </c>
      <c r="Z32" s="1264" t="str">
        <f t="shared" si="15"/>
        <v>车位类型</v>
      </c>
      <c r="AA32" s="1264">
        <f t="shared" si="3"/>
        <v>1</v>
      </c>
      <c r="AB32" s="1264">
        <f t="shared" si="4"/>
        <v>1</v>
      </c>
      <c r="AC32" s="1264">
        <f t="shared" si="5"/>
        <v>1</v>
      </c>
    </row>
    <row r="33" spans="1:29" ht="15">
      <c r="A33" s="577"/>
      <c r="B33" s="119" t="s">
        <v>1842</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360"/>
      <c r="Q33" s="1263" t="str">
        <f t="shared" si="11"/>
        <v>是否直接入户</v>
      </c>
      <c r="R33" s="667" t="s">
        <v>14</v>
      </c>
      <c r="S33" s="668">
        <f t="shared" si="12"/>
        <v>100</v>
      </c>
      <c r="T33" s="667" t="s">
        <v>14</v>
      </c>
      <c r="U33" s="668">
        <f t="shared" si="13"/>
        <v>100</v>
      </c>
      <c r="V33" s="667" t="s">
        <v>14</v>
      </c>
      <c r="W33" s="668">
        <f t="shared" si="14"/>
        <v>100</v>
      </c>
      <c r="X33" s="1265"/>
      <c r="Y33" s="3360"/>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360"/>
      <c r="Q34" s="1263">
        <f t="shared" si="11"/>
        <v>111</v>
      </c>
      <c r="R34" s="667" t="s">
        <v>14</v>
      </c>
      <c r="S34" s="668">
        <f t="shared" si="12"/>
        <v>100</v>
      </c>
      <c r="T34" s="667" t="s">
        <v>14</v>
      </c>
      <c r="U34" s="668">
        <f t="shared" si="13"/>
        <v>100</v>
      </c>
      <c r="V34" s="667" t="s">
        <v>14</v>
      </c>
      <c r="W34" s="668">
        <f t="shared" si="14"/>
        <v>100</v>
      </c>
      <c r="X34" s="1265"/>
      <c r="Y34" s="3360"/>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360"/>
      <c r="Q35" s="531">
        <f t="shared" si="11"/>
        <v>111</v>
      </c>
      <c r="R35" s="669" t="s">
        <v>14</v>
      </c>
      <c r="S35" s="670">
        <f t="shared" si="12"/>
        <v>100</v>
      </c>
      <c r="T35" s="669" t="s">
        <v>14</v>
      </c>
      <c r="U35" s="670">
        <f t="shared" si="13"/>
        <v>100</v>
      </c>
      <c r="V35" s="669" t="s">
        <v>14</v>
      </c>
      <c r="W35" s="670">
        <f t="shared" si="14"/>
        <v>100</v>
      </c>
      <c r="X35" s="671"/>
      <c r="Y35" s="3360"/>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360"/>
      <c r="Q36" s="1263">
        <f t="shared" si="11"/>
        <v>111</v>
      </c>
      <c r="R36" s="667" t="s">
        <v>14</v>
      </c>
      <c r="S36" s="668">
        <f t="shared" si="12"/>
        <v>100</v>
      </c>
      <c r="T36" s="667" t="s">
        <v>14</v>
      </c>
      <c r="U36" s="668">
        <f t="shared" si="13"/>
        <v>100</v>
      </c>
      <c r="V36" s="667" t="s">
        <v>14</v>
      </c>
      <c r="W36" s="668">
        <f t="shared" si="14"/>
        <v>100</v>
      </c>
      <c r="X36" s="1265"/>
      <c r="Y36" s="3360"/>
      <c r="Z36" s="1264">
        <f t="shared" si="15"/>
        <v>111</v>
      </c>
      <c r="AA36" s="1264">
        <f t="shared" si="3"/>
        <v>1</v>
      </c>
      <c r="AB36" s="1264">
        <f t="shared" si="4"/>
        <v>1</v>
      </c>
      <c r="AC36" s="1264">
        <f t="shared" si="5"/>
        <v>1</v>
      </c>
    </row>
    <row r="37" spans="1:29" ht="15">
      <c r="A37" s="416" t="s">
        <v>1843</v>
      </c>
      <c r="B37" s="1821" t="s">
        <v>3345</v>
      </c>
      <c r="C37" s="1081" t="s">
        <v>0</v>
      </c>
      <c r="D37" s="418"/>
      <c r="E37" s="419"/>
      <c r="F37" s="420"/>
      <c r="G37" s="421"/>
      <c r="H37" s="422"/>
      <c r="I37" s="419"/>
      <c r="J37" s="422"/>
      <c r="K37" s="545"/>
      <c r="L37" s="2495"/>
      <c r="M37" s="2488"/>
      <c r="N37" s="2488"/>
      <c r="O37" s="2488"/>
      <c r="P37" s="3341" t="str">
        <f>A37</f>
        <v>成交单价</v>
      </c>
      <c r="Q37" s="3341"/>
      <c r="R37" s="3357">
        <f>E37</f>
        <v>0</v>
      </c>
      <c r="S37" s="3357"/>
      <c r="T37" s="3357">
        <f>G37</f>
        <v>0</v>
      </c>
      <c r="U37" s="3357"/>
      <c r="V37" s="3357">
        <f>I37</f>
        <v>0</v>
      </c>
      <c r="W37" s="3357"/>
      <c r="X37" s="385"/>
      <c r="Y37" s="673"/>
      <c r="Z37" s="385"/>
      <c r="AA37" s="385"/>
      <c r="AB37" s="385"/>
      <c r="AC37" s="385"/>
    </row>
    <row r="38" spans="1:29" ht="15.75" thickBot="1">
      <c r="A38" s="423" t="s">
        <v>1844</v>
      </c>
      <c r="B38" s="424" t="str">
        <f>B37</f>
        <v>元/平方米</v>
      </c>
      <c r="C38" s="1082" t="e">
        <f>R39</f>
        <v>#DIV/0!</v>
      </c>
      <c r="D38" s="2141" t="s">
        <v>2136</v>
      </c>
      <c r="E38" s="1083" t="e">
        <f>R38</f>
        <v>#DIV/0!</v>
      </c>
      <c r="F38" s="2142"/>
      <c r="G38" s="1082" t="e">
        <f>T38</f>
        <v>#DIV/0!</v>
      </c>
      <c r="H38" s="2142"/>
      <c r="I38" s="1083" t="e">
        <f>V38</f>
        <v>#DIV/0!</v>
      </c>
      <c r="J38" s="2142"/>
      <c r="K38" s="2144">
        <f>F38+H38+J38</f>
        <v>0</v>
      </c>
      <c r="L38" s="2495"/>
      <c r="M38" s="2488"/>
      <c r="N38" s="2488"/>
      <c r="O38" s="2488"/>
      <c r="P38" s="3341" t="str">
        <f>A38</f>
        <v>比较价值（元/平方米）</v>
      </c>
      <c r="Q38" s="3341"/>
      <c r="R38" s="3357" t="e">
        <f>IF(F1="售价",ROUND(PRODUCT(R37,AA7:AA36),0),ROUND(PRODUCT(R37,AA7:AA36),1))</f>
        <v>#DIV/0!</v>
      </c>
      <c r="S38" s="3357"/>
      <c r="T38" s="3357" t="e">
        <f>IF(F1="售价",ROUND(PRODUCT(T37,AB7:AB36),0),ROUND(PRODUCT(T37,AB7:AB36),1))</f>
        <v>#DIV/0!</v>
      </c>
      <c r="U38" s="3357"/>
      <c r="V38" s="3357" t="e">
        <f>IF(F1="售价",ROUND(PRODUCT(V37,AC7:AC36),0),ROUND(PRODUCT(V37,AC7:AC36),1))</f>
        <v>#DIV/0!</v>
      </c>
      <c r="W38" s="3357"/>
      <c r="X38" s="385"/>
      <c r="Y38" s="385"/>
      <c r="Z38" s="385"/>
      <c r="AA38" s="385"/>
      <c r="AB38" s="385"/>
      <c r="AC38" s="385"/>
    </row>
    <row r="39" spans="1:29" ht="15.75" thickBot="1">
      <c r="A39" s="427" t="s">
        <v>1845</v>
      </c>
      <c r="B39" s="428"/>
      <c r="C39" s="351" t="e">
        <f>R39</f>
        <v>#DIV/0!</v>
      </c>
      <c r="D39" s="351"/>
      <c r="E39" s="351"/>
      <c r="F39" s="351"/>
      <c r="G39" s="351"/>
      <c r="H39" s="351"/>
      <c r="I39" s="351"/>
      <c r="J39" s="351"/>
      <c r="K39" s="546"/>
      <c r="L39" s="2495"/>
      <c r="M39" s="2488"/>
      <c r="N39" s="2488"/>
      <c r="O39" s="2488"/>
      <c r="P39" s="3376" t="str">
        <f>A39</f>
        <v>估价对象XX用房的比较价值（楼面单价，元/平方米）</v>
      </c>
      <c r="Q39" s="3377"/>
      <c r="R39" s="3455" t="e">
        <f>IF(F1="售价",ROUND(IF(D38="简单平均",AVERAGE(R38:W38),R38*F38+T38*H38+V38*J38),0),ROUND(IF(D38="简单平均",AVERAGE(R38:V38),R38*F38+T38*H38+V38*J38),1))</f>
        <v>#DIV/0!</v>
      </c>
      <c r="S39" s="3455"/>
      <c r="T39" s="3455"/>
      <c r="U39" s="3455"/>
      <c r="V39" s="3455"/>
      <c r="W39" s="3455"/>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1846</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1847</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1848</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1849</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1850</v>
      </c>
      <c r="B48" s="441"/>
      <c r="C48" s="1103" t="str">
        <f>YEAR(C7)&amp;"-"&amp;MONTH(C7)</f>
        <v>2024-12</v>
      </c>
      <c r="D48" s="1104">
        <f>EDATE(C48,-1)</f>
        <v>45597</v>
      </c>
      <c r="E48" s="1104">
        <f t="shared" ref="E48:O48" si="16">EDATE(D48,-1)</f>
        <v>45566</v>
      </c>
      <c r="F48" s="1104">
        <f t="shared" si="16"/>
        <v>45536</v>
      </c>
      <c r="G48" s="1104">
        <f t="shared" si="16"/>
        <v>45505</v>
      </c>
      <c r="H48" s="1104">
        <f t="shared" si="16"/>
        <v>45474</v>
      </c>
      <c r="I48" s="1104">
        <f t="shared" si="16"/>
        <v>45444</v>
      </c>
      <c r="J48" s="1104">
        <f t="shared" si="16"/>
        <v>45413</v>
      </c>
      <c r="K48" s="1104">
        <f t="shared" si="16"/>
        <v>45383</v>
      </c>
      <c r="L48" s="1104">
        <f t="shared" si="16"/>
        <v>45352</v>
      </c>
      <c r="M48" s="1104">
        <f t="shared" si="16"/>
        <v>45323</v>
      </c>
      <c r="N48" s="1104">
        <f t="shared" si="16"/>
        <v>45292</v>
      </c>
      <c r="O48" s="1104">
        <f t="shared" si="16"/>
        <v>45261</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1715</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1680</v>
      </c>
      <c r="B51" s="444"/>
      <c r="C51" s="456" t="s">
        <v>1775</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1718</v>
      </c>
      <c r="B53" s="460" t="s">
        <v>1684</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1687</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1689</v>
      </c>
      <c r="B63" s="460" t="s">
        <v>1725</v>
      </c>
      <c r="C63" s="504" t="s">
        <v>1720</v>
      </c>
      <c r="D63" s="504" t="s">
        <v>1721</v>
      </c>
      <c r="E63" s="504" t="s">
        <v>1722</v>
      </c>
      <c r="F63" s="504" t="s">
        <v>1723</v>
      </c>
      <c r="G63" s="504" t="s">
        <v>1724</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1726</v>
      </c>
      <c r="C65" s="509" t="s">
        <v>1720</v>
      </c>
      <c r="D65" s="509" t="s">
        <v>1721</v>
      </c>
      <c r="E65" s="509" t="s">
        <v>1722</v>
      </c>
      <c r="F65" s="509" t="s">
        <v>1723</v>
      </c>
      <c r="G65" s="509" t="s">
        <v>1724</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1812</v>
      </c>
      <c r="C67" s="581" t="s">
        <v>1798</v>
      </c>
      <c r="D67" s="581" t="s">
        <v>1799</v>
      </c>
      <c r="E67" s="581" t="s">
        <v>1800</v>
      </c>
      <c r="F67" s="581" t="s">
        <v>1801</v>
      </c>
      <c r="G67" s="581" t="s">
        <v>1802</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1732</v>
      </c>
      <c r="C69" s="509" t="s">
        <v>1720</v>
      </c>
      <c r="D69" s="509" t="s">
        <v>1721</v>
      </c>
      <c r="E69" s="509" t="s">
        <v>1722</v>
      </c>
      <c r="F69" s="509" t="s">
        <v>1723</v>
      </c>
      <c r="G69" s="509" t="s">
        <v>1724</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1851</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1693</v>
      </c>
      <c r="B79" s="460" t="s">
        <v>1852</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1853</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1739</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1854</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1855</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1856</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1857</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1858</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42" priority="13" stopIfTrue="1">
      <formula>$F$42="超过30%"</formula>
    </cfRule>
  </conditionalFormatting>
  <conditionalFormatting sqref="E43">
    <cfRule type="expression" dxfId="41" priority="11" stopIfTrue="1">
      <formula>$F$43="超过20%"</formula>
    </cfRule>
  </conditionalFormatting>
  <conditionalFormatting sqref="E44">
    <cfRule type="expression" dxfId="40" priority="10" stopIfTrue="1">
      <formula>$F$44="超过30%"</formula>
    </cfRule>
  </conditionalFormatting>
  <conditionalFormatting sqref="F7:F36 H7:H36 J7:J36">
    <cfRule type="cellIs" dxfId="39" priority="1" operator="notEqual">
      <formula>100</formula>
    </cfRule>
  </conditionalFormatting>
  <conditionalFormatting sqref="F38">
    <cfRule type="expression" dxfId="38" priority="4">
      <formula>$D$38="简单平均"</formula>
    </cfRule>
  </conditionalFormatting>
  <conditionalFormatting sqref="F42:F44 H42:H44 J42:J44">
    <cfRule type="containsText" dxfId="37" priority="14" stopIfTrue="1" operator="containsText" text="超过">
      <formula>NOT(ISERROR(SEARCH("超过",F42)))</formula>
    </cfRule>
  </conditionalFormatting>
  <conditionalFormatting sqref="G42">
    <cfRule type="expression" dxfId="36" priority="9" stopIfTrue="1">
      <formula>$H$52+$H$42="超过30%"</formula>
    </cfRule>
  </conditionalFormatting>
  <conditionalFormatting sqref="G43">
    <cfRule type="expression" dxfId="35" priority="8" stopIfTrue="1">
      <formula>$H$43="超过20%"</formula>
    </cfRule>
  </conditionalFormatting>
  <conditionalFormatting sqref="G44">
    <cfRule type="expression" dxfId="34" priority="12" stopIfTrue="1">
      <formula>$H$54+$H$44="超过30%"</formula>
    </cfRule>
  </conditionalFormatting>
  <conditionalFormatting sqref="H38">
    <cfRule type="expression" dxfId="33" priority="3">
      <formula>$D$38="简单平均"</formula>
    </cfRule>
  </conditionalFormatting>
  <conditionalFormatting sqref="I42">
    <cfRule type="expression" dxfId="32" priority="7" stopIfTrue="1">
      <formula>$J$52+$J$42="超过30%"</formula>
    </cfRule>
  </conditionalFormatting>
  <conditionalFormatting sqref="I43">
    <cfRule type="expression" dxfId="31" priority="6" stopIfTrue="1">
      <formula>$J$53+$J$43="超过20%"</formula>
    </cfRule>
  </conditionalFormatting>
  <conditionalFormatting sqref="I44">
    <cfRule type="expression" dxfId="30" priority="5" stopIfTrue="1">
      <formula>$J$44="超过30%"</formula>
    </cfRule>
  </conditionalFormatting>
  <conditionalFormatting sqref="J38">
    <cfRule type="expression" dxfId="2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1830</v>
      </c>
      <c r="B1" s="1140" t="s">
        <v>3325</v>
      </c>
      <c r="C1" s="1141" t="s">
        <v>1661</v>
      </c>
      <c r="D1" s="1142"/>
      <c r="E1" s="3132"/>
      <c r="F1" s="1735"/>
      <c r="G1" s="1152" t="s">
        <v>1766</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1461</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1462</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1463</v>
      </c>
      <c r="B3" s="536" t="e">
        <f>IF(C2="——",C37,ROUND(B2*10000/D3,0))</f>
        <v>#DIV/0!</v>
      </c>
      <c r="C3" s="344" t="s">
        <v>1767</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1768</v>
      </c>
      <c r="B4" s="346"/>
      <c r="C4" s="3338" t="s">
        <v>1769</v>
      </c>
      <c r="D4" s="3364"/>
      <c r="E4" s="3365" t="s">
        <v>1770</v>
      </c>
      <c r="F4" s="3366"/>
      <c r="G4" s="3338" t="s">
        <v>1771</v>
      </c>
      <c r="H4" s="3364"/>
      <c r="I4" s="3338" t="s">
        <v>1772</v>
      </c>
      <c r="J4" s="3364"/>
      <c r="K4" s="537" t="s">
        <v>1773</v>
      </c>
      <c r="L4" s="2487"/>
      <c r="M4" s="2488"/>
      <c r="N4" s="2488"/>
      <c r="O4" s="2488"/>
      <c r="P4" s="3367" t="s">
        <v>1774</v>
      </c>
      <c r="Q4" s="3368"/>
      <c r="R4" s="3344" t="s">
        <v>1770</v>
      </c>
      <c r="S4" s="3345"/>
      <c r="T4" s="3344" t="s">
        <v>1771</v>
      </c>
      <c r="U4" s="3345"/>
      <c r="V4" s="3357" t="s">
        <v>1772</v>
      </c>
      <c r="W4" s="3357"/>
      <c r="X4" s="1265"/>
      <c r="Y4" s="3344" t="s">
        <v>1774</v>
      </c>
      <c r="Z4" s="3345"/>
      <c r="AA4" s="3361" t="s">
        <v>1770</v>
      </c>
      <c r="AB4" s="3362" t="s">
        <v>1771</v>
      </c>
      <c r="AC4" s="3361" t="s">
        <v>1772</v>
      </c>
    </row>
    <row r="5" spans="1:29" ht="15">
      <c r="A5" s="348"/>
      <c r="B5" s="349"/>
      <c r="C5" s="3348" t="s">
        <v>1672</v>
      </c>
      <c r="D5" s="3349"/>
      <c r="E5" s="3373" t="s">
        <v>1673</v>
      </c>
      <c r="F5" s="3374"/>
      <c r="G5" s="3348" t="s">
        <v>1674</v>
      </c>
      <c r="H5" s="3349"/>
      <c r="I5" s="3348" t="s">
        <v>1675</v>
      </c>
      <c r="J5" s="3349"/>
      <c r="K5" s="537"/>
      <c r="L5" s="2487"/>
      <c r="M5" s="2488"/>
      <c r="N5" s="2488"/>
      <c r="O5" s="2488"/>
      <c r="P5" s="3369"/>
      <c r="Q5" s="3370"/>
      <c r="R5" s="3346"/>
      <c r="S5" s="3347"/>
      <c r="T5" s="3346"/>
      <c r="U5" s="3347"/>
      <c r="V5" s="3357"/>
      <c r="W5" s="3357"/>
      <c r="X5" s="1265"/>
      <c r="Y5" s="3346"/>
      <c r="Z5" s="3347"/>
      <c r="AA5" s="3362"/>
      <c r="AB5" s="3362"/>
      <c r="AC5" s="3362"/>
    </row>
    <row r="6" spans="1:29" ht="15.75" thickBot="1">
      <c r="A6" s="350"/>
      <c r="B6" s="351"/>
      <c r="C6" s="3436" t="s">
        <v>1676</v>
      </c>
      <c r="D6" s="3437"/>
      <c r="E6" s="3438" t="s">
        <v>1676</v>
      </c>
      <c r="F6" s="3439"/>
      <c r="G6" s="3436" t="s">
        <v>1676</v>
      </c>
      <c r="H6" s="3437"/>
      <c r="I6" s="3436" t="s">
        <v>1676</v>
      </c>
      <c r="J6" s="3437"/>
      <c r="K6" s="537" t="s">
        <v>1677</v>
      </c>
      <c r="L6" s="2487"/>
      <c r="M6" s="2488"/>
      <c r="N6" s="2488"/>
      <c r="O6" s="2488"/>
      <c r="P6" s="3371"/>
      <c r="Q6" s="3372"/>
      <c r="R6" s="3346"/>
      <c r="S6" s="3347"/>
      <c r="T6" s="3355"/>
      <c r="U6" s="3356"/>
      <c r="V6" s="3357"/>
      <c r="W6" s="3357"/>
      <c r="X6" s="1265"/>
      <c r="Y6" s="3355"/>
      <c r="Z6" s="3356"/>
      <c r="AA6" s="3363"/>
      <c r="AB6" s="3363"/>
      <c r="AC6" s="3363"/>
    </row>
    <row r="7" spans="1:29" s="102" customFormat="1" ht="15.75" thickBot="1">
      <c r="A7" s="352" t="s">
        <v>1678</v>
      </c>
      <c r="B7" s="353"/>
      <c r="C7" s="354">
        <f>'数据-取费表'!B2</f>
        <v>45632</v>
      </c>
      <c r="D7" s="355">
        <v>100</v>
      </c>
      <c r="E7" s="356"/>
      <c r="F7" s="357">
        <f>SUMIF(46:46,YEAR(E7)&amp;"-"&amp;MONTH(E7),47:47)</f>
        <v>0</v>
      </c>
      <c r="G7" s="1822"/>
      <c r="H7" s="355">
        <f>SUMIF(46:46,YEAR(G7)&amp;"-"&amp;MONTH(G7),47:47)</f>
        <v>0</v>
      </c>
      <c r="I7" s="356"/>
      <c r="J7" s="355">
        <f>SUMIF(46:46,YEAR(I7)&amp;"-"&amp;MONTH(I7),47:47)</f>
        <v>0</v>
      </c>
      <c r="K7" s="38"/>
      <c r="L7" s="2489"/>
      <c r="M7" s="2440"/>
      <c r="N7" s="2440"/>
      <c r="O7" s="2440"/>
      <c r="P7" s="3342" t="s">
        <v>1679</v>
      </c>
      <c r="Q7" s="3352"/>
      <c r="R7" s="664" t="s">
        <v>14</v>
      </c>
      <c r="S7" s="665">
        <f t="shared" ref="S7:S14" si="0">F7</f>
        <v>0</v>
      </c>
      <c r="T7" s="664" t="s">
        <v>14</v>
      </c>
      <c r="U7" s="665">
        <f t="shared" ref="U7:U14" si="1">H7</f>
        <v>0</v>
      </c>
      <c r="V7" s="664" t="s">
        <v>14</v>
      </c>
      <c r="W7" s="665">
        <f t="shared" ref="W7:W14" si="2">J7</f>
        <v>0</v>
      </c>
      <c r="X7" s="666"/>
      <c r="Y7" s="3342" t="s">
        <v>1679</v>
      </c>
      <c r="Z7" s="3343"/>
      <c r="AA7" s="50" t="e">
        <f>D7/F7</f>
        <v>#DIV/0!</v>
      </c>
      <c r="AB7" s="50" t="e">
        <f>D7/H7</f>
        <v>#DIV/0!</v>
      </c>
      <c r="AC7" s="50" t="e">
        <f>D7/J7</f>
        <v>#DIV/0!</v>
      </c>
    </row>
    <row r="8" spans="1:29" s="102" customFormat="1" ht="15.75" thickBot="1">
      <c r="A8" s="352" t="s">
        <v>1680</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342" t="s">
        <v>1682</v>
      </c>
      <c r="Q8" s="3343"/>
      <c r="R8" s="664" t="s">
        <v>14</v>
      </c>
      <c r="S8" s="665">
        <f t="shared" si="0"/>
        <v>100</v>
      </c>
      <c r="T8" s="664" t="s">
        <v>14</v>
      </c>
      <c r="U8" s="665">
        <f t="shared" si="1"/>
        <v>100</v>
      </c>
      <c r="V8" s="664" t="s">
        <v>14</v>
      </c>
      <c r="W8" s="665">
        <f t="shared" si="2"/>
        <v>100</v>
      </c>
      <c r="X8" s="666"/>
      <c r="Y8" s="3342" t="s">
        <v>1682</v>
      </c>
      <c r="Z8" s="3343"/>
      <c r="AA8" s="50">
        <f t="shared" ref="AA8:AA34" si="3">D8/F8</f>
        <v>1</v>
      </c>
      <c r="AB8" s="50">
        <f t="shared" ref="AB8:AB34" si="4">D8/H8</f>
        <v>1</v>
      </c>
      <c r="AC8" s="50">
        <f t="shared" ref="AC8:AC34" si="5">D8/J8</f>
        <v>1</v>
      </c>
    </row>
    <row r="9" spans="1:29" s="102" customFormat="1">
      <c r="A9" s="359" t="s">
        <v>1683</v>
      </c>
      <c r="B9" s="60" t="s">
        <v>1684</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341" t="s">
        <v>1685</v>
      </c>
      <c r="Q9" s="530" t="str">
        <f t="shared" ref="Q9:Q14" si="6">B9</f>
        <v>用途</v>
      </c>
      <c r="R9" s="664" t="s">
        <v>14</v>
      </c>
      <c r="S9" s="665">
        <f t="shared" si="0"/>
        <v>100</v>
      </c>
      <c r="T9" s="664" t="s">
        <v>14</v>
      </c>
      <c r="U9" s="665">
        <f t="shared" si="1"/>
        <v>100</v>
      </c>
      <c r="V9" s="664" t="s">
        <v>14</v>
      </c>
      <c r="W9" s="665">
        <f t="shared" si="2"/>
        <v>100</v>
      </c>
      <c r="X9" s="666"/>
      <c r="Y9" s="3242" t="s">
        <v>1686</v>
      </c>
      <c r="Z9" s="50" t="str">
        <f t="shared" ref="Z9:Z14" si="7">Q9</f>
        <v>用途</v>
      </c>
      <c r="AA9" s="50">
        <f t="shared" si="3"/>
        <v>1</v>
      </c>
      <c r="AB9" s="50">
        <f t="shared" si="4"/>
        <v>1</v>
      </c>
      <c r="AC9" s="50">
        <f t="shared" si="5"/>
        <v>1</v>
      </c>
    </row>
    <row r="10" spans="1:29" s="366" customFormat="1" ht="27">
      <c r="A10" s="363"/>
      <c r="B10" s="364" t="s">
        <v>1687</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341"/>
      <c r="Q10" s="530" t="str">
        <f t="shared" si="6"/>
        <v>土地使用年限（年）</v>
      </c>
      <c r="R10" s="664" t="s">
        <v>14</v>
      </c>
      <c r="S10" s="665">
        <f t="shared" si="0"/>
        <v>100</v>
      </c>
      <c r="T10" s="664" t="s">
        <v>14</v>
      </c>
      <c r="U10" s="665">
        <f t="shared" si="1"/>
        <v>100</v>
      </c>
      <c r="V10" s="664" t="s">
        <v>14</v>
      </c>
      <c r="W10" s="665">
        <f t="shared" si="2"/>
        <v>100</v>
      </c>
      <c r="X10" s="666"/>
      <c r="Y10" s="3242"/>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341"/>
      <c r="Q11" s="530">
        <f t="shared" si="6"/>
        <v>111</v>
      </c>
      <c r="R11" s="664" t="s">
        <v>14</v>
      </c>
      <c r="S11" s="665">
        <f t="shared" si="0"/>
        <v>100</v>
      </c>
      <c r="T11" s="664" t="s">
        <v>14</v>
      </c>
      <c r="U11" s="665">
        <f t="shared" si="1"/>
        <v>100</v>
      </c>
      <c r="V11" s="664" t="s">
        <v>14</v>
      </c>
      <c r="W11" s="665">
        <f t="shared" si="2"/>
        <v>100</v>
      </c>
      <c r="X11" s="666"/>
      <c r="Y11" s="3242"/>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341"/>
      <c r="Q12" s="530">
        <f t="shared" si="6"/>
        <v>111</v>
      </c>
      <c r="R12" s="664" t="s">
        <v>14</v>
      </c>
      <c r="S12" s="665">
        <f t="shared" si="0"/>
        <v>100</v>
      </c>
      <c r="T12" s="664" t="s">
        <v>14</v>
      </c>
      <c r="U12" s="665">
        <f t="shared" si="1"/>
        <v>100</v>
      </c>
      <c r="V12" s="664" t="s">
        <v>14</v>
      </c>
      <c r="W12" s="665">
        <f t="shared" si="2"/>
        <v>100</v>
      </c>
      <c r="X12" s="666"/>
      <c r="Y12" s="3242"/>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341"/>
      <c r="Q13" s="530">
        <f t="shared" si="6"/>
        <v>111</v>
      </c>
      <c r="R13" s="664" t="s">
        <v>14</v>
      </c>
      <c r="S13" s="665">
        <f t="shared" si="0"/>
        <v>100</v>
      </c>
      <c r="T13" s="664" t="s">
        <v>14</v>
      </c>
      <c r="U13" s="665">
        <f t="shared" si="1"/>
        <v>100</v>
      </c>
      <c r="V13" s="664" t="s">
        <v>14</v>
      </c>
      <c r="W13" s="665">
        <f t="shared" si="2"/>
        <v>100</v>
      </c>
      <c r="X13" s="666"/>
      <c r="Y13" s="3242"/>
      <c r="Z13" s="50">
        <f t="shared" si="7"/>
        <v>111</v>
      </c>
      <c r="AA13" s="50">
        <f t="shared" si="3"/>
        <v>1</v>
      </c>
      <c r="AB13" s="50">
        <f t="shared" si="4"/>
        <v>1</v>
      </c>
      <c r="AC13" s="50">
        <f t="shared" si="5"/>
        <v>1</v>
      </c>
    </row>
    <row r="14" spans="1:29" ht="15">
      <c r="A14" s="379" t="s">
        <v>1689</v>
      </c>
      <c r="B14" s="58" t="s">
        <v>1832</v>
      </c>
      <c r="C14" s="1819">
        <f>IF(B1="工业",估价对象房地状况!G4,估价对象房地状况!C6)</f>
        <v>0</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358" t="s">
        <v>1690</v>
      </c>
      <c r="Q14" s="1263" t="str">
        <f t="shared" si="6"/>
        <v>交通便捷度</v>
      </c>
      <c r="R14" s="667" t="s">
        <v>14</v>
      </c>
      <c r="S14" s="668">
        <f t="shared" si="0"/>
        <v>100</v>
      </c>
      <c r="T14" s="667" t="s">
        <v>14</v>
      </c>
      <c r="U14" s="668">
        <f t="shared" si="1"/>
        <v>100</v>
      </c>
      <c r="V14" s="667" t="s">
        <v>14</v>
      </c>
      <c r="W14" s="668">
        <f t="shared" si="2"/>
        <v>100</v>
      </c>
      <c r="X14" s="1265"/>
      <c r="Y14" s="3358" t="s">
        <v>1690</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359"/>
      <c r="Q15" s="1263"/>
      <c r="R15" s="667"/>
      <c r="S15" s="668"/>
      <c r="T15" s="667"/>
      <c r="U15" s="668"/>
      <c r="V15" s="667"/>
      <c r="W15" s="668"/>
      <c r="X15" s="1265"/>
      <c r="Y15" s="3359"/>
      <c r="Z15" s="1264"/>
      <c r="AA15" s="1264">
        <v>1</v>
      </c>
      <c r="AB15" s="1264">
        <v>1</v>
      </c>
      <c r="AC15" s="1264">
        <v>1</v>
      </c>
    </row>
    <row r="16" spans="1:29" ht="15">
      <c r="A16" s="367"/>
      <c r="B16" s="390" t="s">
        <v>1811</v>
      </c>
      <c r="C16" s="1754">
        <f>IF(B1="工业",估价对象房地状况!G5,估价对象房地状况!C7)</f>
        <v>0</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359"/>
      <c r="Q16" s="1263" t="str">
        <f>B16</f>
        <v>公共配套设施</v>
      </c>
      <c r="R16" s="667" t="s">
        <v>14</v>
      </c>
      <c r="S16" s="668">
        <f>F16</f>
        <v>100</v>
      </c>
      <c r="T16" s="667" t="s">
        <v>14</v>
      </c>
      <c r="U16" s="668">
        <f>H16</f>
        <v>100</v>
      </c>
      <c r="V16" s="667" t="s">
        <v>14</v>
      </c>
      <c r="W16" s="668">
        <f>J16</f>
        <v>100</v>
      </c>
      <c r="X16" s="1265"/>
      <c r="Y16" s="3359"/>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359"/>
      <c r="Q17" s="1263"/>
      <c r="R17" s="667"/>
      <c r="S17" s="668"/>
      <c r="T17" s="667"/>
      <c r="U17" s="668"/>
      <c r="V17" s="667"/>
      <c r="W17" s="668"/>
      <c r="X17" s="1265"/>
      <c r="Y17" s="3359"/>
      <c r="Z17" s="1264"/>
      <c r="AA17" s="1264">
        <v>1</v>
      </c>
      <c r="AB17" s="1264">
        <v>1</v>
      </c>
      <c r="AC17" s="1264">
        <v>1</v>
      </c>
    </row>
    <row r="18" spans="1:29" ht="15">
      <c r="A18" s="367"/>
      <c r="B18" s="586" t="s">
        <v>1812</v>
      </c>
      <c r="C18" s="1754">
        <f>IF(B1="工业",估价对象房地状况!G6,估价对象房地状况!C8)</f>
        <v>0</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359"/>
      <c r="Q18" s="1263" t="str">
        <f>B18</f>
        <v>基础设施水平</v>
      </c>
      <c r="R18" s="667" t="s">
        <v>14</v>
      </c>
      <c r="S18" s="668">
        <f>F18</f>
        <v>100</v>
      </c>
      <c r="T18" s="667" t="s">
        <v>14</v>
      </c>
      <c r="U18" s="668">
        <f>H18</f>
        <v>100</v>
      </c>
      <c r="V18" s="667" t="s">
        <v>14</v>
      </c>
      <c r="W18" s="668">
        <f>J18</f>
        <v>100</v>
      </c>
      <c r="X18" s="1265"/>
      <c r="Y18" s="3359"/>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359"/>
      <c r="Q19" s="1263"/>
      <c r="R19" s="667"/>
      <c r="S19" s="668"/>
      <c r="T19" s="667"/>
      <c r="U19" s="668"/>
      <c r="V19" s="667"/>
      <c r="W19" s="668"/>
      <c r="X19" s="1265"/>
      <c r="Y19" s="3359"/>
      <c r="Z19" s="1264"/>
      <c r="AA19" s="1264">
        <v>1</v>
      </c>
      <c r="AB19" s="1264">
        <v>1</v>
      </c>
      <c r="AC19" s="1264">
        <v>1</v>
      </c>
    </row>
    <row r="20" spans="1:29" ht="15">
      <c r="A20" s="367"/>
      <c r="B20" s="390" t="s">
        <v>1833</v>
      </c>
      <c r="C20" s="1754">
        <f>IF(B1="工业",估价对象房地状况!G7,估价对象房地状况!C9)</f>
        <v>0</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359"/>
      <c r="Q20" s="1263" t="str">
        <f>B20</f>
        <v>自然及人文环境</v>
      </c>
      <c r="R20" s="667" t="s">
        <v>14</v>
      </c>
      <c r="S20" s="668">
        <f>F20</f>
        <v>100</v>
      </c>
      <c r="T20" s="667" t="s">
        <v>14</v>
      </c>
      <c r="U20" s="668">
        <f>H20</f>
        <v>100</v>
      </c>
      <c r="V20" s="667" t="s">
        <v>14</v>
      </c>
      <c r="W20" s="668">
        <f>J20</f>
        <v>100</v>
      </c>
      <c r="X20" s="1265"/>
      <c r="Y20" s="3359"/>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359"/>
      <c r="Q21" s="1263"/>
      <c r="R21" s="667"/>
      <c r="S21" s="668"/>
      <c r="T21" s="667"/>
      <c r="U21" s="668"/>
      <c r="V21" s="667"/>
      <c r="W21" s="668"/>
      <c r="X21" s="1265"/>
      <c r="Y21" s="3359"/>
      <c r="Z21" s="1264"/>
      <c r="AA21" s="1264">
        <v>1</v>
      </c>
      <c r="AB21" s="1264">
        <v>1</v>
      </c>
      <c r="AC21" s="1264">
        <v>1</v>
      </c>
    </row>
    <row r="22" spans="1:29" ht="15">
      <c r="A22" s="367"/>
      <c r="B22" s="390" t="s">
        <v>1834</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359"/>
      <c r="Q22" s="1263" t="str">
        <f>B22</f>
        <v>楼层</v>
      </c>
      <c r="R22" s="667" t="s">
        <v>14</v>
      </c>
      <c r="S22" s="668">
        <f>F22</f>
        <v>100</v>
      </c>
      <c r="T22" s="667" t="s">
        <v>14</v>
      </c>
      <c r="U22" s="668">
        <f>H22</f>
        <v>100</v>
      </c>
      <c r="V22" s="667" t="s">
        <v>14</v>
      </c>
      <c r="W22" s="668">
        <f>J22</f>
        <v>100</v>
      </c>
      <c r="X22" s="1265"/>
      <c r="Y22" s="3359"/>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359"/>
      <c r="Q23" s="1263">
        <f>B23</f>
        <v>111</v>
      </c>
      <c r="R23" s="667" t="s">
        <v>14</v>
      </c>
      <c r="S23" s="668">
        <f>F23</f>
        <v>100</v>
      </c>
      <c r="T23" s="667" t="s">
        <v>14</v>
      </c>
      <c r="U23" s="668">
        <f>H23</f>
        <v>100</v>
      </c>
      <c r="V23" s="667" t="s">
        <v>14</v>
      </c>
      <c r="W23" s="668">
        <f>J23</f>
        <v>100</v>
      </c>
      <c r="X23" s="1265"/>
      <c r="Y23" s="3359"/>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359"/>
      <c r="Q24" s="1263">
        <f t="shared" ref="Q24:Q34" si="11">B24</f>
        <v>111</v>
      </c>
      <c r="R24" s="667" t="s">
        <v>14</v>
      </c>
      <c r="S24" s="668">
        <f>F24</f>
        <v>100</v>
      </c>
      <c r="T24" s="667" t="s">
        <v>14</v>
      </c>
      <c r="U24" s="668">
        <f>H24</f>
        <v>100</v>
      </c>
      <c r="V24" s="667" t="s">
        <v>14</v>
      </c>
      <c r="W24" s="668">
        <f>J24</f>
        <v>100</v>
      </c>
      <c r="X24" s="1265"/>
      <c r="Y24" s="3359"/>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359"/>
      <c r="Q25" s="530">
        <f t="shared" si="11"/>
        <v>111</v>
      </c>
      <c r="R25" s="664" t="s">
        <v>14</v>
      </c>
      <c r="S25" s="665">
        <f>F25</f>
        <v>100</v>
      </c>
      <c r="T25" s="664" t="s">
        <v>14</v>
      </c>
      <c r="U25" s="665">
        <f>H25</f>
        <v>100</v>
      </c>
      <c r="V25" s="664" t="s">
        <v>14</v>
      </c>
      <c r="W25" s="665">
        <f>J25</f>
        <v>100</v>
      </c>
      <c r="X25" s="666"/>
      <c r="Y25" s="3359"/>
      <c r="Z25" s="50">
        <f>Q25</f>
        <v>111</v>
      </c>
      <c r="AA25" s="1264">
        <f>D25/F25</f>
        <v>1</v>
      </c>
      <c r="AB25" s="1264">
        <f>D25/H25</f>
        <v>1</v>
      </c>
      <c r="AC25" s="1264">
        <f>D25/J25</f>
        <v>1</v>
      </c>
    </row>
    <row r="26" spans="1:29" ht="28.5">
      <c r="A26" s="404" t="s">
        <v>1693</v>
      </c>
      <c r="B26" s="60" t="s">
        <v>1837</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375" t="s">
        <v>1695</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60" t="s">
        <v>1695</v>
      </c>
      <c r="Z26" s="1264" t="str">
        <f t="shared" ref="Z26:Z34" si="15">Q26</f>
        <v>公共部分装修</v>
      </c>
      <c r="AA26" s="1264">
        <f t="shared" si="3"/>
        <v>1</v>
      </c>
      <c r="AB26" s="1264">
        <f t="shared" si="4"/>
        <v>1</v>
      </c>
      <c r="AC26" s="1264">
        <f t="shared" si="5"/>
        <v>1</v>
      </c>
    </row>
    <row r="27" spans="1:29" s="408" customFormat="1" ht="15">
      <c r="A27" s="406"/>
      <c r="B27" s="364" t="s">
        <v>1838</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360"/>
      <c r="Q27" s="531" t="str">
        <f t="shared" si="11"/>
        <v>成新率</v>
      </c>
      <c r="R27" s="669" t="s">
        <v>14</v>
      </c>
      <c r="S27" s="670" t="e">
        <f t="shared" si="12"/>
        <v>#N/A</v>
      </c>
      <c r="T27" s="669" t="s">
        <v>14</v>
      </c>
      <c r="U27" s="670" t="e">
        <f t="shared" si="13"/>
        <v>#N/A</v>
      </c>
      <c r="V27" s="669" t="s">
        <v>14</v>
      </c>
      <c r="W27" s="670" t="e">
        <f t="shared" si="14"/>
        <v>#N/A</v>
      </c>
      <c r="X27" s="671"/>
      <c r="Y27" s="3360"/>
      <c r="Z27" s="672" t="str">
        <f t="shared" si="15"/>
        <v>成新率</v>
      </c>
      <c r="AA27" s="1264" t="e">
        <f t="shared" si="3"/>
        <v>#N/A</v>
      </c>
      <c r="AB27" s="1264" t="e">
        <f t="shared" si="4"/>
        <v>#N/A</v>
      </c>
      <c r="AC27" s="1264" t="e">
        <f t="shared" si="5"/>
        <v>#N/A</v>
      </c>
    </row>
    <row r="28" spans="1:29" ht="15">
      <c r="A28" s="409"/>
      <c r="B28" s="364" t="s">
        <v>1839</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360"/>
      <c r="Q28" s="1263" t="str">
        <f t="shared" si="11"/>
        <v>物业等级</v>
      </c>
      <c r="R28" s="667" t="s">
        <v>14</v>
      </c>
      <c r="S28" s="668">
        <f t="shared" si="12"/>
        <v>100</v>
      </c>
      <c r="T28" s="667" t="s">
        <v>14</v>
      </c>
      <c r="U28" s="668">
        <f t="shared" si="13"/>
        <v>100</v>
      </c>
      <c r="V28" s="667" t="s">
        <v>14</v>
      </c>
      <c r="W28" s="668">
        <f t="shared" si="14"/>
        <v>100</v>
      </c>
      <c r="X28" s="1265"/>
      <c r="Y28" s="3360"/>
      <c r="Z28" s="1264" t="str">
        <f t="shared" si="15"/>
        <v>物业等级</v>
      </c>
      <c r="AA28" s="1264">
        <f t="shared" si="3"/>
        <v>1</v>
      </c>
      <c r="AB28" s="1264">
        <f t="shared" si="4"/>
        <v>1</v>
      </c>
      <c r="AC28" s="1264">
        <f t="shared" si="5"/>
        <v>1</v>
      </c>
    </row>
    <row r="29" spans="1:29" ht="15">
      <c r="A29" s="409"/>
      <c r="B29" s="364" t="s">
        <v>1859</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360"/>
      <c r="Q29" s="1263" t="str">
        <f t="shared" si="11"/>
        <v>有无电梯</v>
      </c>
      <c r="R29" s="667" t="s">
        <v>14</v>
      </c>
      <c r="S29" s="668">
        <f t="shared" si="12"/>
        <v>100</v>
      </c>
      <c r="T29" s="667" t="s">
        <v>14</v>
      </c>
      <c r="U29" s="668">
        <f t="shared" si="13"/>
        <v>100</v>
      </c>
      <c r="V29" s="667" t="s">
        <v>14</v>
      </c>
      <c r="W29" s="668">
        <f t="shared" si="14"/>
        <v>100</v>
      </c>
      <c r="X29" s="1265"/>
      <c r="Y29" s="3360"/>
      <c r="Z29" s="1264" t="str">
        <f t="shared" si="15"/>
        <v>有无电梯</v>
      </c>
      <c r="AA29" s="1264">
        <f t="shared" si="3"/>
        <v>1</v>
      </c>
      <c r="AB29" s="1264">
        <f t="shared" si="4"/>
        <v>1</v>
      </c>
      <c r="AC29" s="1264">
        <f t="shared" si="5"/>
        <v>1</v>
      </c>
    </row>
    <row r="30" spans="1:29" ht="15">
      <c r="A30" s="409"/>
      <c r="B30" s="364" t="s">
        <v>1860</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360"/>
      <c r="Q30" s="1263" t="str">
        <f t="shared" si="11"/>
        <v>建筑面积</v>
      </c>
      <c r="R30" s="667" t="s">
        <v>14</v>
      </c>
      <c r="S30" s="668" t="e">
        <f t="shared" si="12"/>
        <v>#N/A</v>
      </c>
      <c r="T30" s="667" t="s">
        <v>14</v>
      </c>
      <c r="U30" s="668" t="e">
        <f t="shared" si="13"/>
        <v>#N/A</v>
      </c>
      <c r="V30" s="667" t="s">
        <v>14</v>
      </c>
      <c r="W30" s="668" t="e">
        <f t="shared" si="14"/>
        <v>#N/A</v>
      </c>
      <c r="X30" s="1265"/>
      <c r="Y30" s="3360"/>
      <c r="Z30" s="1264" t="str">
        <f t="shared" si="15"/>
        <v>建筑面积</v>
      </c>
      <c r="AA30" s="1264" t="e">
        <f t="shared" si="3"/>
        <v>#N/A</v>
      </c>
      <c r="AB30" s="1264" t="e">
        <f t="shared" si="4"/>
        <v>#N/A</v>
      </c>
      <c r="AC30" s="1264" t="e">
        <f t="shared" si="5"/>
        <v>#N/A</v>
      </c>
    </row>
    <row r="31" spans="1:29" s="102" customFormat="1" ht="15">
      <c r="A31" s="410"/>
      <c r="B31" s="364" t="s">
        <v>1861</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360"/>
      <c r="Q31" s="530" t="str">
        <f t="shared" si="11"/>
        <v>是否封闭</v>
      </c>
      <c r="R31" s="664" t="s">
        <v>14</v>
      </c>
      <c r="S31" s="665">
        <f t="shared" si="12"/>
        <v>100</v>
      </c>
      <c r="T31" s="664" t="s">
        <v>14</v>
      </c>
      <c r="U31" s="665">
        <f t="shared" si="13"/>
        <v>100</v>
      </c>
      <c r="V31" s="664" t="s">
        <v>14</v>
      </c>
      <c r="W31" s="665">
        <f t="shared" si="14"/>
        <v>100</v>
      </c>
      <c r="X31" s="666"/>
      <c r="Y31" s="3360"/>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360" t="s">
        <v>1695</v>
      </c>
      <c r="Q32" s="1263">
        <f t="shared" si="11"/>
        <v>111</v>
      </c>
      <c r="R32" s="667" t="s">
        <v>14</v>
      </c>
      <c r="S32" s="668">
        <f t="shared" si="12"/>
        <v>100</v>
      </c>
      <c r="T32" s="667" t="s">
        <v>14</v>
      </c>
      <c r="U32" s="668">
        <f t="shared" si="13"/>
        <v>100</v>
      </c>
      <c r="V32" s="667" t="s">
        <v>14</v>
      </c>
      <c r="W32" s="668">
        <f t="shared" si="14"/>
        <v>100</v>
      </c>
      <c r="X32" s="1265"/>
      <c r="Y32" s="3360" t="s">
        <v>1695</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360"/>
      <c r="Q33" s="1263">
        <f t="shared" si="11"/>
        <v>111</v>
      </c>
      <c r="R33" s="667" t="s">
        <v>14</v>
      </c>
      <c r="S33" s="668">
        <f t="shared" si="12"/>
        <v>100</v>
      </c>
      <c r="T33" s="667" t="s">
        <v>14</v>
      </c>
      <c r="U33" s="668">
        <f t="shared" si="13"/>
        <v>100</v>
      </c>
      <c r="V33" s="667" t="s">
        <v>14</v>
      </c>
      <c r="W33" s="668">
        <f t="shared" si="14"/>
        <v>100</v>
      </c>
      <c r="X33" s="1265"/>
      <c r="Y33" s="3360"/>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360"/>
      <c r="Q34" s="1263">
        <f t="shared" si="11"/>
        <v>111</v>
      </c>
      <c r="R34" s="667" t="s">
        <v>14</v>
      </c>
      <c r="S34" s="668">
        <f t="shared" si="12"/>
        <v>100</v>
      </c>
      <c r="T34" s="667" t="s">
        <v>14</v>
      </c>
      <c r="U34" s="668">
        <f t="shared" si="13"/>
        <v>100</v>
      </c>
      <c r="V34" s="667" t="s">
        <v>14</v>
      </c>
      <c r="W34" s="668">
        <f t="shared" si="14"/>
        <v>100</v>
      </c>
      <c r="X34" s="1265"/>
      <c r="Y34" s="3360"/>
      <c r="Z34" s="1264">
        <f t="shared" si="15"/>
        <v>111</v>
      </c>
      <c r="AA34" s="1264">
        <f t="shared" si="3"/>
        <v>1</v>
      </c>
      <c r="AB34" s="1264">
        <f t="shared" si="4"/>
        <v>1</v>
      </c>
      <c r="AC34" s="1264">
        <f t="shared" si="5"/>
        <v>1</v>
      </c>
    </row>
    <row r="35" spans="1:30" ht="15">
      <c r="A35" s="416" t="s">
        <v>1707</v>
      </c>
      <c r="B35" s="417"/>
      <c r="C35" s="1081" t="s">
        <v>0</v>
      </c>
      <c r="D35" s="418"/>
      <c r="E35" s="419"/>
      <c r="F35" s="420"/>
      <c r="G35" s="421"/>
      <c r="H35" s="422"/>
      <c r="I35" s="419"/>
      <c r="J35" s="422"/>
      <c r="K35" s="674"/>
      <c r="L35" s="2495"/>
      <c r="M35" s="2488"/>
      <c r="N35" s="2488"/>
      <c r="O35" s="2488"/>
      <c r="P35" s="3341" t="str">
        <f>A35</f>
        <v>成交单价（元/平方米）</v>
      </c>
      <c r="Q35" s="3341"/>
      <c r="R35" s="3357">
        <f>E35</f>
        <v>0</v>
      </c>
      <c r="S35" s="3357"/>
      <c r="T35" s="3357">
        <f>G35</f>
        <v>0</v>
      </c>
      <c r="U35" s="3357"/>
      <c r="V35" s="3357">
        <f>I35</f>
        <v>0</v>
      </c>
      <c r="W35" s="3357"/>
      <c r="X35" s="385"/>
      <c r="Y35" s="673"/>
      <c r="Z35" s="385"/>
      <c r="AA35" s="385"/>
      <c r="AB35" s="385"/>
      <c r="AC35" s="385"/>
    </row>
    <row r="36" spans="1:30" ht="15.75" thickBot="1">
      <c r="A36" s="423" t="s">
        <v>1792</v>
      </c>
      <c r="B36" s="424"/>
      <c r="C36" s="1082" t="e">
        <f>R37</f>
        <v>#DIV/0!</v>
      </c>
      <c r="D36" s="2141" t="s">
        <v>2136</v>
      </c>
      <c r="E36" s="1083" t="e">
        <f>R36</f>
        <v>#DIV/0!</v>
      </c>
      <c r="F36" s="2142"/>
      <c r="G36" s="1082" t="e">
        <f>T36</f>
        <v>#DIV/0!</v>
      </c>
      <c r="H36" s="2142"/>
      <c r="I36" s="1083" t="e">
        <f>V36</f>
        <v>#DIV/0!</v>
      </c>
      <c r="J36" s="2142"/>
      <c r="K36" s="2144">
        <f>F36+H36+J36</f>
        <v>0</v>
      </c>
      <c r="L36" s="2495"/>
      <c r="M36" s="2488"/>
      <c r="N36" s="2488"/>
      <c r="O36" s="2488"/>
      <c r="P36" s="3341" t="str">
        <f>A36</f>
        <v>比较价值（元/平方米）</v>
      </c>
      <c r="Q36" s="3341"/>
      <c r="R36" s="3357" t="e">
        <f>IF(F1="售价",ROUND(PRODUCT(R35,AA7:AA34),0),ROUND(PRODUCT(R35,AA7:AA34),1))</f>
        <v>#DIV/0!</v>
      </c>
      <c r="S36" s="3357"/>
      <c r="T36" s="3357" t="e">
        <f>IF(F1="售价",ROUND(PRODUCT(T35,AB7:AB34),0),ROUND(PRODUCT(T35,AB7:AB34),1))</f>
        <v>#DIV/0!</v>
      </c>
      <c r="U36" s="3357"/>
      <c r="V36" s="3357" t="e">
        <f>IF(F1="售价",ROUND(PRODUCT(V35,AC7:AC34),0),ROUND(PRODUCT(V35,AC7:AC34),1))</f>
        <v>#DIV/0!</v>
      </c>
      <c r="W36" s="3357"/>
      <c r="X36" s="385"/>
      <c r="Y36" s="385"/>
      <c r="Z36" s="385"/>
      <c r="AA36" s="385"/>
      <c r="AB36" s="385"/>
      <c r="AC36" s="385"/>
    </row>
    <row r="37" spans="1:30" ht="15.75" thickBot="1">
      <c r="A37" s="427" t="s">
        <v>1793</v>
      </c>
      <c r="B37" s="428"/>
      <c r="C37" s="351" t="e">
        <f>R37</f>
        <v>#DIV/0!</v>
      </c>
      <c r="D37" s="351"/>
      <c r="E37" s="351"/>
      <c r="F37" s="351"/>
      <c r="G37" s="351"/>
      <c r="H37" s="351"/>
      <c r="I37" s="351"/>
      <c r="J37" s="351"/>
      <c r="K37" s="675"/>
      <c r="L37" s="2495"/>
      <c r="M37" s="2488"/>
      <c r="N37" s="2488"/>
      <c r="O37" s="2488"/>
      <c r="P37" s="3376" t="str">
        <f>A37</f>
        <v>估价对象XX用房的比较价值（楼面单价，元/平方米）</v>
      </c>
      <c r="Q37" s="3377"/>
      <c r="R37" s="3455" t="e">
        <f>IF(F1="售价",ROUND(IF(D36="简单平均",AVERAGE(R36:W36),R36*F36+T36*H36+V36*J36),0),ROUND(IF(D36="简单平均",AVERAGE(R36:V36),R36*F36+T36*H36+V36*J36),1))</f>
        <v>#DIV/0!</v>
      </c>
      <c r="S37" s="3455"/>
      <c r="T37" s="3455"/>
      <c r="U37" s="3455"/>
      <c r="V37" s="3455"/>
      <c r="W37" s="3455"/>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1794</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1795</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1796</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1797</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1678</v>
      </c>
      <c r="B46" s="441"/>
      <c r="C46" s="1103" t="str">
        <f>YEAR(C7)&amp;"-"&amp;MONTH(C7)</f>
        <v>2024-12</v>
      </c>
      <c r="D46" s="1104">
        <f>EDATE(C46,-1)</f>
        <v>45597</v>
      </c>
      <c r="E46" s="1104">
        <f t="shared" ref="E46:O46" si="16">EDATE(D46,-1)</f>
        <v>45566</v>
      </c>
      <c r="F46" s="1104">
        <f t="shared" si="16"/>
        <v>45536</v>
      </c>
      <c r="G46" s="1104">
        <f t="shared" si="16"/>
        <v>45505</v>
      </c>
      <c r="H46" s="1104">
        <f t="shared" si="16"/>
        <v>45474</v>
      </c>
      <c r="I46" s="1104">
        <f t="shared" si="16"/>
        <v>45444</v>
      </c>
      <c r="J46" s="1104">
        <f t="shared" si="16"/>
        <v>45413</v>
      </c>
      <c r="K46" s="1104">
        <f t="shared" si="16"/>
        <v>45383</v>
      </c>
      <c r="L46" s="1104">
        <f t="shared" si="16"/>
        <v>45352</v>
      </c>
      <c r="M46" s="1104">
        <f t="shared" si="16"/>
        <v>45323</v>
      </c>
      <c r="N46" s="1104">
        <f t="shared" si="16"/>
        <v>45292</v>
      </c>
      <c r="O46" s="1104">
        <f t="shared" si="16"/>
        <v>45261</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1715</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1680</v>
      </c>
      <c r="B49" s="444"/>
      <c r="C49" s="456" t="s">
        <v>1775</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1718</v>
      </c>
      <c r="B51" s="460" t="s">
        <v>1684</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1687</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1689</v>
      </c>
      <c r="B61" s="460" t="s">
        <v>1725</v>
      </c>
      <c r="C61" s="504" t="s">
        <v>1720</v>
      </c>
      <c r="D61" s="504" t="s">
        <v>1721</v>
      </c>
      <c r="E61" s="504" t="s">
        <v>1722</v>
      </c>
      <c r="F61" s="504" t="s">
        <v>1723</v>
      </c>
      <c r="G61" s="504" t="s">
        <v>1724</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1862</v>
      </c>
      <c r="C63" s="509" t="s">
        <v>1720</v>
      </c>
      <c r="D63" s="509" t="s">
        <v>1721</v>
      </c>
      <c r="E63" s="509" t="s">
        <v>1722</v>
      </c>
      <c r="F63" s="509" t="s">
        <v>1723</v>
      </c>
      <c r="G63" s="509" t="s">
        <v>1724</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1812</v>
      </c>
      <c r="C65" s="581" t="s">
        <v>1798</v>
      </c>
      <c r="D65" s="581" t="s">
        <v>1799</v>
      </c>
      <c r="E65" s="581" t="s">
        <v>1800</v>
      </c>
      <c r="F65" s="581" t="s">
        <v>1801</v>
      </c>
      <c r="G65" s="581" t="s">
        <v>1802</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1732</v>
      </c>
      <c r="C67" s="509" t="s">
        <v>1720</v>
      </c>
      <c r="D67" s="509" t="s">
        <v>1721</v>
      </c>
      <c r="E67" s="509" t="s">
        <v>1722</v>
      </c>
      <c r="F67" s="509" t="s">
        <v>1723</v>
      </c>
      <c r="G67" s="509" t="s">
        <v>1724</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1851</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1693</v>
      </c>
      <c r="B77" s="460" t="s">
        <v>1739</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1854</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1855</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1863</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1864</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1865</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28" priority="13" stopIfTrue="1">
      <formula>$F$40="超过30%"</formula>
    </cfRule>
  </conditionalFormatting>
  <conditionalFormatting sqref="E41">
    <cfRule type="expression" dxfId="27" priority="11" stopIfTrue="1">
      <formula>$F$41="超过20%"</formula>
    </cfRule>
  </conditionalFormatting>
  <conditionalFormatting sqref="E42">
    <cfRule type="expression" dxfId="26" priority="10" stopIfTrue="1">
      <formula>$F$42="超过30%"</formula>
    </cfRule>
  </conditionalFormatting>
  <conditionalFormatting sqref="F7:F34 H7:H34 J7:J34">
    <cfRule type="cellIs" dxfId="25" priority="1" operator="notEqual">
      <formula>100</formula>
    </cfRule>
  </conditionalFormatting>
  <conditionalFormatting sqref="F36">
    <cfRule type="expression" dxfId="24" priority="4">
      <formula>$D$36="简单平均"</formula>
    </cfRule>
  </conditionalFormatting>
  <conditionalFormatting sqref="F40:F42 H40:H42 J40:J42">
    <cfRule type="containsText" dxfId="23" priority="14" stopIfTrue="1" operator="containsText" text="超过">
      <formula>NOT(ISERROR(SEARCH("超过",F40)))</formula>
    </cfRule>
  </conditionalFormatting>
  <conditionalFormatting sqref="G40">
    <cfRule type="expression" dxfId="22" priority="9" stopIfTrue="1">
      <formula>$H$52+$H$40="超过30%"</formula>
    </cfRule>
  </conditionalFormatting>
  <conditionalFormatting sqref="G41">
    <cfRule type="expression" dxfId="21" priority="8" stopIfTrue="1">
      <formula>$H$53+$H$41="超过20%"</formula>
    </cfRule>
  </conditionalFormatting>
  <conditionalFormatting sqref="G42">
    <cfRule type="expression" dxfId="20" priority="12" stopIfTrue="1">
      <formula>$H$54+$H$42="超过30%"</formula>
    </cfRule>
  </conditionalFormatting>
  <conditionalFormatting sqref="H36">
    <cfRule type="expression" dxfId="19" priority="3">
      <formula>$D$36="简单平均"</formula>
    </cfRule>
  </conditionalFormatting>
  <conditionalFormatting sqref="I40">
    <cfRule type="expression" dxfId="18" priority="7" stopIfTrue="1">
      <formula>$J$40="超过30%"</formula>
    </cfRule>
  </conditionalFormatting>
  <conditionalFormatting sqref="I41">
    <cfRule type="expression" dxfId="17" priority="6" stopIfTrue="1">
      <formula>$J$41="超过20%"</formula>
    </cfRule>
  </conditionalFormatting>
  <conditionalFormatting sqref="I42">
    <cfRule type="expression" dxfId="16" priority="5" stopIfTrue="1">
      <formula>$J$42="超过30%"</formula>
    </cfRule>
  </conditionalFormatting>
  <conditionalFormatting sqref="J36">
    <cfRule type="expression" dxfId="1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J47" sqref="J47:J49"/>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1866</v>
      </c>
      <c r="B1" s="340"/>
      <c r="C1" s="341" t="s">
        <v>1867</v>
      </c>
      <c r="D1" s="651"/>
      <c r="E1" s="651"/>
      <c r="F1" s="650" t="s">
        <v>1766</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1461</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1463</v>
      </c>
      <c r="B3" s="536" t="e">
        <f>ROUND(IF(D3="",B2*10000/'数据-汇总表'!E3,B2*10000/D3),0)</f>
        <v>#DIV/0!</v>
      </c>
      <c r="C3" s="195" t="s">
        <v>1868</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1768</v>
      </c>
      <c r="B4" s="346"/>
      <c r="C4" s="3338" t="s">
        <v>1769</v>
      </c>
      <c r="D4" s="3364"/>
      <c r="E4" s="3365" t="s">
        <v>1770</v>
      </c>
      <c r="F4" s="3366"/>
      <c r="G4" s="3338" t="s">
        <v>1771</v>
      </c>
      <c r="H4" s="3364"/>
      <c r="I4" s="3338" t="s">
        <v>1772</v>
      </c>
      <c r="J4" s="3364"/>
      <c r="K4" s="537" t="s">
        <v>1773</v>
      </c>
      <c r="L4" s="2487"/>
      <c r="M4" s="2488"/>
      <c r="N4" s="2488"/>
      <c r="O4" s="2488"/>
      <c r="P4" s="3367" t="s">
        <v>1774</v>
      </c>
      <c r="Q4" s="3368"/>
      <c r="R4" s="3344" t="s">
        <v>1770</v>
      </c>
      <c r="S4" s="3345"/>
      <c r="T4" s="3344" t="s">
        <v>1771</v>
      </c>
      <c r="U4" s="3345"/>
      <c r="V4" s="3357" t="s">
        <v>1772</v>
      </c>
      <c r="W4" s="3357"/>
      <c r="X4" s="1265"/>
      <c r="Y4" s="3344" t="s">
        <v>1774</v>
      </c>
      <c r="Z4" s="3345"/>
      <c r="AA4" s="3361" t="s">
        <v>1770</v>
      </c>
      <c r="AB4" s="3362" t="s">
        <v>1771</v>
      </c>
      <c r="AC4" s="3361" t="s">
        <v>1772</v>
      </c>
    </row>
    <row r="5" spans="1:29" ht="15">
      <c r="A5" s="348"/>
      <c r="B5" s="349"/>
      <c r="C5" s="3348" t="s">
        <v>1672</v>
      </c>
      <c r="D5" s="3349"/>
      <c r="E5" s="3373" t="s">
        <v>1673</v>
      </c>
      <c r="F5" s="3374"/>
      <c r="G5" s="3348" t="s">
        <v>1674</v>
      </c>
      <c r="H5" s="3349"/>
      <c r="I5" s="3348" t="s">
        <v>1675</v>
      </c>
      <c r="J5" s="3349"/>
      <c r="K5" s="537"/>
      <c r="L5" s="2487"/>
      <c r="M5" s="2488"/>
      <c r="N5" s="2488"/>
      <c r="O5" s="2488"/>
      <c r="P5" s="3369"/>
      <c r="Q5" s="3370"/>
      <c r="R5" s="3346"/>
      <c r="S5" s="3347"/>
      <c r="T5" s="3346"/>
      <c r="U5" s="3347"/>
      <c r="V5" s="3357"/>
      <c r="W5" s="3357"/>
      <c r="X5" s="1265"/>
      <c r="Y5" s="3346"/>
      <c r="Z5" s="3347"/>
      <c r="AA5" s="3362"/>
      <c r="AB5" s="3362"/>
      <c r="AC5" s="3362"/>
    </row>
    <row r="6" spans="1:29" ht="15.75" thickBot="1">
      <c r="A6" s="350"/>
      <c r="B6" s="351"/>
      <c r="C6" s="3436" t="s">
        <v>1676</v>
      </c>
      <c r="D6" s="3437"/>
      <c r="E6" s="3438" t="s">
        <v>1676</v>
      </c>
      <c r="F6" s="3439"/>
      <c r="G6" s="3436" t="s">
        <v>1676</v>
      </c>
      <c r="H6" s="3437"/>
      <c r="I6" s="3436" t="s">
        <v>1676</v>
      </c>
      <c r="J6" s="3437"/>
      <c r="K6" s="537" t="s">
        <v>1677</v>
      </c>
      <c r="L6" s="2487"/>
      <c r="M6" s="2488"/>
      <c r="N6" s="2488"/>
      <c r="O6" s="2488"/>
      <c r="P6" s="3371"/>
      <c r="Q6" s="3372"/>
      <c r="R6" s="3346"/>
      <c r="S6" s="3347"/>
      <c r="T6" s="3355"/>
      <c r="U6" s="3356"/>
      <c r="V6" s="3357"/>
      <c r="W6" s="3357"/>
      <c r="X6" s="1265"/>
      <c r="Y6" s="3355"/>
      <c r="Z6" s="3356"/>
      <c r="AA6" s="3363"/>
      <c r="AB6" s="3363"/>
      <c r="AC6" s="3363"/>
    </row>
    <row r="7" spans="1:29" s="102" customFormat="1" ht="15.75" thickBot="1">
      <c r="A7" s="352" t="s">
        <v>1678</v>
      </c>
      <c r="B7" s="353"/>
      <c r="C7" s="354">
        <f>'数据-取费表'!B2</f>
        <v>45632</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342" t="s">
        <v>1679</v>
      </c>
      <c r="Q7" s="3352"/>
      <c r="R7" s="664" t="s">
        <v>14</v>
      </c>
      <c r="S7" s="665">
        <f t="shared" ref="S7:S15" si="0">F7</f>
        <v>0</v>
      </c>
      <c r="T7" s="664" t="s">
        <v>14</v>
      </c>
      <c r="U7" s="665">
        <f t="shared" ref="U7:U15" si="1">H7</f>
        <v>0</v>
      </c>
      <c r="V7" s="664" t="s">
        <v>14</v>
      </c>
      <c r="W7" s="665">
        <f t="shared" ref="W7:W15" si="2">J7</f>
        <v>0</v>
      </c>
      <c r="X7" s="666"/>
      <c r="Y7" s="3342" t="s">
        <v>1679</v>
      </c>
      <c r="Z7" s="3343"/>
      <c r="AA7" s="50" t="e">
        <f>D7/F7</f>
        <v>#DIV/0!</v>
      </c>
      <c r="AB7" s="50" t="e">
        <f>D7/H7</f>
        <v>#DIV/0!</v>
      </c>
      <c r="AC7" s="50" t="e">
        <f>D7/J7</f>
        <v>#DIV/0!</v>
      </c>
    </row>
    <row r="8" spans="1:29" s="102" customFormat="1" ht="15.75" thickBot="1">
      <c r="A8" s="352" t="s">
        <v>1680</v>
      </c>
      <c r="B8" s="353"/>
      <c r="C8" s="358" t="s">
        <v>1681</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342" t="s">
        <v>1682</v>
      </c>
      <c r="Q8" s="3343"/>
      <c r="R8" s="664" t="s">
        <v>14</v>
      </c>
      <c r="S8" s="665">
        <f t="shared" si="0"/>
        <v>0</v>
      </c>
      <c r="T8" s="664" t="s">
        <v>14</v>
      </c>
      <c r="U8" s="665">
        <f t="shared" si="1"/>
        <v>0</v>
      </c>
      <c r="V8" s="664" t="s">
        <v>14</v>
      </c>
      <c r="W8" s="665">
        <f t="shared" si="2"/>
        <v>0</v>
      </c>
      <c r="X8" s="666"/>
      <c r="Y8" s="3342" t="s">
        <v>1682</v>
      </c>
      <c r="Z8" s="3343"/>
      <c r="AA8" s="50" t="e">
        <f t="shared" ref="AA8:AA45" si="3">D8/F8</f>
        <v>#DIV/0!</v>
      </c>
      <c r="AB8" s="50" t="e">
        <f t="shared" ref="AB8:AB45" si="4">D8/H8</f>
        <v>#DIV/0!</v>
      </c>
      <c r="AC8" s="50" t="e">
        <f t="shared" ref="AC8:AC45" si="5">D8/J8</f>
        <v>#DIV/0!</v>
      </c>
    </row>
    <row r="9" spans="1:29" s="102" customFormat="1">
      <c r="A9" s="359" t="s">
        <v>1683</v>
      </c>
      <c r="B9" s="60" t="s">
        <v>1684</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341" t="s">
        <v>1685</v>
      </c>
      <c r="Q9" s="530" t="str">
        <f t="shared" ref="Q9:Q15" si="6">B9</f>
        <v>用途</v>
      </c>
      <c r="R9" s="664" t="s">
        <v>14</v>
      </c>
      <c r="S9" s="665">
        <f t="shared" si="0"/>
        <v>100</v>
      </c>
      <c r="T9" s="664" t="s">
        <v>14</v>
      </c>
      <c r="U9" s="665">
        <f t="shared" si="1"/>
        <v>100</v>
      </c>
      <c r="V9" s="664" t="s">
        <v>14</v>
      </c>
      <c r="W9" s="665">
        <f t="shared" si="2"/>
        <v>100</v>
      </c>
      <c r="X9" s="666"/>
      <c r="Y9" s="3242" t="s">
        <v>1686</v>
      </c>
      <c r="Z9" s="50" t="str">
        <f t="shared" ref="Z9:Z15" si="7">Q9</f>
        <v>用途</v>
      </c>
      <c r="AA9" s="50">
        <f t="shared" si="3"/>
        <v>1</v>
      </c>
      <c r="AB9" s="50">
        <f t="shared" si="4"/>
        <v>1</v>
      </c>
      <c r="AC9" s="50">
        <f t="shared" si="5"/>
        <v>1</v>
      </c>
    </row>
    <row r="10" spans="1:29" s="366" customFormat="1" ht="27">
      <c r="A10" s="363"/>
      <c r="B10" s="364" t="s">
        <v>1687</v>
      </c>
      <c r="C10" s="371"/>
      <c r="D10" s="119">
        <v>100</v>
      </c>
      <c r="E10" s="403"/>
      <c r="F10" s="119">
        <f>ROUND(100/'数据-取费表'!G16,0)</f>
        <v>118</v>
      </c>
      <c r="G10" s="402"/>
      <c r="H10" s="119">
        <f>ROUND(100/'数据-取费表'!G16,0)</f>
        <v>118</v>
      </c>
      <c r="I10" s="402"/>
      <c r="J10" s="119">
        <f>ROUND(100/'数据-取费表'!G16,0)</f>
        <v>118</v>
      </c>
      <c r="K10" s="592"/>
      <c r="L10" s="2490"/>
      <c r="M10" s="2491"/>
      <c r="N10" s="2491"/>
      <c r="O10" s="2542"/>
      <c r="P10" s="3341"/>
      <c r="Q10" s="530" t="str">
        <f t="shared" si="6"/>
        <v>土地使用年限（年）</v>
      </c>
      <c r="R10" s="664" t="s">
        <v>14</v>
      </c>
      <c r="S10" s="665">
        <f t="shared" si="0"/>
        <v>118</v>
      </c>
      <c r="T10" s="664" t="s">
        <v>14</v>
      </c>
      <c r="U10" s="665">
        <f t="shared" si="1"/>
        <v>118</v>
      </c>
      <c r="V10" s="664" t="s">
        <v>14</v>
      </c>
      <c r="W10" s="665">
        <f t="shared" si="2"/>
        <v>118</v>
      </c>
      <c r="X10" s="666"/>
      <c r="Y10" s="3242"/>
      <c r="Z10" s="50" t="str">
        <f t="shared" si="7"/>
        <v>土地使用年限（年）</v>
      </c>
      <c r="AA10" s="50">
        <f t="shared" si="3"/>
        <v>0.84745762711864403</v>
      </c>
      <c r="AB10" s="50">
        <f t="shared" si="4"/>
        <v>0.84745762711864403</v>
      </c>
      <c r="AC10" s="50">
        <f t="shared" si="5"/>
        <v>0.84745762711864403</v>
      </c>
    </row>
    <row r="11" spans="1:29" ht="15">
      <c r="A11" s="367"/>
      <c r="B11" s="364" t="s">
        <v>1688</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341"/>
      <c r="Q11" s="530" t="str">
        <f t="shared" si="6"/>
        <v>容积率</v>
      </c>
      <c r="R11" s="664" t="s">
        <v>14</v>
      </c>
      <c r="S11" s="665" t="e">
        <f t="shared" si="0"/>
        <v>#N/A</v>
      </c>
      <c r="T11" s="664" t="s">
        <v>14</v>
      </c>
      <c r="U11" s="665" t="e">
        <f t="shared" si="1"/>
        <v>#N/A</v>
      </c>
      <c r="V11" s="664" t="s">
        <v>14</v>
      </c>
      <c r="W11" s="665" t="e">
        <f t="shared" si="2"/>
        <v>#N/A</v>
      </c>
      <c r="X11" s="666"/>
      <c r="Y11" s="3242"/>
      <c r="Z11" s="50" t="str">
        <f t="shared" si="7"/>
        <v>容积率</v>
      </c>
      <c r="AA11" s="50" t="e">
        <f t="shared" si="3"/>
        <v>#N/A</v>
      </c>
      <c r="AB11" s="50" t="e">
        <f t="shared" si="4"/>
        <v>#N/A</v>
      </c>
      <c r="AC11" s="50" t="e">
        <f t="shared" si="5"/>
        <v>#N/A</v>
      </c>
    </row>
    <row r="12" spans="1:29" s="102" customFormat="1" ht="15">
      <c r="A12" s="370"/>
      <c r="B12" s="447" t="s">
        <v>1869</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341"/>
      <c r="Q12" s="530" t="str">
        <f t="shared" si="6"/>
        <v>配建</v>
      </c>
      <c r="R12" s="664" t="s">
        <v>14</v>
      </c>
      <c r="S12" s="665">
        <f t="shared" si="0"/>
        <v>100</v>
      </c>
      <c r="T12" s="664" t="s">
        <v>14</v>
      </c>
      <c r="U12" s="665">
        <f t="shared" si="1"/>
        <v>100</v>
      </c>
      <c r="V12" s="664" t="s">
        <v>14</v>
      </c>
      <c r="W12" s="665">
        <f t="shared" si="2"/>
        <v>100</v>
      </c>
      <c r="X12" s="666"/>
      <c r="Y12" s="3242"/>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341"/>
      <c r="Q13" s="530">
        <f t="shared" si="6"/>
        <v>111</v>
      </c>
      <c r="R13" s="664" t="s">
        <v>14</v>
      </c>
      <c r="S13" s="665">
        <f t="shared" si="0"/>
        <v>100</v>
      </c>
      <c r="T13" s="664" t="s">
        <v>14</v>
      </c>
      <c r="U13" s="665">
        <f t="shared" si="1"/>
        <v>100</v>
      </c>
      <c r="V13" s="664" t="s">
        <v>14</v>
      </c>
      <c r="W13" s="665">
        <f t="shared" si="2"/>
        <v>100</v>
      </c>
      <c r="X13" s="666"/>
      <c r="Y13" s="3242"/>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341"/>
      <c r="Q14" s="530">
        <f t="shared" si="6"/>
        <v>111</v>
      </c>
      <c r="R14" s="664" t="s">
        <v>14</v>
      </c>
      <c r="S14" s="665">
        <f t="shared" si="0"/>
        <v>100</v>
      </c>
      <c r="T14" s="664" t="s">
        <v>14</v>
      </c>
      <c r="U14" s="665">
        <f t="shared" si="1"/>
        <v>100</v>
      </c>
      <c r="V14" s="664" t="s">
        <v>14</v>
      </c>
      <c r="W14" s="665">
        <f t="shared" si="2"/>
        <v>100</v>
      </c>
      <c r="X14" s="666"/>
      <c r="Y14" s="3242"/>
      <c r="Z14" s="50">
        <f t="shared" si="7"/>
        <v>111</v>
      </c>
      <c r="AA14" s="50">
        <f>D14/F14</f>
        <v>1</v>
      </c>
      <c r="AB14" s="50">
        <f>D14/H14</f>
        <v>1</v>
      </c>
      <c r="AC14" s="50">
        <f>D14/J14</f>
        <v>1</v>
      </c>
    </row>
    <row r="15" spans="1:29" ht="15">
      <c r="A15" s="379" t="s">
        <v>1689</v>
      </c>
      <c r="B15" s="58" t="s">
        <v>1256</v>
      </c>
      <c r="C15" s="1750">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358" t="s">
        <v>1690</v>
      </c>
      <c r="Q15" s="1263" t="str">
        <f t="shared" si="6"/>
        <v>居住社区成熟度</v>
      </c>
      <c r="R15" s="667" t="s">
        <v>14</v>
      </c>
      <c r="S15" s="668">
        <f t="shared" si="0"/>
        <v>100</v>
      </c>
      <c r="T15" s="667" t="s">
        <v>14</v>
      </c>
      <c r="U15" s="668">
        <f t="shared" si="1"/>
        <v>100</v>
      </c>
      <c r="V15" s="667" t="s">
        <v>14</v>
      </c>
      <c r="W15" s="668">
        <f t="shared" si="2"/>
        <v>100</v>
      </c>
      <c r="X15" s="1265"/>
      <c r="Y15" s="3358" t="s">
        <v>1690</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359"/>
      <c r="Q16" s="1263"/>
      <c r="R16" s="667"/>
      <c r="S16" s="668"/>
      <c r="T16" s="667"/>
      <c r="U16" s="668"/>
      <c r="V16" s="667"/>
      <c r="W16" s="668"/>
      <c r="X16" s="1265"/>
      <c r="Y16" s="3359"/>
      <c r="Z16" s="1264"/>
      <c r="AA16" s="1264">
        <v>1</v>
      </c>
      <c r="AB16" s="1264">
        <v>1</v>
      </c>
      <c r="AC16" s="1264">
        <v>1</v>
      </c>
    </row>
    <row r="17" spans="1:29" ht="15">
      <c r="A17" s="367"/>
      <c r="B17" s="390" t="s">
        <v>1776</v>
      </c>
      <c r="C17" s="1806">
        <f>估价对象房地状况!C16</f>
        <v>0</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359"/>
      <c r="Q17" s="1263" t="str">
        <f>B17</f>
        <v>商业繁华度</v>
      </c>
      <c r="R17" s="667" t="s">
        <v>14</v>
      </c>
      <c r="S17" s="668">
        <f>F17</f>
        <v>100</v>
      </c>
      <c r="T17" s="667" t="s">
        <v>14</v>
      </c>
      <c r="U17" s="668">
        <f>H17</f>
        <v>100</v>
      </c>
      <c r="V17" s="667" t="s">
        <v>14</v>
      </c>
      <c r="W17" s="668">
        <f>J17</f>
        <v>100</v>
      </c>
      <c r="X17" s="1265"/>
      <c r="Y17" s="3359"/>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359"/>
      <c r="Q18" s="1263"/>
      <c r="R18" s="667"/>
      <c r="S18" s="668"/>
      <c r="T18" s="667"/>
      <c r="U18" s="668"/>
      <c r="V18" s="667"/>
      <c r="W18" s="668"/>
      <c r="X18" s="1265"/>
      <c r="Y18" s="3359"/>
      <c r="Z18" s="1264"/>
      <c r="AA18" s="1264">
        <v>1</v>
      </c>
      <c r="AB18" s="1264">
        <v>1</v>
      </c>
      <c r="AC18" s="1264">
        <v>1</v>
      </c>
    </row>
    <row r="19" spans="1:29" ht="15">
      <c r="A19" s="367"/>
      <c r="B19" s="390" t="s">
        <v>1810</v>
      </c>
      <c r="C19" s="1806">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359"/>
      <c r="Q19" s="1263" t="str">
        <f>B19</f>
        <v>办公集聚程度</v>
      </c>
      <c r="R19" s="667" t="s">
        <v>14</v>
      </c>
      <c r="S19" s="668">
        <f>F19</f>
        <v>100</v>
      </c>
      <c r="T19" s="667" t="s">
        <v>14</v>
      </c>
      <c r="U19" s="668">
        <f>H19</f>
        <v>100</v>
      </c>
      <c r="V19" s="667" t="s">
        <v>14</v>
      </c>
      <c r="W19" s="668">
        <f>J19</f>
        <v>100</v>
      </c>
      <c r="X19" s="1265"/>
      <c r="Y19" s="3359"/>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359"/>
      <c r="Q20" s="1263"/>
      <c r="R20" s="667"/>
      <c r="S20" s="668"/>
      <c r="T20" s="667"/>
      <c r="U20" s="668"/>
      <c r="V20" s="667"/>
      <c r="W20" s="668"/>
      <c r="X20" s="1265"/>
      <c r="Y20" s="3359"/>
      <c r="Z20" s="1264"/>
      <c r="AA20" s="1264">
        <v>1</v>
      </c>
      <c r="AB20" s="1264">
        <v>1</v>
      </c>
      <c r="AC20" s="1264">
        <v>1</v>
      </c>
    </row>
    <row r="21" spans="1:29" ht="15">
      <c r="A21" s="367"/>
      <c r="B21" s="390" t="s">
        <v>1832</v>
      </c>
      <c r="C21" s="1754">
        <f>估价对象房地状况!C18</f>
        <v>0</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359"/>
      <c r="Q21" s="1263" t="str">
        <f>B21</f>
        <v>交通便捷度</v>
      </c>
      <c r="R21" s="667" t="s">
        <v>14</v>
      </c>
      <c r="S21" s="668">
        <f>F21</f>
        <v>100</v>
      </c>
      <c r="T21" s="667" t="s">
        <v>14</v>
      </c>
      <c r="U21" s="668">
        <f>H21</f>
        <v>100</v>
      </c>
      <c r="V21" s="667" t="s">
        <v>14</v>
      </c>
      <c r="W21" s="668">
        <f>J21</f>
        <v>100</v>
      </c>
      <c r="X21" s="1265"/>
      <c r="Y21" s="3359"/>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359"/>
      <c r="Q22" s="1263"/>
      <c r="R22" s="667"/>
      <c r="S22" s="668"/>
      <c r="T22" s="667"/>
      <c r="U22" s="668"/>
      <c r="V22" s="667"/>
      <c r="W22" s="668"/>
      <c r="X22" s="1265"/>
      <c r="Y22" s="3359"/>
      <c r="Z22" s="1264"/>
      <c r="AA22" s="1264">
        <v>1</v>
      </c>
      <c r="AB22" s="1264">
        <v>1</v>
      </c>
      <c r="AC22" s="1264">
        <v>1</v>
      </c>
    </row>
    <row r="23" spans="1:29" ht="15">
      <c r="A23" s="348"/>
      <c r="B23" s="390" t="s">
        <v>1870</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359"/>
      <c r="Q23" s="1263" t="str">
        <f t="shared" ref="Q23:Q37" si="8">B23</f>
        <v>区域土地利用方向</v>
      </c>
      <c r="R23" s="667" t="s">
        <v>14</v>
      </c>
      <c r="S23" s="668">
        <f>F23</f>
        <v>100</v>
      </c>
      <c r="T23" s="667" t="s">
        <v>14</v>
      </c>
      <c r="U23" s="668">
        <f>H23</f>
        <v>100</v>
      </c>
      <c r="V23" s="667" t="s">
        <v>14</v>
      </c>
      <c r="W23" s="668">
        <f>J23</f>
        <v>100</v>
      </c>
      <c r="X23" s="1265"/>
      <c r="Y23" s="3359"/>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359"/>
      <c r="Q24" s="1263"/>
      <c r="R24" s="667"/>
      <c r="S24" s="668"/>
      <c r="T24" s="667"/>
      <c r="U24" s="668"/>
      <c r="V24" s="667"/>
      <c r="W24" s="668"/>
      <c r="X24" s="1265"/>
      <c r="Y24" s="3359"/>
      <c r="Z24" s="1264"/>
      <c r="AA24" s="1264"/>
      <c r="AB24" s="1264"/>
      <c r="AC24" s="1264"/>
    </row>
    <row r="25" spans="1:29" ht="27">
      <c r="A25" s="348"/>
      <c r="B25" s="586" t="s">
        <v>1871</v>
      </c>
      <c r="C25" s="1806">
        <f>估价对象房地状况!C20</f>
        <v>0</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359"/>
      <c r="Q25" s="1263" t="str">
        <f t="shared" si="8"/>
        <v>自然及人文环境状况</v>
      </c>
      <c r="R25" s="667" t="s">
        <v>14</v>
      </c>
      <c r="S25" s="668">
        <f>F25</f>
        <v>100</v>
      </c>
      <c r="T25" s="667" t="s">
        <v>14</v>
      </c>
      <c r="U25" s="668">
        <f>H25</f>
        <v>100</v>
      </c>
      <c r="V25" s="667" t="s">
        <v>14</v>
      </c>
      <c r="W25" s="668">
        <f>J25</f>
        <v>100</v>
      </c>
      <c r="X25" s="1265"/>
      <c r="Y25" s="3359"/>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359"/>
      <c r="Q26" s="1263"/>
      <c r="R26" s="667"/>
      <c r="S26" s="668"/>
      <c r="T26" s="667"/>
      <c r="U26" s="668"/>
      <c r="V26" s="667"/>
      <c r="W26" s="668"/>
      <c r="X26" s="1265"/>
      <c r="Y26" s="3359"/>
      <c r="Z26" s="1264"/>
      <c r="AA26" s="1264">
        <v>1</v>
      </c>
      <c r="AB26" s="1264">
        <v>1</v>
      </c>
      <c r="AC26" s="1264">
        <v>1</v>
      </c>
    </row>
    <row r="27" spans="1:29" s="102" customFormat="1" ht="15">
      <c r="A27" s="443"/>
      <c r="B27" s="586" t="s">
        <v>1777</v>
      </c>
      <c r="C27" s="1754">
        <f>估价对象房地状况!C21</f>
        <v>0</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359"/>
      <c r="Q27" s="530" t="str">
        <f t="shared" si="8"/>
        <v>公共配套设施</v>
      </c>
      <c r="R27" s="664" t="s">
        <v>14</v>
      </c>
      <c r="S27" s="665">
        <f>F27</f>
        <v>100</v>
      </c>
      <c r="T27" s="664" t="s">
        <v>14</v>
      </c>
      <c r="U27" s="665">
        <f>H27</f>
        <v>100</v>
      </c>
      <c r="V27" s="664" t="s">
        <v>14</v>
      </c>
      <c r="W27" s="665">
        <f>J27</f>
        <v>100</v>
      </c>
      <c r="X27" s="666"/>
      <c r="Y27" s="3359"/>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359"/>
      <c r="Q28" s="530"/>
      <c r="R28" s="664"/>
      <c r="S28" s="665"/>
      <c r="T28" s="664"/>
      <c r="U28" s="665"/>
      <c r="V28" s="664"/>
      <c r="W28" s="665"/>
      <c r="X28" s="666"/>
      <c r="Y28" s="3359"/>
      <c r="Z28" s="50"/>
      <c r="AA28" s="1264">
        <v>1</v>
      </c>
      <c r="AB28" s="1264">
        <v>1</v>
      </c>
      <c r="AC28" s="1264">
        <v>1</v>
      </c>
    </row>
    <row r="29" spans="1:29" s="102" customFormat="1" ht="15">
      <c r="A29" s="443"/>
      <c r="B29" s="586" t="s">
        <v>1778</v>
      </c>
      <c r="C29" s="1754">
        <f>估价对象房地状况!C22</f>
        <v>0</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359"/>
      <c r="Q29" s="530" t="str">
        <f t="shared" ref="Q29" si="9">B29</f>
        <v>基础设施水平</v>
      </c>
      <c r="R29" s="664" t="s">
        <v>14</v>
      </c>
      <c r="S29" s="665">
        <f>F29</f>
        <v>100</v>
      </c>
      <c r="T29" s="664" t="s">
        <v>14</v>
      </c>
      <c r="U29" s="665">
        <f>H29</f>
        <v>100</v>
      </c>
      <c r="V29" s="664" t="s">
        <v>14</v>
      </c>
      <c r="W29" s="665">
        <f>J29</f>
        <v>100</v>
      </c>
      <c r="X29" s="666"/>
      <c r="Y29" s="3359"/>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359"/>
      <c r="Q30" s="530"/>
      <c r="R30" s="664"/>
      <c r="S30" s="665"/>
      <c r="T30" s="664"/>
      <c r="U30" s="665"/>
      <c r="V30" s="664"/>
      <c r="W30" s="665"/>
      <c r="X30" s="666"/>
      <c r="Y30" s="3359"/>
      <c r="Z30" s="50"/>
      <c r="AA30" s="1264">
        <v>1</v>
      </c>
      <c r="AB30" s="1264">
        <v>1</v>
      </c>
      <c r="AC30" s="1264">
        <v>1</v>
      </c>
    </row>
    <row r="31" spans="1:29" ht="15">
      <c r="A31" s="367"/>
      <c r="B31" s="395" t="s">
        <v>1779</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359"/>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59"/>
      <c r="Z31" s="1264" t="str">
        <f t="shared" ref="Z31:Z45" si="13">Q31</f>
        <v>临街状况</v>
      </c>
      <c r="AA31" s="1264">
        <f t="shared" si="3"/>
        <v>1</v>
      </c>
      <c r="AB31" s="1264">
        <f t="shared" si="4"/>
        <v>1</v>
      </c>
      <c r="AC31" s="1264">
        <f t="shared" si="5"/>
        <v>1</v>
      </c>
    </row>
    <row r="32" spans="1:29" ht="27">
      <c r="A32" s="367"/>
      <c r="B32" s="586" t="s">
        <v>1814</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359"/>
      <c r="Q32" s="1263" t="str">
        <f t="shared" si="8"/>
        <v>毗邻道路的类型与等级</v>
      </c>
      <c r="R32" s="667" t="s">
        <v>14</v>
      </c>
      <c r="S32" s="668">
        <f t="shared" si="10"/>
        <v>100</v>
      </c>
      <c r="T32" s="667" t="s">
        <v>14</v>
      </c>
      <c r="U32" s="668">
        <f t="shared" si="11"/>
        <v>100</v>
      </c>
      <c r="V32" s="667" t="s">
        <v>14</v>
      </c>
      <c r="W32" s="668">
        <f t="shared" si="12"/>
        <v>100</v>
      </c>
      <c r="X32" s="1265"/>
      <c r="Y32" s="3359"/>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359"/>
      <c r="Q33" s="1263"/>
      <c r="R33" s="667"/>
      <c r="S33" s="668"/>
      <c r="T33" s="667"/>
      <c r="U33" s="668"/>
      <c r="V33" s="667"/>
      <c r="W33" s="668"/>
      <c r="X33" s="1265"/>
      <c r="Y33" s="3359"/>
      <c r="Z33" s="1264"/>
      <c r="AA33" s="1264">
        <v>1</v>
      </c>
      <c r="AB33" s="1264">
        <v>1</v>
      </c>
      <c r="AC33" s="1264">
        <v>1</v>
      </c>
    </row>
    <row r="34" spans="1:29" ht="15">
      <c r="A34" s="367"/>
      <c r="B34" s="364" t="s">
        <v>1872</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359"/>
      <c r="Q34" s="1263" t="str">
        <f t="shared" si="8"/>
        <v>土地级别</v>
      </c>
      <c r="R34" s="667" t="s">
        <v>14</v>
      </c>
      <c r="S34" s="668">
        <f t="shared" si="10"/>
        <v>100</v>
      </c>
      <c r="T34" s="667" t="s">
        <v>14</v>
      </c>
      <c r="U34" s="668">
        <f t="shared" si="11"/>
        <v>100</v>
      </c>
      <c r="V34" s="667" t="s">
        <v>14</v>
      </c>
      <c r="W34" s="668">
        <f t="shared" si="12"/>
        <v>100</v>
      </c>
      <c r="X34" s="1265"/>
      <c r="Y34" s="3359"/>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359"/>
      <c r="Q35" s="1263">
        <f t="shared" si="8"/>
        <v>111</v>
      </c>
      <c r="R35" s="667" t="s">
        <v>14</v>
      </c>
      <c r="S35" s="668">
        <f t="shared" si="10"/>
        <v>100</v>
      </c>
      <c r="T35" s="667" t="s">
        <v>14</v>
      </c>
      <c r="U35" s="668">
        <f t="shared" si="11"/>
        <v>100</v>
      </c>
      <c r="V35" s="667" t="s">
        <v>14</v>
      </c>
      <c r="W35" s="668">
        <f t="shared" si="12"/>
        <v>100</v>
      </c>
      <c r="X35" s="1265"/>
      <c r="Y35" s="3359"/>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375" t="s">
        <v>1695</v>
      </c>
      <c r="Q36" s="1263">
        <f t="shared" si="8"/>
        <v>111</v>
      </c>
      <c r="R36" s="667" t="s">
        <v>14</v>
      </c>
      <c r="S36" s="668">
        <f t="shared" si="10"/>
        <v>100</v>
      </c>
      <c r="T36" s="667" t="s">
        <v>14</v>
      </c>
      <c r="U36" s="668">
        <f t="shared" si="11"/>
        <v>100</v>
      </c>
      <c r="V36" s="667" t="s">
        <v>14</v>
      </c>
      <c r="W36" s="668">
        <f t="shared" si="12"/>
        <v>100</v>
      </c>
      <c r="X36" s="1265"/>
      <c r="Y36" s="3360" t="s">
        <v>1695</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360"/>
      <c r="Q37" s="1263">
        <f t="shared" si="8"/>
        <v>111</v>
      </c>
      <c r="R37" s="669" t="s">
        <v>14</v>
      </c>
      <c r="S37" s="670">
        <f t="shared" si="10"/>
        <v>100</v>
      </c>
      <c r="T37" s="669" t="s">
        <v>14</v>
      </c>
      <c r="U37" s="670">
        <f t="shared" si="11"/>
        <v>100</v>
      </c>
      <c r="V37" s="669" t="s">
        <v>14</v>
      </c>
      <c r="W37" s="670">
        <f t="shared" si="12"/>
        <v>100</v>
      </c>
      <c r="X37" s="671"/>
      <c r="Y37" s="3360"/>
      <c r="Z37" s="672">
        <f t="shared" si="13"/>
        <v>111</v>
      </c>
      <c r="AA37" s="1264">
        <f t="shared" si="3"/>
        <v>1</v>
      </c>
      <c r="AB37" s="1264">
        <f t="shared" si="4"/>
        <v>1</v>
      </c>
      <c r="AC37" s="1264">
        <f t="shared" si="5"/>
        <v>1</v>
      </c>
    </row>
    <row r="38" spans="1:29" ht="15">
      <c r="A38" s="409" t="s">
        <v>1693</v>
      </c>
      <c r="B38" s="395" t="s">
        <v>1873</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360"/>
      <c r="Q38" s="1263" t="str">
        <f>B38</f>
        <v>宗地面积</v>
      </c>
      <c r="R38" s="667" t="s">
        <v>14</v>
      </c>
      <c r="S38" s="668" t="e">
        <f t="shared" si="10"/>
        <v>#N/A</v>
      </c>
      <c r="T38" s="667" t="s">
        <v>14</v>
      </c>
      <c r="U38" s="668" t="e">
        <f t="shared" si="11"/>
        <v>#N/A</v>
      </c>
      <c r="V38" s="667" t="s">
        <v>14</v>
      </c>
      <c r="W38" s="668" t="e">
        <f t="shared" si="12"/>
        <v>#N/A</v>
      </c>
      <c r="X38" s="1265"/>
      <c r="Y38" s="3360"/>
      <c r="Z38" s="1264" t="str">
        <f t="shared" si="13"/>
        <v>宗地面积</v>
      </c>
      <c r="AA38" s="1264" t="e">
        <f t="shared" si="3"/>
        <v>#N/A</v>
      </c>
      <c r="AB38" s="1264" t="e">
        <f t="shared" si="4"/>
        <v>#N/A</v>
      </c>
      <c r="AC38" s="1264" t="e">
        <f t="shared" si="5"/>
        <v>#N/A</v>
      </c>
    </row>
    <row r="39" spans="1:29" ht="15">
      <c r="A39" s="409"/>
      <c r="B39" s="364" t="s">
        <v>1874</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360"/>
      <c r="Q39" s="1263" t="str">
        <f t="shared" ref="Q39:Q45" si="14">B39</f>
        <v>宗地形状</v>
      </c>
      <c r="R39" s="667" t="s">
        <v>14</v>
      </c>
      <c r="S39" s="668">
        <f t="shared" si="10"/>
        <v>100</v>
      </c>
      <c r="T39" s="667" t="s">
        <v>14</v>
      </c>
      <c r="U39" s="668">
        <f t="shared" si="11"/>
        <v>100</v>
      </c>
      <c r="V39" s="667" t="s">
        <v>14</v>
      </c>
      <c r="W39" s="668">
        <f t="shared" si="12"/>
        <v>100</v>
      </c>
      <c r="X39" s="1265"/>
      <c r="Y39" s="3360"/>
      <c r="Z39" s="1264" t="str">
        <f t="shared" si="13"/>
        <v>宗地形状</v>
      </c>
      <c r="AA39" s="1264">
        <f t="shared" si="3"/>
        <v>1</v>
      </c>
      <c r="AB39" s="1264">
        <f t="shared" si="4"/>
        <v>1</v>
      </c>
      <c r="AC39" s="1264">
        <f t="shared" si="5"/>
        <v>1</v>
      </c>
    </row>
    <row r="40" spans="1:29" ht="15">
      <c r="A40" s="409"/>
      <c r="B40" s="364" t="s">
        <v>1875</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360"/>
      <c r="Q40" s="1263" t="str">
        <f t="shared" si="14"/>
        <v>临街宽度及深度</v>
      </c>
      <c r="R40" s="667" t="s">
        <v>14</v>
      </c>
      <c r="S40" s="668">
        <f t="shared" si="10"/>
        <v>100</v>
      </c>
      <c r="T40" s="667" t="s">
        <v>14</v>
      </c>
      <c r="U40" s="668">
        <f t="shared" si="11"/>
        <v>100</v>
      </c>
      <c r="V40" s="667" t="s">
        <v>14</v>
      </c>
      <c r="W40" s="668">
        <f t="shared" si="12"/>
        <v>100</v>
      </c>
      <c r="X40" s="1265"/>
      <c r="Y40" s="3360"/>
      <c r="Z40" s="1264" t="str">
        <f t="shared" si="13"/>
        <v>临街宽度及深度</v>
      </c>
      <c r="AA40" s="1264">
        <f t="shared" si="3"/>
        <v>1</v>
      </c>
      <c r="AB40" s="1264">
        <f t="shared" si="4"/>
        <v>1</v>
      </c>
      <c r="AC40" s="1264">
        <f t="shared" si="5"/>
        <v>1</v>
      </c>
    </row>
    <row r="41" spans="1:29" s="102" customFormat="1" ht="15">
      <c r="A41" s="410"/>
      <c r="B41" s="364" t="s">
        <v>1876</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360"/>
      <c r="Q41" s="1263" t="str">
        <f t="shared" si="14"/>
        <v>宗地开发程度</v>
      </c>
      <c r="R41" s="664" t="s">
        <v>14</v>
      </c>
      <c r="S41" s="665">
        <f t="shared" si="10"/>
        <v>100</v>
      </c>
      <c r="T41" s="664" t="s">
        <v>14</v>
      </c>
      <c r="U41" s="665">
        <f t="shared" si="11"/>
        <v>100</v>
      </c>
      <c r="V41" s="664" t="s">
        <v>14</v>
      </c>
      <c r="W41" s="665">
        <f t="shared" si="12"/>
        <v>100</v>
      </c>
      <c r="X41" s="666"/>
      <c r="Y41" s="3360"/>
      <c r="Z41" s="50" t="str">
        <f t="shared" si="13"/>
        <v>宗地开发程度</v>
      </c>
      <c r="AA41" s="50">
        <f t="shared" si="3"/>
        <v>1</v>
      </c>
      <c r="AB41" s="50">
        <f t="shared" si="4"/>
        <v>1</v>
      </c>
      <c r="AC41" s="50">
        <f t="shared" si="5"/>
        <v>1</v>
      </c>
    </row>
    <row r="42" spans="1:29" ht="15">
      <c r="A42" s="409"/>
      <c r="B42" s="364" t="s">
        <v>1877</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360" t="s">
        <v>1695</v>
      </c>
      <c r="Q42" s="1263" t="str">
        <f t="shared" si="14"/>
        <v>工程地质条件</v>
      </c>
      <c r="R42" s="667" t="s">
        <v>14</v>
      </c>
      <c r="S42" s="668">
        <f t="shared" si="10"/>
        <v>100</v>
      </c>
      <c r="T42" s="667" t="s">
        <v>14</v>
      </c>
      <c r="U42" s="668">
        <f t="shared" si="11"/>
        <v>100</v>
      </c>
      <c r="V42" s="667" t="s">
        <v>14</v>
      </c>
      <c r="W42" s="668">
        <f t="shared" si="12"/>
        <v>100</v>
      </c>
      <c r="X42" s="1265"/>
      <c r="Y42" s="3360" t="s">
        <v>1695</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360"/>
      <c r="Q43" s="1263">
        <f t="shared" si="14"/>
        <v>111</v>
      </c>
      <c r="R43" s="667" t="s">
        <v>14</v>
      </c>
      <c r="S43" s="668">
        <f t="shared" si="10"/>
        <v>100</v>
      </c>
      <c r="T43" s="667" t="s">
        <v>14</v>
      </c>
      <c r="U43" s="668">
        <f t="shared" si="11"/>
        <v>100</v>
      </c>
      <c r="V43" s="667" t="s">
        <v>14</v>
      </c>
      <c r="W43" s="668">
        <f t="shared" si="12"/>
        <v>100</v>
      </c>
      <c r="X43" s="1265"/>
      <c r="Y43" s="3360"/>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360"/>
      <c r="Q44" s="1263">
        <f t="shared" si="14"/>
        <v>111</v>
      </c>
      <c r="R44" s="667" t="s">
        <v>14</v>
      </c>
      <c r="S44" s="668">
        <f t="shared" si="10"/>
        <v>100</v>
      </c>
      <c r="T44" s="667" t="s">
        <v>14</v>
      </c>
      <c r="U44" s="668">
        <f t="shared" si="11"/>
        <v>100</v>
      </c>
      <c r="V44" s="667" t="s">
        <v>14</v>
      </c>
      <c r="W44" s="668">
        <f t="shared" si="12"/>
        <v>100</v>
      </c>
      <c r="X44" s="1265"/>
      <c r="Y44" s="3360"/>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360"/>
      <c r="Q45" s="1263">
        <f t="shared" si="14"/>
        <v>111</v>
      </c>
      <c r="R45" s="669" t="s">
        <v>14</v>
      </c>
      <c r="S45" s="670">
        <f t="shared" si="10"/>
        <v>100</v>
      </c>
      <c r="T45" s="669" t="s">
        <v>14</v>
      </c>
      <c r="U45" s="670">
        <f t="shared" si="11"/>
        <v>100</v>
      </c>
      <c r="V45" s="669" t="s">
        <v>14</v>
      </c>
      <c r="W45" s="670">
        <f t="shared" si="12"/>
        <v>100</v>
      </c>
      <c r="X45" s="671"/>
      <c r="Y45" s="3360"/>
      <c r="Z45" s="672">
        <f t="shared" si="13"/>
        <v>111</v>
      </c>
      <c r="AA45" s="1264">
        <f t="shared" si="3"/>
        <v>1</v>
      </c>
      <c r="AB45" s="1264">
        <f t="shared" si="4"/>
        <v>1</v>
      </c>
      <c r="AC45" s="1264">
        <f t="shared" si="5"/>
        <v>1</v>
      </c>
    </row>
    <row r="46" spans="1:29" ht="15">
      <c r="A46" s="416" t="s">
        <v>1843</v>
      </c>
      <c r="B46" s="1830" t="s">
        <v>1878</v>
      </c>
      <c r="C46" s="602" t="s">
        <v>0</v>
      </c>
      <c r="D46" s="418"/>
      <c r="E46" s="419"/>
      <c r="F46" s="420"/>
      <c r="G46" s="421"/>
      <c r="H46" s="422"/>
      <c r="I46" s="419"/>
      <c r="J46" s="422"/>
      <c r="K46" s="674"/>
      <c r="L46" s="2495"/>
      <c r="M46" s="2488"/>
      <c r="N46" s="2488"/>
      <c r="O46" s="2488"/>
      <c r="P46" s="3341" t="str">
        <f>A46</f>
        <v>成交单价</v>
      </c>
      <c r="Q46" s="3341"/>
      <c r="R46" s="3357">
        <f>E46</f>
        <v>0</v>
      </c>
      <c r="S46" s="3357"/>
      <c r="T46" s="3357">
        <f>G46</f>
        <v>0</v>
      </c>
      <c r="U46" s="3357"/>
      <c r="V46" s="3357">
        <f>I46</f>
        <v>0</v>
      </c>
      <c r="W46" s="3357"/>
      <c r="X46" s="385"/>
      <c r="Y46" s="673"/>
      <c r="Z46" s="385"/>
      <c r="AA46" s="385"/>
      <c r="AB46" s="385"/>
      <c r="AC46" s="385"/>
    </row>
    <row r="47" spans="1:29" ht="15.75" thickBot="1">
      <c r="A47" s="423" t="s">
        <v>1792</v>
      </c>
      <c r="B47" s="603"/>
      <c r="C47" s="426" t="e">
        <f>R48</f>
        <v>#DIV/0!</v>
      </c>
      <c r="D47" s="2141" t="s">
        <v>2136</v>
      </c>
      <c r="E47" s="426" t="e">
        <f>R47</f>
        <v>#DIV/0!</v>
      </c>
      <c r="F47" s="2142"/>
      <c r="G47" s="425" t="e">
        <f>T47</f>
        <v>#DIV/0!</v>
      </c>
      <c r="H47" s="2142"/>
      <c r="I47" s="426" t="e">
        <f>V47</f>
        <v>#DIV/0!</v>
      </c>
      <c r="J47" s="2142"/>
      <c r="K47" s="2144">
        <f>F47+H47+J47</f>
        <v>0</v>
      </c>
      <c r="L47" s="2495"/>
      <c r="M47" s="2488"/>
      <c r="N47" s="2488"/>
      <c r="O47" s="2488"/>
      <c r="P47" s="3341" t="str">
        <f>A47</f>
        <v>比较价值（元/平方米）</v>
      </c>
      <c r="Q47" s="3341"/>
      <c r="R47" s="3379" t="e">
        <f>ROUND(PRODUCT(R46,AA7:AA45),0)</f>
        <v>#DIV/0!</v>
      </c>
      <c r="S47" s="3379"/>
      <c r="T47" s="3379" t="e">
        <f>ROUND(PRODUCT(T46,AB7:AB45),0)</f>
        <v>#DIV/0!</v>
      </c>
      <c r="U47" s="3379"/>
      <c r="V47" s="3379" t="e">
        <f>ROUND(PRODUCT(V46,AC7:AC45),0)</f>
        <v>#DIV/0!</v>
      </c>
      <c r="W47" s="3379"/>
      <c r="X47" s="385"/>
      <c r="Y47" s="385"/>
      <c r="Z47" s="385"/>
      <c r="AA47" s="385"/>
      <c r="AB47" s="385"/>
      <c r="AC47" s="385"/>
    </row>
    <row r="48" spans="1:29" ht="15.75" thickBot="1">
      <c r="A48" s="427" t="s">
        <v>1879</v>
      </c>
      <c r="B48" s="428"/>
      <c r="C48" s="429" t="e">
        <f>R48</f>
        <v>#DIV/0!</v>
      </c>
      <c r="D48" s="429"/>
      <c r="E48" s="429"/>
      <c r="F48" s="429"/>
      <c r="G48" s="429"/>
      <c r="H48" s="429"/>
      <c r="I48" s="429"/>
      <c r="J48" s="429"/>
      <c r="K48" s="675"/>
      <c r="L48" s="2495"/>
      <c r="M48" s="2488"/>
      <c r="N48" s="2488"/>
      <c r="O48" s="2488"/>
      <c r="P48" s="3376" t="str">
        <f>A48</f>
        <v>估价对象XX用房的比较价值（楼面单价，元/平方米）</v>
      </c>
      <c r="Q48" s="3377"/>
      <c r="R48" s="3378" t="e">
        <f>ROUND(IF(D47="简单平均",AVERAGE(R47:W47),R47*F47+T47*H47+V47*J47),0)</f>
        <v>#DIV/0!</v>
      </c>
      <c r="S48" s="3378"/>
      <c r="T48" s="3378"/>
      <c r="U48" s="3378"/>
      <c r="V48" s="3378"/>
      <c r="W48" s="3378"/>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1794</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1795</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1796</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1880</v>
      </c>
      <c r="B55" s="605" t="s">
        <v>1881</v>
      </c>
      <c r="C55" s="1831" t="s">
        <v>1882</v>
      </c>
      <c r="D55" s="1832" t="s">
        <v>1883</v>
      </c>
      <c r="E55" s="606" t="s">
        <v>1884</v>
      </c>
      <c r="F55" s="837" t="s">
        <v>1885</v>
      </c>
      <c r="G55" s="3338" t="s">
        <v>1886</v>
      </c>
      <c r="H55" s="3339"/>
      <c r="I55" s="127" t="s">
        <v>1887</v>
      </c>
      <c r="J55" s="1833">
        <f>项目基本情况!F35</f>
        <v>0</v>
      </c>
      <c r="K55" s="1834" t="s">
        <v>1888</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1889</v>
      </c>
      <c r="B56" s="609" t="e">
        <f>C48</f>
        <v>#DIV/0!</v>
      </c>
      <c r="C56" s="610">
        <v>1</v>
      </c>
      <c r="D56" s="890">
        <v>1</v>
      </c>
      <c r="E56" s="610">
        <f>'数据-汇总表'!E8+'数据-汇总表'!E9</f>
        <v>51170.55999999999</v>
      </c>
      <c r="F56" s="833" t="e">
        <f t="shared" ref="F56:F64" si="15">ROUND(B56*E56/10000,0)</f>
        <v>#DIV/0!</v>
      </c>
      <c r="G56" s="3340"/>
      <c r="H56" s="3341"/>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1890</v>
      </c>
      <c r="B57" s="210" t="e">
        <f>ROUND($C$48*C57*D57,0)</f>
        <v>#DIV/0!</v>
      </c>
      <c r="C57" s="163">
        <f t="shared" ref="C57:C64" si="16">IF($C$55="北京市系数",I57,J57)</f>
        <v>0</v>
      </c>
      <c r="D57" s="891">
        <v>0.25</v>
      </c>
      <c r="E57" s="614"/>
      <c r="F57" s="833" t="e">
        <f t="shared" si="15"/>
        <v>#DIV/0!</v>
      </c>
      <c r="G57" s="2751" t="s">
        <v>1891</v>
      </c>
      <c r="H57" s="834">
        <f>项目基本情况!B37</f>
        <v>0</v>
      </c>
      <c r="I57" s="838">
        <f>SUMIF(修正!A57:A68,H57,修正!B57:B68)</f>
        <v>0</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1892</v>
      </c>
      <c r="B58" s="210" t="e">
        <f t="shared" ref="B58:B64" si="17">ROUND($C$48*C58*D58,0)</f>
        <v>#DIV/0!</v>
      </c>
      <c r="C58" s="163">
        <f t="shared" si="16"/>
        <v>0</v>
      </c>
      <c r="D58" s="891">
        <v>0.25</v>
      </c>
      <c r="E58" s="614"/>
      <c r="F58" s="833" t="e">
        <f t="shared" si="15"/>
        <v>#DIV/0!</v>
      </c>
      <c r="G58" s="2752"/>
      <c r="H58" s="834">
        <f>项目基本情况!B37</f>
        <v>0</v>
      </c>
      <c r="I58" s="838">
        <f>SUMIF(修正!A57:A68,H58,修正!C57:C68)</f>
        <v>0</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1893</v>
      </c>
      <c r="B59" s="210" t="e">
        <f t="shared" si="17"/>
        <v>#DIV/0!</v>
      </c>
      <c r="C59" s="163">
        <f t="shared" si="16"/>
        <v>0</v>
      </c>
      <c r="D59" s="891">
        <v>0.25</v>
      </c>
      <c r="E59" s="614"/>
      <c r="F59" s="833" t="e">
        <f t="shared" si="15"/>
        <v>#DIV/0!</v>
      </c>
      <c r="G59" s="2752"/>
      <c r="H59" s="834">
        <f>项目基本情况!B37</f>
        <v>0</v>
      </c>
      <c r="I59" s="838">
        <f>SUMIF(修正!A57:A68,H59,修正!D57:D68)</f>
        <v>0</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1894</v>
      </c>
      <c r="B60" s="210" t="e">
        <f t="shared" si="17"/>
        <v>#DIV/0!</v>
      </c>
      <c r="C60" s="163">
        <f t="shared" si="16"/>
        <v>0</v>
      </c>
      <c r="D60" s="891">
        <v>0.25</v>
      </c>
      <c r="E60" s="209">
        <f>'数据-汇总表'!E11</f>
        <v>0</v>
      </c>
      <c r="F60" s="833" t="e">
        <f t="shared" si="15"/>
        <v>#DIV/0!</v>
      </c>
      <c r="G60" s="1835" t="s">
        <v>1895</v>
      </c>
      <c r="H60" s="834">
        <f>项目基本情况!C37</f>
        <v>0</v>
      </c>
      <c r="I60" s="838">
        <f>SUMIF(修正!A57:A68,H60,修正!E57:E68)</f>
        <v>0</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1896</v>
      </c>
      <c r="B61" s="210" t="e">
        <f t="shared" si="17"/>
        <v>#DIV/0!</v>
      </c>
      <c r="C61" s="163">
        <f t="shared" si="16"/>
        <v>0</v>
      </c>
      <c r="D61" s="891">
        <v>0.25</v>
      </c>
      <c r="E61" s="209">
        <f>'数据-汇总表'!E12</f>
        <v>0</v>
      </c>
      <c r="F61" s="833" t="e">
        <f t="shared" si="15"/>
        <v>#DIV/0!</v>
      </c>
      <c r="G61" s="839" t="s">
        <v>1897</v>
      </c>
      <c r="H61" s="834">
        <f>IF(G61="商业",项目基本情况!B37,IF(G61="办公",项目基本情况!C37,IF(G61="住宅",项目基本情况!D37,项目基本情况!E37)))</f>
        <v>0</v>
      </c>
      <c r="I61" s="838">
        <f>SUMIF(修正!A57:A68,H61,修正!F57:F68)</f>
        <v>0</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1898</v>
      </c>
      <c r="B62" s="210" t="e">
        <f t="shared" si="17"/>
        <v>#DIV/0!</v>
      </c>
      <c r="C62" s="163">
        <f t="shared" si="16"/>
        <v>0</v>
      </c>
      <c r="D62" s="891">
        <v>0.25</v>
      </c>
      <c r="E62" s="209">
        <f>'数据-汇总表'!E13</f>
        <v>15117.54</v>
      </c>
      <c r="F62" s="833" t="e">
        <f t="shared" si="15"/>
        <v>#DIV/0!</v>
      </c>
      <c r="G62" s="839" t="s">
        <v>1899</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1900</v>
      </c>
      <c r="B63" s="210" t="e">
        <f t="shared" si="17"/>
        <v>#DIV/0!</v>
      </c>
      <c r="C63" s="163">
        <f t="shared" si="16"/>
        <v>0</v>
      </c>
      <c r="D63" s="891">
        <v>0.25</v>
      </c>
      <c r="E63" s="209">
        <f>'数据-汇总表'!E14</f>
        <v>0</v>
      </c>
      <c r="F63" s="833" t="e">
        <f t="shared" si="15"/>
        <v>#DIV/0!</v>
      </c>
      <c r="G63" s="1835" t="s">
        <v>1891</v>
      </c>
      <c r="H63" s="834">
        <f>项目基本情况!B37</f>
        <v>0</v>
      </c>
      <c r="I63" s="838">
        <f>SUMIF(修正!A57:A68,H63,修正!G57:G68)</f>
        <v>0</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1901</v>
      </c>
      <c r="B64" s="210" t="e">
        <f t="shared" si="17"/>
        <v>#DIV/0!</v>
      </c>
      <c r="C64" s="163">
        <f t="shared" si="16"/>
        <v>0</v>
      </c>
      <c r="D64" s="891">
        <v>0.25</v>
      </c>
      <c r="E64" s="209">
        <f>'数据-汇总表'!E15</f>
        <v>0</v>
      </c>
      <c r="F64" s="833" t="e">
        <f t="shared" si="15"/>
        <v>#DIV/0!</v>
      </c>
      <c r="G64" s="1836" t="s">
        <v>1895</v>
      </c>
      <c r="H64" s="844">
        <f>项目基本情况!C37</f>
        <v>0</v>
      </c>
      <c r="I64" s="840">
        <f>SUMIF(修正!A57:A68,H64,修正!G57:G68)</f>
        <v>0</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1902</v>
      </c>
      <c r="B65" s="616" t="s">
        <v>22</v>
      </c>
      <c r="C65" s="616" t="s">
        <v>23</v>
      </c>
      <c r="D65" s="616" t="s">
        <v>392</v>
      </c>
      <c r="E65" s="616">
        <f>IF(B46="楼面地价",SUM(E56:E64),'数据-汇总表'!D3)</f>
        <v>66288.099999999991</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2024-12-1</v>
      </c>
      <c r="D67" s="656">
        <f>EDATE(C67,-3)</f>
        <v>45536</v>
      </c>
      <c r="E67" s="656">
        <f>EDATE(D67,-3)</f>
        <v>45444</v>
      </c>
      <c r="F67" s="656">
        <f t="shared" ref="F67:O67" si="18">EDATE(E67,-3)</f>
        <v>45352</v>
      </c>
      <c r="G67" s="656">
        <f t="shared" si="18"/>
        <v>45261</v>
      </c>
      <c r="H67" s="656">
        <f t="shared" si="18"/>
        <v>45170</v>
      </c>
      <c r="I67" s="656">
        <f t="shared" si="18"/>
        <v>45078</v>
      </c>
      <c r="J67" s="656">
        <f t="shared" si="18"/>
        <v>44986</v>
      </c>
      <c r="K67" s="656">
        <f t="shared" si="18"/>
        <v>44896</v>
      </c>
      <c r="L67" s="656">
        <f t="shared" si="18"/>
        <v>44805</v>
      </c>
      <c r="M67" s="656">
        <f t="shared" si="18"/>
        <v>44713</v>
      </c>
      <c r="N67" s="656">
        <f t="shared" si="18"/>
        <v>44621</v>
      </c>
      <c r="O67" s="656">
        <f t="shared" si="18"/>
        <v>44531</v>
      </c>
      <c r="P67" s="2488"/>
      <c r="Q67" s="2488"/>
      <c r="R67" s="2488"/>
      <c r="S67" s="2488"/>
      <c r="T67" s="2488"/>
      <c r="U67" s="2488"/>
      <c r="V67" s="2488"/>
      <c r="W67" s="2488"/>
      <c r="X67" s="2488"/>
      <c r="Y67" s="2488"/>
      <c r="Z67" s="2488"/>
      <c r="AA67" s="2488"/>
      <c r="AB67" s="2488"/>
      <c r="AC67" s="2488"/>
    </row>
    <row r="68" spans="1:29" ht="21.75" thickBot="1">
      <c r="A68" s="658" t="s">
        <v>1797</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1903</v>
      </c>
      <c r="B69" s="1046"/>
      <c r="C69" s="1101" t="str">
        <f>YEAR(C67)&amp;"-"&amp;ROUNDUP(MONTH(C67)/3,0)</f>
        <v>2024-4</v>
      </c>
      <c r="D69" s="1101" t="str">
        <f>YEAR(D67)&amp;"-"&amp;ROUNDUP(MONTH(D67)/3,0)</f>
        <v>2024-3</v>
      </c>
      <c r="E69" s="1101" t="str">
        <f t="shared" ref="E69:O69" si="19">YEAR(E67)&amp;"-"&amp;ROUNDUP(MONTH(E67)/3,0)</f>
        <v>2024-2</v>
      </c>
      <c r="F69" s="1101" t="str">
        <f t="shared" si="19"/>
        <v>2024-1</v>
      </c>
      <c r="G69" s="1101" t="str">
        <f t="shared" si="19"/>
        <v>2023-4</v>
      </c>
      <c r="H69" s="1101" t="str">
        <f t="shared" si="19"/>
        <v>2023-3</v>
      </c>
      <c r="I69" s="1101" t="str">
        <f t="shared" si="19"/>
        <v>2023-2</v>
      </c>
      <c r="J69" s="1101" t="str">
        <f t="shared" si="19"/>
        <v>2023-1</v>
      </c>
      <c r="K69" s="1101" t="str">
        <f t="shared" si="19"/>
        <v>2022-4</v>
      </c>
      <c r="L69" s="1101" t="str">
        <f t="shared" si="19"/>
        <v>2022-3</v>
      </c>
      <c r="M69" s="1101" t="str">
        <f t="shared" si="19"/>
        <v>2022-2</v>
      </c>
      <c r="N69" s="1101" t="str">
        <f t="shared" si="19"/>
        <v>2022-1</v>
      </c>
      <c r="O69" s="1101" t="str">
        <f t="shared" si="19"/>
        <v>2021-4</v>
      </c>
      <c r="P69" s="2511"/>
      <c r="Q69" s="2511"/>
      <c r="R69" s="2511"/>
      <c r="S69" s="2511"/>
      <c r="T69" s="2511"/>
      <c r="U69" s="2511"/>
      <c r="V69" s="2511"/>
      <c r="W69" s="2511"/>
      <c r="X69" s="2511"/>
      <c r="Y69" s="2511"/>
      <c r="Z69" s="2511"/>
      <c r="AA69" s="2511"/>
      <c r="AB69" s="2511"/>
      <c r="AC69" s="2511"/>
    </row>
    <row r="70" spans="1:29" s="102" customFormat="1" ht="30" customHeight="1">
      <c r="A70" s="1837" t="s">
        <v>1904</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1715</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1680</v>
      </c>
      <c r="B72" s="444"/>
      <c r="C72" s="456" t="s">
        <v>1775</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1718</v>
      </c>
      <c r="B74" s="460" t="s">
        <v>1684</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1687</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1688</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1689</v>
      </c>
      <c r="B87" s="460" t="s">
        <v>1719</v>
      </c>
      <c r="C87" s="504" t="s">
        <v>1720</v>
      </c>
      <c r="D87" s="504" t="s">
        <v>1721</v>
      </c>
      <c r="E87" s="504" t="s">
        <v>1722</v>
      </c>
      <c r="F87" s="504" t="s">
        <v>1723</v>
      </c>
      <c r="G87" s="504" t="s">
        <v>1724</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1905</v>
      </c>
      <c r="C89" s="509" t="s">
        <v>1720</v>
      </c>
      <c r="D89" s="509" t="s">
        <v>1721</v>
      </c>
      <c r="E89" s="509" t="s">
        <v>1722</v>
      </c>
      <c r="F89" s="509" t="s">
        <v>1723</v>
      </c>
      <c r="G89" s="509" t="s">
        <v>1724</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1820</v>
      </c>
      <c r="C91" s="509" t="s">
        <v>1720</v>
      </c>
      <c r="D91" s="509" t="s">
        <v>1721</v>
      </c>
      <c r="E91" s="509" t="s">
        <v>1722</v>
      </c>
      <c r="F91" s="509" t="s">
        <v>1723</v>
      </c>
      <c r="G91" s="509" t="s">
        <v>1724</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1725</v>
      </c>
      <c r="C93" s="509" t="s">
        <v>1720</v>
      </c>
      <c r="D93" s="509" t="s">
        <v>1721</v>
      </c>
      <c r="E93" s="509" t="s">
        <v>1722</v>
      </c>
      <c r="F93" s="509" t="s">
        <v>1723</v>
      </c>
      <c r="G93" s="509" t="s">
        <v>1724</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1906</v>
      </c>
      <c r="C95" s="509" t="s">
        <v>1720</v>
      </c>
      <c r="D95" s="509" t="s">
        <v>1721</v>
      </c>
      <c r="E95" s="509" t="s">
        <v>1722</v>
      </c>
      <c r="F95" s="509" t="s">
        <v>1723</v>
      </c>
      <c r="G95" s="509" t="s">
        <v>1724</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1907</v>
      </c>
      <c r="C97" s="504" t="s">
        <v>1720</v>
      </c>
      <c r="D97" s="504" t="s">
        <v>1721</v>
      </c>
      <c r="E97" s="504" t="s">
        <v>1722</v>
      </c>
      <c r="F97" s="504" t="s">
        <v>1723</v>
      </c>
      <c r="G97" s="504" t="s">
        <v>1724</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1777</v>
      </c>
      <c r="C99" s="504" t="s">
        <v>1720</v>
      </c>
      <c r="D99" s="504" t="s">
        <v>1721</v>
      </c>
      <c r="E99" s="504" t="s">
        <v>1722</v>
      </c>
      <c r="F99" s="504" t="s">
        <v>1723</v>
      </c>
      <c r="G99" s="504" t="s">
        <v>1724</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1778</v>
      </c>
      <c r="C101" s="581" t="s">
        <v>1798</v>
      </c>
      <c r="D101" s="581" t="s">
        <v>1799</v>
      </c>
      <c r="E101" s="581" t="s">
        <v>1800</v>
      </c>
      <c r="F101" s="581" t="s">
        <v>1801</v>
      </c>
      <c r="G101" s="581" t="s">
        <v>1802</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1908</v>
      </c>
      <c r="D103" s="470" t="s">
        <v>1909</v>
      </c>
      <c r="E103" s="470" t="s">
        <v>1910</v>
      </c>
      <c r="F103" s="470" t="s">
        <v>1911</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1814</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1872</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1693</v>
      </c>
      <c r="B115" s="460" t="s">
        <v>1912</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1913</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1914</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1915</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1916</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14" priority="13" stopIfTrue="1">
      <formula>$F$51="超过30%"</formula>
    </cfRule>
  </conditionalFormatting>
  <conditionalFormatting sqref="E52">
    <cfRule type="expression" dxfId="13" priority="11" stopIfTrue="1">
      <formula>$F$52="超过20%"</formula>
    </cfRule>
  </conditionalFormatting>
  <conditionalFormatting sqref="E53">
    <cfRule type="expression" dxfId="12" priority="10" stopIfTrue="1">
      <formula>$F$53="超过30%"</formula>
    </cfRule>
  </conditionalFormatting>
  <conditionalFormatting sqref="F7:F45 H7:H45 J7:J45">
    <cfRule type="cellIs" dxfId="11" priority="1" operator="notEqual">
      <formula>100</formula>
    </cfRule>
  </conditionalFormatting>
  <conditionalFormatting sqref="F47">
    <cfRule type="expression" dxfId="10" priority="4">
      <formula>$D$47="简单平均"</formula>
    </cfRule>
  </conditionalFormatting>
  <conditionalFormatting sqref="F51:F53 H51:H53 J51:J53">
    <cfRule type="containsText" dxfId="9" priority="14" stopIfTrue="1" operator="containsText" text="超过">
      <formula>NOT(ISERROR(SEARCH("超过",F51)))</formula>
    </cfRule>
  </conditionalFormatting>
  <conditionalFormatting sqref="G51">
    <cfRule type="expression" dxfId="8" priority="9" stopIfTrue="1">
      <formula>$H$53+$H$51="超过30%"</formula>
    </cfRule>
  </conditionalFormatting>
  <conditionalFormatting sqref="G52">
    <cfRule type="expression" dxfId="7" priority="8" stopIfTrue="1">
      <formula>$H$52="超过20%"</formula>
    </cfRule>
  </conditionalFormatting>
  <conditionalFormatting sqref="G53">
    <cfRule type="expression" dxfId="6" priority="12" stopIfTrue="1">
      <formula>$H$53="超过30%"</formula>
    </cfRule>
  </conditionalFormatting>
  <conditionalFormatting sqref="H47">
    <cfRule type="expression" dxfId="5" priority="3">
      <formula>$D$47="简单平均"</formula>
    </cfRule>
  </conditionalFormatting>
  <conditionalFormatting sqref="I51">
    <cfRule type="expression" dxfId="4" priority="7" stopIfTrue="1">
      <formula>$J$51="超过30%"</formula>
    </cfRule>
  </conditionalFormatting>
  <conditionalFormatting sqref="I52">
    <cfRule type="expression" dxfId="3" priority="6" stopIfTrue="1">
      <formula>$J$52="超过20%"</formula>
    </cfRule>
  </conditionalFormatting>
  <conditionalFormatting sqref="I53">
    <cfRule type="expression" dxfId="2" priority="5" stopIfTrue="1">
      <formula>$J$53="超过30%"</formula>
    </cfRule>
  </conditionalFormatting>
  <conditionalFormatting sqref="J47">
    <cfRule type="expression" dxfId="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I8" sqref="I8:J8"/>
      <selection pane="bottomLeft" activeCell="I8" sqref="I8:J8"/>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2081</v>
      </c>
      <c r="C1" s="3459" t="s">
        <v>2082</v>
      </c>
      <c r="D1" s="3460"/>
      <c r="E1" s="3460"/>
      <c r="F1" s="3460"/>
      <c r="G1" s="3460"/>
      <c r="H1" s="3460"/>
      <c r="I1" s="3460"/>
      <c r="J1" s="3460"/>
      <c r="K1" s="3460"/>
      <c r="L1" s="3460"/>
      <c r="M1" s="3460"/>
      <c r="N1" s="3460"/>
      <c r="O1" s="3460"/>
      <c r="P1" s="3460"/>
      <c r="Q1" s="3460"/>
      <c r="R1" s="3460"/>
      <c r="S1" s="3461"/>
      <c r="T1" s="929" t="s">
        <v>2083</v>
      </c>
    </row>
    <row r="2" spans="1:45" s="625" customFormat="1">
      <c r="A2" s="930"/>
      <c r="B2" s="622" t="s">
        <v>2084</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2085</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2086</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2087</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2088</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2089</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2090</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2091</v>
      </c>
      <c r="B17" s="1987" t="s">
        <v>2092</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2093</v>
      </c>
      <c r="E19" s="1253"/>
      <c r="F19" s="1253"/>
      <c r="G19" s="1253"/>
      <c r="H19" s="996"/>
      <c r="I19" s="151"/>
      <c r="J19" s="151"/>
      <c r="K19" s="151"/>
      <c r="L19" s="151"/>
      <c r="M19" s="151"/>
      <c r="N19" s="151"/>
      <c r="O19" s="151"/>
      <c r="P19" s="151"/>
      <c r="Q19" s="151"/>
      <c r="R19" s="151"/>
      <c r="S19" s="121"/>
    </row>
    <row r="20" spans="1:45" ht="16.5" thickBot="1">
      <c r="A20" s="632" t="s">
        <v>2094</v>
      </c>
      <c r="B20" s="286" t="e">
        <f ca="1">IF(D20="——",S22,S22-F20)</f>
        <v>#REF!</v>
      </c>
      <c r="C20" s="151"/>
      <c r="D20" s="1989"/>
      <c r="E20" s="1254"/>
      <c r="F20" s="929" t="e">
        <f ca="1">SUMIF(INDIRECT("'"&amp;H20&amp;"'"&amp;"!A:A"),"承租人权益价值",INDIRECT("'"&amp;H20&amp;"'"&amp;"!c:c"))</f>
        <v>#REF!</v>
      </c>
      <c r="G20" s="929" t="s">
        <v>2095</v>
      </c>
      <c r="H20" s="1990"/>
      <c r="I20" s="151"/>
      <c r="J20" s="151"/>
      <c r="K20" s="151"/>
      <c r="L20" s="151"/>
      <c r="M20" s="151"/>
      <c r="N20" s="151"/>
      <c r="O20" s="151"/>
      <c r="P20" s="151"/>
      <c r="Q20" s="151"/>
      <c r="R20" s="151"/>
      <c r="S20" s="121"/>
    </row>
    <row r="21" spans="1:45" ht="15.75">
      <c r="A21" s="632" t="s">
        <v>2096</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2097</v>
      </c>
      <c r="B22" s="21">
        <f>SUM(B24:B10000)</f>
        <v>0</v>
      </c>
      <c r="C22" s="3456" t="s">
        <v>27</v>
      </c>
      <c r="D22" s="3457"/>
      <c r="E22" s="3457"/>
      <c r="F22" s="3457"/>
      <c r="G22" s="3457"/>
      <c r="H22" s="3457"/>
      <c r="I22" s="3457"/>
      <c r="J22" s="3457"/>
      <c r="K22" s="3457"/>
      <c r="L22" s="3457"/>
      <c r="M22" s="3457"/>
      <c r="N22" s="3457"/>
      <c r="O22" s="3457"/>
      <c r="P22" s="3457"/>
      <c r="Q22" s="3458"/>
      <c r="R22" s="21" t="e">
        <f>ROUND(S22*10000/B22,0)</f>
        <v>#DIV/0!</v>
      </c>
      <c r="S22" s="21">
        <f>SUM(S24:S10000)</f>
        <v>0</v>
      </c>
    </row>
    <row r="23" spans="1:45" s="9" customFormat="1" ht="24">
      <c r="A23" s="8" t="s">
        <v>2098</v>
      </c>
      <c r="B23" s="8" t="s">
        <v>2099</v>
      </c>
      <c r="C23" s="8" t="s">
        <v>2100</v>
      </c>
      <c r="D23" s="8" t="str">
        <f>B5</f>
        <v>修正项2</v>
      </c>
      <c r="E23" s="8" t="s">
        <v>2100</v>
      </c>
      <c r="F23" s="8" t="str">
        <f>B7</f>
        <v>修正项3</v>
      </c>
      <c r="G23" s="8" t="s">
        <v>2100</v>
      </c>
      <c r="H23" s="8" t="str">
        <f>B9</f>
        <v>修正项4</v>
      </c>
      <c r="I23" s="8" t="s">
        <v>2100</v>
      </c>
      <c r="J23" s="8" t="str">
        <f>B11</f>
        <v>修正项5</v>
      </c>
      <c r="K23" s="8" t="s">
        <v>2100</v>
      </c>
      <c r="L23" s="8" t="str">
        <f>B13</f>
        <v>修正项6</v>
      </c>
      <c r="M23" s="8" t="s">
        <v>2100</v>
      </c>
      <c r="N23" s="8" t="str">
        <f>B15</f>
        <v>修正项7</v>
      </c>
      <c r="O23" s="8" t="s">
        <v>2100</v>
      </c>
      <c r="P23" s="8" t="str">
        <f>B17</f>
        <v>楼层</v>
      </c>
      <c r="Q23" s="8" t="s">
        <v>2100</v>
      </c>
      <c r="R23" s="8" t="s">
        <v>2101</v>
      </c>
      <c r="S23" s="8" t="s">
        <v>2102</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2103</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I8" sqref="I8:J8"/>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2079</v>
      </c>
      <c r="B1" s="4"/>
      <c r="C1" s="4"/>
      <c r="D1" s="4"/>
      <c r="E1" s="4"/>
      <c r="F1" s="2545"/>
      <c r="G1" s="2545"/>
      <c r="H1" s="2545"/>
      <c r="I1" s="2545"/>
      <c r="J1" s="2545"/>
      <c r="K1" s="2545"/>
      <c r="L1" s="2545"/>
      <c r="M1" s="2545"/>
      <c r="N1" s="2545"/>
      <c r="O1" s="2545"/>
      <c r="P1" s="2545"/>
    </row>
    <row r="2" spans="1:16" ht="15.75">
      <c r="A2" s="1984" t="s">
        <v>2071</v>
      </c>
      <c r="B2" s="2388">
        <f ca="1">SUMIF(B6:B13,"&lt;&gt;#ref!",B6:B13)</f>
        <v>6108</v>
      </c>
      <c r="C2" s="1984" t="s">
        <v>2072</v>
      </c>
      <c r="D2" s="1984" t="s">
        <v>2073</v>
      </c>
      <c r="E2" s="2398">
        <f ca="1">SUMIF(E6:E13,"&lt;&gt;#ref!",E6:E13)</f>
        <v>66288.099999999991</v>
      </c>
      <c r="F2" s="2545"/>
      <c r="G2" s="2545"/>
      <c r="H2" s="2545"/>
      <c r="I2" s="2545"/>
      <c r="J2" s="2545"/>
      <c r="K2" s="2545"/>
      <c r="L2" s="2545"/>
      <c r="M2" s="2545"/>
      <c r="N2" s="2545"/>
      <c r="O2" s="2545"/>
      <c r="P2" s="2545"/>
    </row>
    <row r="3" spans="1:16" ht="15.75">
      <c r="A3" s="1984" t="s">
        <v>2074</v>
      </c>
      <c r="B3" s="2388">
        <f ca="1">ROUND(B2*10000/E2,0)</f>
        <v>921</v>
      </c>
      <c r="C3" s="1984" t="s">
        <v>2080</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2075</v>
      </c>
      <c r="B5" s="2396" t="s">
        <v>2076</v>
      </c>
      <c r="C5" s="1985"/>
      <c r="D5" s="2545"/>
      <c r="E5" s="2397" t="s">
        <v>2077</v>
      </c>
      <c r="F5" s="2545"/>
      <c r="G5" s="2545"/>
      <c r="H5" s="2545"/>
      <c r="I5" s="2545"/>
      <c r="J5" s="2545"/>
      <c r="K5" s="2545"/>
      <c r="L5" s="2545"/>
      <c r="M5" s="2545"/>
      <c r="N5" s="2545"/>
      <c r="O5" s="2545"/>
      <c r="P5" s="2545"/>
    </row>
    <row r="6" spans="1:16" ht="15.75">
      <c r="A6" s="2395" t="s">
        <v>2078</v>
      </c>
      <c r="B6" s="2388">
        <f ca="1">SUMIF(INDIRECT("'"&amp;A6&amp;"'"&amp;"!A:A"),"总价",INDIRECT("'"&amp;A6&amp;"'"&amp;"!B:B"))</f>
        <v>6108</v>
      </c>
      <c r="C6" s="1984" t="s">
        <v>2072</v>
      </c>
      <c r="D6" s="2545"/>
      <c r="E6" s="2398">
        <f ca="1">SUMIF(INDIRECT("'"&amp;A6&amp;"'"&amp;"!C:C"),"建筑面积",INDIRECT("'"&amp;A6&amp;"'"&amp;"!D:D"))</f>
        <v>66288.099999999991</v>
      </c>
      <c r="F6" s="2545"/>
      <c r="G6" s="2545"/>
      <c r="H6" s="2545"/>
      <c r="I6" s="2545"/>
      <c r="J6" s="2545"/>
      <c r="K6" s="2545"/>
      <c r="L6" s="2545"/>
      <c r="M6" s="2545"/>
      <c r="N6" s="2545"/>
      <c r="O6" s="2545"/>
      <c r="P6" s="2545"/>
    </row>
    <row r="7" spans="1:16" ht="15.75">
      <c r="A7" s="2395"/>
      <c r="B7" s="2388" t="e">
        <f ca="1">SUMIF(INDIRECT("'"&amp;A7&amp;"'"&amp;"!A:A"),"总价",INDIRECT("'"&amp;A7&amp;"'"&amp;"!B:B"))</f>
        <v>#REF!</v>
      </c>
      <c r="C7" s="1984" t="s">
        <v>2072</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2072</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2072</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2072</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2072</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2072</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2072</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2585</v>
      </c>
      <c r="B1" s="2812" t="s">
        <v>2586</v>
      </c>
      <c r="C1" s="2812" t="s">
        <v>2587</v>
      </c>
      <c r="D1" s="2812" t="s">
        <v>2588</v>
      </c>
      <c r="E1" s="2812" t="s">
        <v>2589</v>
      </c>
      <c r="F1" s="2812" t="s">
        <v>2590</v>
      </c>
      <c r="G1" s="2812" t="s">
        <v>2591</v>
      </c>
      <c r="H1" s="2812" t="s">
        <v>2592</v>
      </c>
      <c r="I1" s="2812" t="s">
        <v>2593</v>
      </c>
      <c r="J1" s="2812" t="s">
        <v>2594</v>
      </c>
      <c r="K1" s="2812" t="s">
        <v>2595</v>
      </c>
      <c r="L1" s="2812" t="s">
        <v>2596</v>
      </c>
      <c r="M1" s="2813" t="s">
        <v>2597</v>
      </c>
    </row>
    <row r="2" spans="1:13" ht="19.5" customHeight="1">
      <c r="A2" s="2815" t="s">
        <v>2598</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2599</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2600</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2601</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2602</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2603</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2604</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2605</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2606</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2607</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2608</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2609</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2610</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2611</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2612</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2613</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2614</v>
      </c>
      <c r="B18" s="2837"/>
      <c r="C18" s="2838"/>
      <c r="D18" s="2838"/>
      <c r="E18" s="2837"/>
      <c r="F18" s="2838"/>
      <c r="G18" s="2838"/>
    </row>
    <row r="19" spans="1:13" ht="19.5" customHeight="1" thickBot="1">
      <c r="A19" s="2835" t="s">
        <v>2615</v>
      </c>
      <c r="B19" s="2840" t="s">
        <v>2616</v>
      </c>
      <c r="C19" s="2840" t="s">
        <v>2617</v>
      </c>
      <c r="D19" s="2841"/>
      <c r="E19" s="2835" t="s">
        <v>2618</v>
      </c>
      <c r="F19" s="2842"/>
      <c r="G19" s="2842"/>
    </row>
    <row r="20" spans="1:13" ht="19.5" customHeight="1">
      <c r="A20" s="3471" t="s">
        <v>2598</v>
      </c>
      <c r="B20" s="3466" t="s">
        <v>2619</v>
      </c>
      <c r="C20" s="2843" t="s">
        <v>2430</v>
      </c>
      <c r="D20" s="2844"/>
      <c r="E20" s="2845">
        <v>1</v>
      </c>
      <c r="F20" s="2846" t="s">
        <v>2431</v>
      </c>
      <c r="G20" s="2846"/>
    </row>
    <row r="21" spans="1:13" ht="19.5" customHeight="1">
      <c r="A21" s="3472"/>
      <c r="B21" s="3465"/>
      <c r="C21" s="2847" t="s">
        <v>2432</v>
      </c>
      <c r="D21" s="2848"/>
      <c r="E21" s="2849">
        <v>1</v>
      </c>
      <c r="F21" s="2846" t="s">
        <v>2433</v>
      </c>
      <c r="G21" s="2846"/>
    </row>
    <row r="22" spans="1:13" ht="19.5" customHeight="1">
      <c r="A22" s="3472"/>
      <c r="B22" s="3465"/>
      <c r="C22" s="2847" t="s">
        <v>2434</v>
      </c>
      <c r="D22" s="2848"/>
      <c r="E22" s="2849">
        <v>0.9</v>
      </c>
      <c r="F22" s="2846" t="s">
        <v>2435</v>
      </c>
      <c r="G22" s="2846"/>
    </row>
    <row r="23" spans="1:13" ht="19.5" customHeight="1">
      <c r="A23" s="3472"/>
      <c r="B23" s="3465"/>
      <c r="C23" s="2847" t="s">
        <v>2436</v>
      </c>
      <c r="D23" s="2848"/>
      <c r="E23" s="2849">
        <v>0.9</v>
      </c>
      <c r="F23" s="2846" t="s">
        <v>2437</v>
      </c>
      <c r="G23" s="2846"/>
    </row>
    <row r="24" spans="1:13" ht="19.5" customHeight="1">
      <c r="A24" s="3472"/>
      <c r="B24" s="3465"/>
      <c r="C24" s="2847" t="s">
        <v>2438</v>
      </c>
      <c r="D24" s="2848"/>
      <c r="E24" s="2849">
        <v>0.8</v>
      </c>
      <c r="F24" s="2846" t="s">
        <v>2439</v>
      </c>
      <c r="G24" s="2846"/>
    </row>
    <row r="25" spans="1:13" ht="19.5" customHeight="1" thickBot="1">
      <c r="A25" s="3473"/>
      <c r="B25" s="3467"/>
      <c r="C25" s="2850" t="s">
        <v>2440</v>
      </c>
      <c r="D25" s="2851"/>
      <c r="E25" s="2852">
        <v>0.8</v>
      </c>
      <c r="F25" s="2846" t="s">
        <v>2441</v>
      </c>
      <c r="G25" s="2846"/>
    </row>
    <row r="26" spans="1:13" ht="19.5" customHeight="1" thickBot="1">
      <c r="A26" s="2853" t="s">
        <v>2620</v>
      </c>
      <c r="B26" s="2854" t="s">
        <v>2619</v>
      </c>
      <c r="C26" s="2855" t="s">
        <v>2621</v>
      </c>
      <c r="D26" s="2856"/>
      <c r="E26" s="2857">
        <v>1</v>
      </c>
      <c r="F26" s="2846" t="s">
        <v>2442</v>
      </c>
      <c r="G26" s="2846"/>
    </row>
    <row r="27" spans="1:13" ht="19.5" customHeight="1">
      <c r="A27" s="3468" t="s">
        <v>2622</v>
      </c>
      <c r="B27" s="3466" t="s">
        <v>2603</v>
      </c>
      <c r="C27" s="2843" t="s">
        <v>2443</v>
      </c>
      <c r="D27" s="2844"/>
      <c r="E27" s="2845">
        <v>1</v>
      </c>
      <c r="F27" s="2846" t="s">
        <v>2444</v>
      </c>
      <c r="G27" s="2846"/>
    </row>
    <row r="28" spans="1:13" ht="19.5" customHeight="1">
      <c r="A28" s="3469"/>
      <c r="B28" s="3465"/>
      <c r="C28" s="2847" t="s">
        <v>2445</v>
      </c>
      <c r="D28" s="2848"/>
      <c r="E28" s="2849">
        <v>1</v>
      </c>
      <c r="F28" s="2846" t="s">
        <v>2446</v>
      </c>
      <c r="G28" s="2846"/>
    </row>
    <row r="29" spans="1:13" ht="19.5" customHeight="1">
      <c r="A29" s="3469"/>
      <c r="B29" s="3465"/>
      <c r="C29" s="2847" t="s">
        <v>2447</v>
      </c>
      <c r="D29" s="2848"/>
      <c r="E29" s="2849">
        <v>0.8</v>
      </c>
      <c r="F29" s="2846" t="s">
        <v>2448</v>
      </c>
      <c r="G29" s="2846"/>
    </row>
    <row r="30" spans="1:13" ht="19.5" customHeight="1">
      <c r="A30" s="3469"/>
      <c r="B30" s="3465"/>
      <c r="C30" s="2847" t="s">
        <v>2449</v>
      </c>
      <c r="D30" s="2848"/>
      <c r="E30" s="2849">
        <v>0.8</v>
      </c>
      <c r="F30" s="2846" t="s">
        <v>2450</v>
      </c>
      <c r="G30" s="2846"/>
    </row>
    <row r="31" spans="1:13" ht="19.5" customHeight="1">
      <c r="A31" s="3469"/>
      <c r="B31" s="3465"/>
      <c r="C31" s="2847" t="s">
        <v>2451</v>
      </c>
      <c r="D31" s="2848"/>
      <c r="E31" s="2849">
        <v>0.8</v>
      </c>
      <c r="F31" s="2846" t="s">
        <v>2452</v>
      </c>
      <c r="G31" s="2846"/>
    </row>
    <row r="32" spans="1:13" ht="19.5" customHeight="1">
      <c r="A32" s="3469"/>
      <c r="B32" s="3465"/>
      <c r="C32" s="2847" t="s">
        <v>2453</v>
      </c>
      <c r="D32" s="2848"/>
      <c r="E32" s="2849">
        <v>0.7</v>
      </c>
      <c r="F32" s="2846" t="s">
        <v>2454</v>
      </c>
      <c r="G32" s="2846"/>
    </row>
    <row r="33" spans="1:7" ht="19.5" customHeight="1">
      <c r="A33" s="3469"/>
      <c r="B33" s="3465"/>
      <c r="C33" s="2847" t="s">
        <v>2455</v>
      </c>
      <c r="D33" s="2848"/>
      <c r="E33" s="2849">
        <v>0.8</v>
      </c>
      <c r="F33" s="2846" t="s">
        <v>2456</v>
      </c>
      <c r="G33" s="2846"/>
    </row>
    <row r="34" spans="1:7" ht="19.5" customHeight="1">
      <c r="A34" s="3469"/>
      <c r="B34" s="3465"/>
      <c r="C34" s="2847" t="s">
        <v>2457</v>
      </c>
      <c r="D34" s="2848"/>
      <c r="E34" s="2849">
        <v>0.6</v>
      </c>
      <c r="F34" s="2846" t="s">
        <v>2458</v>
      </c>
      <c r="G34" s="2846"/>
    </row>
    <row r="35" spans="1:7" ht="19.5" customHeight="1">
      <c r="A35" s="3469"/>
      <c r="B35" s="3465"/>
      <c r="C35" s="2847" t="s">
        <v>2459</v>
      </c>
      <c r="D35" s="2848"/>
      <c r="E35" s="2849">
        <v>0.2</v>
      </c>
      <c r="F35" s="2846" t="s">
        <v>2460</v>
      </c>
      <c r="G35" s="2846"/>
    </row>
    <row r="36" spans="1:7" ht="19.5" customHeight="1">
      <c r="A36" s="3469"/>
      <c r="B36" s="3465"/>
      <c r="C36" s="2847" t="s">
        <v>2461</v>
      </c>
      <c r="D36" s="2848"/>
      <c r="E36" s="2849">
        <v>0.2</v>
      </c>
      <c r="F36" s="2846" t="s">
        <v>2462</v>
      </c>
      <c r="G36" s="2846"/>
    </row>
    <row r="37" spans="1:7" ht="19.5" customHeight="1">
      <c r="A37" s="3469"/>
      <c r="B37" s="3463" t="s">
        <v>2623</v>
      </c>
      <c r="C37" s="2847" t="s">
        <v>2463</v>
      </c>
      <c r="D37" s="2848"/>
      <c r="E37" s="2849">
        <v>0.6</v>
      </c>
      <c r="F37" s="2846" t="s">
        <v>2464</v>
      </c>
      <c r="G37" s="2846"/>
    </row>
    <row r="38" spans="1:7" ht="19.5" customHeight="1">
      <c r="A38" s="3469"/>
      <c r="B38" s="3465"/>
      <c r="C38" s="2847" t="s">
        <v>2465</v>
      </c>
      <c r="D38" s="2848"/>
      <c r="E38" s="2849">
        <v>0.6</v>
      </c>
      <c r="F38" s="2846" t="s">
        <v>2466</v>
      </c>
      <c r="G38" s="2846"/>
    </row>
    <row r="39" spans="1:7" ht="19.5" customHeight="1" thickBot="1">
      <c r="A39" s="3470"/>
      <c r="B39" s="3467"/>
      <c r="C39" s="2850" t="s">
        <v>2467</v>
      </c>
      <c r="D39" s="2851"/>
      <c r="E39" s="2852">
        <v>0.6</v>
      </c>
      <c r="F39" s="2846" t="s">
        <v>2468</v>
      </c>
      <c r="G39" s="2846"/>
    </row>
    <row r="40" spans="1:7" ht="19.5" customHeight="1" thickBot="1">
      <c r="A40" s="2853" t="s">
        <v>2600</v>
      </c>
      <c r="B40" s="2854" t="s">
        <v>2600</v>
      </c>
      <c r="C40" s="2855" t="s">
        <v>2624</v>
      </c>
      <c r="D40" s="2856"/>
      <c r="E40" s="2857">
        <v>1</v>
      </c>
      <c r="F40" s="2846" t="s">
        <v>2469</v>
      </c>
      <c r="G40" s="2846"/>
    </row>
    <row r="41" spans="1:7" ht="19.5" customHeight="1">
      <c r="A41" s="3471" t="s">
        <v>2601</v>
      </c>
      <c r="B41" s="3466" t="s">
        <v>2625</v>
      </c>
      <c r="C41" s="2843" t="s">
        <v>2470</v>
      </c>
      <c r="D41" s="2844"/>
      <c r="E41" s="2845">
        <v>1</v>
      </c>
      <c r="F41" s="2846" t="s">
        <v>2471</v>
      </c>
      <c r="G41" s="2846"/>
    </row>
    <row r="42" spans="1:7" ht="19.5" customHeight="1">
      <c r="A42" s="3472"/>
      <c r="B42" s="3465"/>
      <c r="C42" s="2847" t="s">
        <v>2472</v>
      </c>
      <c r="D42" s="2848"/>
      <c r="E42" s="2849">
        <v>1</v>
      </c>
      <c r="F42" s="2846" t="s">
        <v>2473</v>
      </c>
      <c r="G42" s="2846"/>
    </row>
    <row r="43" spans="1:7" ht="19.5" customHeight="1">
      <c r="A43" s="3472"/>
      <c r="B43" s="3464"/>
      <c r="C43" s="2847" t="s">
        <v>2474</v>
      </c>
      <c r="D43" s="2848"/>
      <c r="E43" s="2849">
        <v>1.5</v>
      </c>
      <c r="F43" s="2846" t="s">
        <v>2475</v>
      </c>
      <c r="G43" s="2846"/>
    </row>
    <row r="44" spans="1:7" ht="19.5" customHeight="1">
      <c r="A44" s="3472"/>
      <c r="B44" s="2858" t="s">
        <v>2626</v>
      </c>
      <c r="C44" s="2847" t="s">
        <v>2627</v>
      </c>
      <c r="D44" s="2848"/>
      <c r="E44" s="2849">
        <v>2</v>
      </c>
      <c r="F44" s="2846" t="s">
        <v>2476</v>
      </c>
      <c r="G44" s="2846"/>
    </row>
    <row r="45" spans="1:7" ht="19.5" customHeight="1">
      <c r="A45" s="3472"/>
      <c r="B45" s="3463" t="s">
        <v>2628</v>
      </c>
      <c r="C45" s="2847" t="s">
        <v>2477</v>
      </c>
      <c r="D45" s="2848"/>
      <c r="E45" s="2849">
        <v>1</v>
      </c>
      <c r="F45" s="2846" t="s">
        <v>2478</v>
      </c>
      <c r="G45" s="2846"/>
    </row>
    <row r="46" spans="1:7" ht="19.5" customHeight="1">
      <c r="A46" s="3472"/>
      <c r="B46" s="3465"/>
      <c r="C46" s="2847" t="s">
        <v>2479</v>
      </c>
      <c r="D46" s="2848"/>
      <c r="E46" s="2849">
        <v>1</v>
      </c>
      <c r="F46" s="2846" t="s">
        <v>2480</v>
      </c>
      <c r="G46" s="2846"/>
    </row>
    <row r="47" spans="1:7" ht="19.5" customHeight="1">
      <c r="A47" s="3472"/>
      <c r="B47" s="3465"/>
      <c r="C47" s="2847" t="s">
        <v>2481</v>
      </c>
      <c r="D47" s="2848"/>
      <c r="E47" s="2849">
        <v>1</v>
      </c>
      <c r="F47" s="2846" t="s">
        <v>2482</v>
      </c>
      <c r="G47" s="2846"/>
    </row>
    <row r="48" spans="1:7" ht="19.5" customHeight="1">
      <c r="A48" s="3472"/>
      <c r="B48" s="3465"/>
      <c r="C48" s="2847" t="s">
        <v>2483</v>
      </c>
      <c r="D48" s="2848"/>
      <c r="E48" s="2849">
        <v>1</v>
      </c>
      <c r="F48" s="2846" t="s">
        <v>2484</v>
      </c>
      <c r="G48" s="2846"/>
    </row>
    <row r="49" spans="1:7" ht="19.5" customHeight="1">
      <c r="A49" s="3472"/>
      <c r="B49" s="3465"/>
      <c r="C49" s="2847" t="s">
        <v>2485</v>
      </c>
      <c r="D49" s="2848"/>
      <c r="E49" s="2849">
        <v>1</v>
      </c>
      <c r="F49" s="2846" t="s">
        <v>2486</v>
      </c>
      <c r="G49" s="2846"/>
    </row>
    <row r="50" spans="1:7" ht="19.5" customHeight="1">
      <c r="A50" s="3472"/>
      <c r="B50" s="3465"/>
      <c r="C50" s="2847" t="s">
        <v>2487</v>
      </c>
      <c r="D50" s="2848"/>
      <c r="E50" s="2849">
        <v>1</v>
      </c>
      <c r="F50" s="2846" t="s">
        <v>2488</v>
      </c>
      <c r="G50" s="2846"/>
    </row>
    <row r="51" spans="1:7" ht="19.5" customHeight="1" thickBot="1">
      <c r="A51" s="3473"/>
      <c r="B51" s="3467"/>
      <c r="C51" s="2850" t="s">
        <v>2489</v>
      </c>
      <c r="D51" s="2851"/>
      <c r="E51" s="2852">
        <v>1</v>
      </c>
      <c r="F51" s="2846" t="s">
        <v>2490</v>
      </c>
      <c r="G51" s="2846"/>
    </row>
    <row r="52" spans="1:7" ht="19.5" customHeight="1">
      <c r="A52" s="2859"/>
      <c r="B52" s="2859"/>
      <c r="C52" s="2859"/>
      <c r="D52" s="2859"/>
      <c r="E52" s="2859"/>
      <c r="F52" s="2859"/>
      <c r="G52" s="2859"/>
    </row>
    <row r="54" spans="1:7" ht="19.5" customHeight="1">
      <c r="A54" s="2860"/>
      <c r="B54" s="2832" t="s">
        <v>2629</v>
      </c>
      <c r="C54" s="2832" t="s">
        <v>2629</v>
      </c>
      <c r="D54" s="2832" t="s">
        <v>2629</v>
      </c>
      <c r="E54" s="2835" t="s">
        <v>2629</v>
      </c>
      <c r="F54" s="2835" t="s">
        <v>2630</v>
      </c>
      <c r="G54" s="2835" t="s">
        <v>2631</v>
      </c>
    </row>
    <row r="55" spans="1:7" ht="19.5" customHeight="1">
      <c r="A55" s="2861"/>
      <c r="B55" s="2835" t="s">
        <v>2598</v>
      </c>
      <c r="C55" s="2835" t="s">
        <v>2598</v>
      </c>
      <c r="D55" s="2835" t="s">
        <v>2598</v>
      </c>
      <c r="E55" s="2832" t="s">
        <v>2599</v>
      </c>
      <c r="F55" s="2832" t="s">
        <v>2601</v>
      </c>
      <c r="G55" s="2832" t="s">
        <v>2632</v>
      </c>
    </row>
    <row r="56" spans="1:7" ht="19.5" customHeight="1">
      <c r="A56" s="2862"/>
      <c r="B56" s="2832">
        <v>1</v>
      </c>
      <c r="C56" s="2832">
        <v>2</v>
      </c>
      <c r="D56" s="2832">
        <v>3</v>
      </c>
      <c r="E56" s="2863" t="s">
        <v>2633</v>
      </c>
      <c r="F56" s="2863" t="s">
        <v>2633</v>
      </c>
      <c r="G56" s="2863" t="s">
        <v>2633</v>
      </c>
    </row>
    <row r="57" spans="1:7" ht="19.5" customHeight="1">
      <c r="A57" s="2864" t="s">
        <v>2586</v>
      </c>
      <c r="B57" s="2832">
        <v>0.7</v>
      </c>
      <c r="C57" s="2832">
        <v>0.4</v>
      </c>
      <c r="D57" s="2832">
        <v>0.3</v>
      </c>
      <c r="E57" s="2863">
        <v>0.3</v>
      </c>
      <c r="F57" s="2832">
        <v>0.3</v>
      </c>
      <c r="G57" s="2832">
        <v>0.2</v>
      </c>
    </row>
    <row r="58" spans="1:7" ht="19.5" customHeight="1">
      <c r="A58" s="2864" t="s">
        <v>2587</v>
      </c>
      <c r="B58" s="2832">
        <v>0.7</v>
      </c>
      <c r="C58" s="2832">
        <v>0.4</v>
      </c>
      <c r="D58" s="2832">
        <v>0.3</v>
      </c>
      <c r="E58" s="2832">
        <v>0.3</v>
      </c>
      <c r="F58" s="2832">
        <v>0.3</v>
      </c>
      <c r="G58" s="2832">
        <v>0.2</v>
      </c>
    </row>
    <row r="59" spans="1:7" ht="19.5" customHeight="1">
      <c r="A59" s="2864" t="s">
        <v>2588</v>
      </c>
      <c r="B59" s="2832">
        <v>0.6</v>
      </c>
      <c r="C59" s="2832">
        <v>0.3</v>
      </c>
      <c r="D59" s="2832">
        <v>0.25</v>
      </c>
      <c r="E59" s="2832">
        <v>0.25</v>
      </c>
      <c r="F59" s="2832">
        <v>0.25</v>
      </c>
      <c r="G59" s="2832">
        <v>0.15</v>
      </c>
    </row>
    <row r="60" spans="1:7" ht="19.5" customHeight="1">
      <c r="A60" s="2864" t="s">
        <v>2589</v>
      </c>
      <c r="B60" s="2832">
        <v>0.6</v>
      </c>
      <c r="C60" s="2832">
        <v>0.3</v>
      </c>
      <c r="D60" s="2832">
        <v>0.25</v>
      </c>
      <c r="E60" s="2832">
        <v>0.25</v>
      </c>
      <c r="F60" s="2832">
        <v>0.25</v>
      </c>
      <c r="G60" s="2832">
        <v>0.15</v>
      </c>
    </row>
    <row r="61" spans="1:7" ht="19.5" customHeight="1">
      <c r="A61" s="2864" t="s">
        <v>2590</v>
      </c>
      <c r="B61" s="2832">
        <v>0.6</v>
      </c>
      <c r="C61" s="2832">
        <v>0.3</v>
      </c>
      <c r="D61" s="2832">
        <v>0.25</v>
      </c>
      <c r="E61" s="2832">
        <v>0.25</v>
      </c>
      <c r="F61" s="2832">
        <v>0.25</v>
      </c>
      <c r="G61" s="2832">
        <v>0.15</v>
      </c>
    </row>
    <row r="62" spans="1:7" ht="19.5" customHeight="1">
      <c r="A62" s="2864" t="s">
        <v>2591</v>
      </c>
      <c r="B62" s="2832">
        <v>0.6</v>
      </c>
      <c r="C62" s="2832">
        <v>0.3</v>
      </c>
      <c r="D62" s="2832">
        <v>0.25</v>
      </c>
      <c r="E62" s="2832">
        <v>0.25</v>
      </c>
      <c r="F62" s="2832">
        <v>0.25</v>
      </c>
      <c r="G62" s="2832">
        <v>0.15</v>
      </c>
    </row>
    <row r="63" spans="1:7" ht="19.5" customHeight="1">
      <c r="A63" s="2864" t="s">
        <v>2592</v>
      </c>
      <c r="B63" s="2832">
        <v>0.6</v>
      </c>
      <c r="C63" s="2832">
        <v>0.3</v>
      </c>
      <c r="D63" s="2832">
        <v>0.25</v>
      </c>
      <c r="E63" s="2832">
        <v>0.25</v>
      </c>
      <c r="F63" s="2832">
        <v>0.25</v>
      </c>
      <c r="G63" s="2832">
        <v>0.15</v>
      </c>
    </row>
    <row r="64" spans="1:7" ht="19.5" customHeight="1">
      <c r="A64" s="2864" t="s">
        <v>2593</v>
      </c>
      <c r="B64" s="2832">
        <v>0.5</v>
      </c>
      <c r="C64" s="2832">
        <v>0.2</v>
      </c>
      <c r="D64" s="2832">
        <v>0.2</v>
      </c>
      <c r="E64" s="2832">
        <v>0.2</v>
      </c>
      <c r="F64" s="2832">
        <v>0.2</v>
      </c>
      <c r="G64" s="2832">
        <v>0.1</v>
      </c>
    </row>
    <row r="65" spans="1:7" ht="19.5" customHeight="1">
      <c r="A65" s="2864" t="s">
        <v>2594</v>
      </c>
      <c r="B65" s="2832">
        <v>0.5</v>
      </c>
      <c r="C65" s="2832">
        <v>0.2</v>
      </c>
      <c r="D65" s="2832">
        <v>0.2</v>
      </c>
      <c r="E65" s="2832">
        <v>0.2</v>
      </c>
      <c r="F65" s="2832">
        <v>0.2</v>
      </c>
      <c r="G65" s="2832">
        <v>0.1</v>
      </c>
    </row>
    <row r="66" spans="1:7" ht="19.5" customHeight="1">
      <c r="A66" s="2864" t="s">
        <v>2595</v>
      </c>
      <c r="B66" s="2832">
        <v>0.5</v>
      </c>
      <c r="C66" s="2832">
        <v>0.2</v>
      </c>
      <c r="D66" s="2832">
        <v>0.2</v>
      </c>
      <c r="E66" s="2832">
        <v>0.2</v>
      </c>
      <c r="F66" s="2832">
        <v>0.2</v>
      </c>
      <c r="G66" s="2832">
        <v>0.1</v>
      </c>
    </row>
    <row r="67" spans="1:7" ht="19.5" customHeight="1">
      <c r="A67" s="2864" t="s">
        <v>2596</v>
      </c>
      <c r="B67" s="2832">
        <v>0.5</v>
      </c>
      <c r="C67" s="2832">
        <v>0.2</v>
      </c>
      <c r="D67" s="2832">
        <v>0.2</v>
      </c>
      <c r="E67" s="2832">
        <v>0.2</v>
      </c>
      <c r="F67" s="2832">
        <v>0.2</v>
      </c>
      <c r="G67" s="2832">
        <v>0.1</v>
      </c>
    </row>
    <row r="68" spans="1:7" ht="19.5" customHeight="1">
      <c r="A68" s="2864" t="s">
        <v>2597</v>
      </c>
      <c r="B68" s="2832">
        <v>0.5</v>
      </c>
      <c r="C68" s="2832">
        <v>0.2</v>
      </c>
      <c r="D68" s="2832">
        <v>0.2</v>
      </c>
      <c r="E68" s="2832">
        <v>0.2</v>
      </c>
      <c r="F68" s="2832">
        <v>0.2</v>
      </c>
      <c r="G68" s="2832">
        <v>0.1</v>
      </c>
    </row>
    <row r="70" spans="1:7" ht="19.5" customHeight="1">
      <c r="A70" s="2846"/>
      <c r="B70" s="2865"/>
      <c r="C70" s="2865"/>
      <c r="D70" s="2865" t="s">
        <v>2634</v>
      </c>
      <c r="E70" s="2865"/>
      <c r="F70" s="2865"/>
    </row>
    <row r="71" spans="1:7" ht="19.5" customHeight="1">
      <c r="A71" s="2858" t="s">
        <v>2635</v>
      </c>
      <c r="B71" s="2858" t="s">
        <v>2636</v>
      </c>
      <c r="C71" s="2858" t="s">
        <v>2637</v>
      </c>
      <c r="D71" s="2858" t="s">
        <v>2638</v>
      </c>
      <c r="E71" s="2858" t="s">
        <v>2639</v>
      </c>
      <c r="F71" s="2858" t="s">
        <v>2640</v>
      </c>
    </row>
    <row r="72" spans="1:7" ht="13.5">
      <c r="A72" s="2858"/>
      <c r="B72" s="2858"/>
      <c r="C72" s="2858" t="s">
        <v>2641</v>
      </c>
      <c r="D72" s="2858"/>
      <c r="E72" s="2858" t="s">
        <v>2612</v>
      </c>
      <c r="F72" s="2858" t="s">
        <v>2612</v>
      </c>
    </row>
    <row r="73" spans="1:7" ht="13.5">
      <c r="A73" s="2858">
        <v>1</v>
      </c>
      <c r="B73" s="3463" t="s">
        <v>2642</v>
      </c>
      <c r="C73" s="2832" t="s">
        <v>2643</v>
      </c>
      <c r="D73" s="2832" t="s">
        <v>2644</v>
      </c>
      <c r="E73" s="2858">
        <v>0.2</v>
      </c>
      <c r="F73" s="2858">
        <v>25</v>
      </c>
    </row>
    <row r="74" spans="1:7" ht="24">
      <c r="A74" s="2858">
        <v>2</v>
      </c>
      <c r="B74" s="3465"/>
      <c r="C74" s="2832" t="s">
        <v>2645</v>
      </c>
      <c r="D74" s="2832" t="s">
        <v>2646</v>
      </c>
      <c r="E74" s="2858">
        <v>0.2</v>
      </c>
      <c r="F74" s="2858">
        <v>25</v>
      </c>
    </row>
    <row r="75" spans="1:7" ht="24">
      <c r="A75" s="2858">
        <v>3</v>
      </c>
      <c r="B75" s="3465"/>
      <c r="C75" s="2832" t="s">
        <v>2647</v>
      </c>
      <c r="D75" s="2832" t="s">
        <v>2648</v>
      </c>
      <c r="E75" s="2858">
        <v>0.2</v>
      </c>
      <c r="F75" s="2858">
        <v>25</v>
      </c>
    </row>
    <row r="76" spans="1:7" ht="13.5">
      <c r="A76" s="2858">
        <v>4</v>
      </c>
      <c r="B76" s="3465"/>
      <c r="C76" s="2832" t="s">
        <v>2649</v>
      </c>
      <c r="D76" s="2832" t="s">
        <v>2650</v>
      </c>
      <c r="E76" s="2858">
        <v>0.15</v>
      </c>
      <c r="F76" s="2858">
        <v>20</v>
      </c>
    </row>
    <row r="77" spans="1:7" ht="24">
      <c r="A77" s="2858">
        <v>5</v>
      </c>
      <c r="B77" s="3465"/>
      <c r="C77" s="2832" t="s">
        <v>2651</v>
      </c>
      <c r="D77" s="2832" t="s">
        <v>2652</v>
      </c>
      <c r="E77" s="2858">
        <v>0.15</v>
      </c>
      <c r="F77" s="2858">
        <v>20</v>
      </c>
    </row>
    <row r="78" spans="1:7" ht="24">
      <c r="A78" s="2858">
        <v>6</v>
      </c>
      <c r="B78" s="3465"/>
      <c r="C78" s="2832" t="s">
        <v>2653</v>
      </c>
      <c r="D78" s="2832" t="s">
        <v>2654</v>
      </c>
      <c r="E78" s="2858">
        <v>0.15</v>
      </c>
      <c r="F78" s="2858">
        <v>20</v>
      </c>
    </row>
    <row r="79" spans="1:7" ht="24">
      <c r="A79" s="2858">
        <v>7</v>
      </c>
      <c r="B79" s="3465"/>
      <c r="C79" s="2832" t="s">
        <v>2655</v>
      </c>
      <c r="D79" s="2832" t="s">
        <v>2656</v>
      </c>
      <c r="E79" s="2858">
        <v>0.15</v>
      </c>
      <c r="F79" s="2858">
        <v>20</v>
      </c>
    </row>
    <row r="80" spans="1:7" ht="24">
      <c r="A80" s="2858">
        <v>8</v>
      </c>
      <c r="B80" s="3465"/>
      <c r="C80" s="2832" t="s">
        <v>2657</v>
      </c>
      <c r="D80" s="2832" t="s">
        <v>2658</v>
      </c>
      <c r="E80" s="2858">
        <v>0.1</v>
      </c>
      <c r="F80" s="2858">
        <v>15</v>
      </c>
    </row>
    <row r="81" spans="1:6" ht="24">
      <c r="A81" s="2858">
        <v>9</v>
      </c>
      <c r="B81" s="3465"/>
      <c r="C81" s="2832" t="s">
        <v>2659</v>
      </c>
      <c r="D81" s="2832" t="s">
        <v>2660</v>
      </c>
      <c r="E81" s="2858">
        <v>0.1</v>
      </c>
      <c r="F81" s="2858">
        <v>15</v>
      </c>
    </row>
    <row r="82" spans="1:6" ht="24">
      <c r="A82" s="2858">
        <v>10</v>
      </c>
      <c r="B82" s="3465"/>
      <c r="C82" s="2832" t="s">
        <v>2661</v>
      </c>
      <c r="D82" s="2832" t="s">
        <v>2662</v>
      </c>
      <c r="E82" s="2858">
        <v>0.1</v>
      </c>
      <c r="F82" s="2858">
        <v>15</v>
      </c>
    </row>
    <row r="83" spans="1:6" ht="24">
      <c r="A83" s="2858">
        <v>11</v>
      </c>
      <c r="B83" s="3465"/>
      <c r="C83" s="2832" t="s">
        <v>2663</v>
      </c>
      <c r="D83" s="2832" t="s">
        <v>2664</v>
      </c>
      <c r="E83" s="2858">
        <v>0.1</v>
      </c>
      <c r="F83" s="2858">
        <v>15</v>
      </c>
    </row>
    <row r="84" spans="1:6" ht="24">
      <c r="A84" s="2858">
        <v>12</v>
      </c>
      <c r="B84" s="3465"/>
      <c r="C84" s="2832" t="s">
        <v>2665</v>
      </c>
      <c r="D84" s="2832" t="s">
        <v>2666</v>
      </c>
      <c r="E84" s="2858">
        <v>0.1</v>
      </c>
      <c r="F84" s="2858">
        <v>15</v>
      </c>
    </row>
    <row r="85" spans="1:6" ht="13.5">
      <c r="A85" s="2858">
        <v>13</v>
      </c>
      <c r="B85" s="3465"/>
      <c r="C85" s="2832" t="s">
        <v>2667</v>
      </c>
      <c r="D85" s="2832" t="s">
        <v>2668</v>
      </c>
      <c r="E85" s="2858">
        <v>0.1</v>
      </c>
      <c r="F85" s="2858">
        <v>15</v>
      </c>
    </row>
    <row r="86" spans="1:6" ht="13.5">
      <c r="A86" s="2858">
        <v>14</v>
      </c>
      <c r="B86" s="3465"/>
      <c r="C86" s="2832" t="s">
        <v>2669</v>
      </c>
      <c r="D86" s="2832" t="s">
        <v>2670</v>
      </c>
      <c r="E86" s="2858">
        <v>0.1</v>
      </c>
      <c r="F86" s="2858">
        <v>15</v>
      </c>
    </row>
    <row r="87" spans="1:6" ht="13.5">
      <c r="A87" s="2858">
        <v>15</v>
      </c>
      <c r="B87" s="3465"/>
      <c r="C87" s="2832" t="s">
        <v>2671</v>
      </c>
      <c r="D87" s="2832" t="s">
        <v>2672</v>
      </c>
      <c r="E87" s="2858">
        <v>0.1</v>
      </c>
      <c r="F87" s="2858">
        <v>15</v>
      </c>
    </row>
    <row r="88" spans="1:6" ht="24">
      <c r="A88" s="2858">
        <v>16</v>
      </c>
      <c r="B88" s="3465"/>
      <c r="C88" s="2832" t="s">
        <v>2673</v>
      </c>
      <c r="D88" s="2832" t="s">
        <v>2674</v>
      </c>
      <c r="E88" s="2858">
        <v>0.1</v>
      </c>
      <c r="F88" s="2858">
        <v>15</v>
      </c>
    </row>
    <row r="89" spans="1:6" ht="24">
      <c r="A89" s="2858">
        <v>17</v>
      </c>
      <c r="B89" s="3464"/>
      <c r="C89" s="2832" t="s">
        <v>2675</v>
      </c>
      <c r="D89" s="2832" t="s">
        <v>2676</v>
      </c>
      <c r="E89" s="2858">
        <v>0.1</v>
      </c>
      <c r="F89" s="2858">
        <v>15</v>
      </c>
    </row>
    <row r="90" spans="1:6" ht="13.5">
      <c r="A90" s="2858">
        <v>18</v>
      </c>
      <c r="B90" s="3463" t="s">
        <v>2677</v>
      </c>
      <c r="C90" s="2832" t="s">
        <v>2678</v>
      </c>
      <c r="D90" s="2832" t="s">
        <v>2679</v>
      </c>
      <c r="E90" s="2858">
        <v>0.2</v>
      </c>
      <c r="F90" s="2858">
        <v>25</v>
      </c>
    </row>
    <row r="91" spans="1:6" ht="24">
      <c r="A91" s="2858">
        <v>19</v>
      </c>
      <c r="B91" s="3465"/>
      <c r="C91" s="2832" t="s">
        <v>2680</v>
      </c>
      <c r="D91" s="2832" t="s">
        <v>2681</v>
      </c>
      <c r="E91" s="2858">
        <v>0.2</v>
      </c>
      <c r="F91" s="2858">
        <v>25</v>
      </c>
    </row>
    <row r="92" spans="1:6" ht="13.5">
      <c r="A92" s="2858">
        <v>20</v>
      </c>
      <c r="B92" s="3465"/>
      <c r="C92" s="2832" t="s">
        <v>2682</v>
      </c>
      <c r="D92" s="2832" t="s">
        <v>2683</v>
      </c>
      <c r="E92" s="2858">
        <v>0.15</v>
      </c>
      <c r="F92" s="2858">
        <v>20</v>
      </c>
    </row>
    <row r="93" spans="1:6" ht="13.5">
      <c r="A93" s="2858">
        <v>21</v>
      </c>
      <c r="B93" s="3465"/>
      <c r="C93" s="2832" t="s">
        <v>2684</v>
      </c>
      <c r="D93" s="2832" t="s">
        <v>2685</v>
      </c>
      <c r="E93" s="2858">
        <v>0.15</v>
      </c>
      <c r="F93" s="2858">
        <v>20</v>
      </c>
    </row>
    <row r="94" spans="1:6" ht="13.5">
      <c r="A94" s="2858">
        <v>22</v>
      </c>
      <c r="B94" s="3465"/>
      <c r="C94" s="2832" t="s">
        <v>2686</v>
      </c>
      <c r="D94" s="2832" t="s">
        <v>2687</v>
      </c>
      <c r="E94" s="2858">
        <v>0.15</v>
      </c>
      <c r="F94" s="2858">
        <v>20</v>
      </c>
    </row>
    <row r="95" spans="1:6" ht="36">
      <c r="A95" s="2858">
        <v>23</v>
      </c>
      <c r="B95" s="3465"/>
      <c r="C95" s="2832" t="s">
        <v>2688</v>
      </c>
      <c r="D95" s="2832" t="s">
        <v>2689</v>
      </c>
      <c r="E95" s="2858">
        <v>0.15</v>
      </c>
      <c r="F95" s="2858">
        <v>20</v>
      </c>
    </row>
    <row r="96" spans="1:6" ht="13.5">
      <c r="A96" s="2858">
        <v>24</v>
      </c>
      <c r="B96" s="3465"/>
      <c r="C96" s="2832" t="s">
        <v>2690</v>
      </c>
      <c r="D96" s="2832" t="s">
        <v>2691</v>
      </c>
      <c r="E96" s="2858">
        <v>0.1</v>
      </c>
      <c r="F96" s="2858">
        <v>15</v>
      </c>
    </row>
    <row r="97" spans="1:6" ht="13.5">
      <c r="A97" s="2858">
        <v>25</v>
      </c>
      <c r="B97" s="3465"/>
      <c r="C97" s="2832" t="s">
        <v>2692</v>
      </c>
      <c r="D97" s="2832" t="s">
        <v>2693</v>
      </c>
      <c r="E97" s="2858">
        <v>0.1</v>
      </c>
      <c r="F97" s="2858">
        <v>15</v>
      </c>
    </row>
    <row r="98" spans="1:6" ht="24">
      <c r="A98" s="2858">
        <v>26</v>
      </c>
      <c r="B98" s="3465"/>
      <c r="C98" s="2832" t="s">
        <v>2694</v>
      </c>
      <c r="D98" s="2832" t="s">
        <v>2695</v>
      </c>
      <c r="E98" s="2858">
        <v>0.1</v>
      </c>
      <c r="F98" s="2858">
        <v>15</v>
      </c>
    </row>
    <row r="99" spans="1:6" ht="24">
      <c r="A99" s="2858">
        <v>27</v>
      </c>
      <c r="B99" s="3465"/>
      <c r="C99" s="2832" t="s">
        <v>2696</v>
      </c>
      <c r="D99" s="2832" t="s">
        <v>2697</v>
      </c>
      <c r="E99" s="2858">
        <v>0.1</v>
      </c>
      <c r="F99" s="2858">
        <v>15</v>
      </c>
    </row>
    <row r="100" spans="1:6" ht="13.5">
      <c r="A100" s="2858">
        <v>28</v>
      </c>
      <c r="B100" s="3465"/>
      <c r="C100" s="2832" t="s">
        <v>2698</v>
      </c>
      <c r="D100" s="2832" t="s">
        <v>2699</v>
      </c>
      <c r="E100" s="2858">
        <v>0.1</v>
      </c>
      <c r="F100" s="2858">
        <v>15</v>
      </c>
    </row>
    <row r="101" spans="1:6" ht="13.5">
      <c r="A101" s="2858">
        <v>29</v>
      </c>
      <c r="B101" s="3465"/>
      <c r="C101" s="2832" t="s">
        <v>2700</v>
      </c>
      <c r="D101" s="2832" t="s">
        <v>2701</v>
      </c>
      <c r="E101" s="2858">
        <v>0.1</v>
      </c>
      <c r="F101" s="2858">
        <v>15</v>
      </c>
    </row>
    <row r="102" spans="1:6" ht="13.5">
      <c r="A102" s="2858">
        <v>30</v>
      </c>
      <c r="B102" s="3465"/>
      <c r="C102" s="2832" t="s">
        <v>2702</v>
      </c>
      <c r="D102" s="2832" t="s">
        <v>2703</v>
      </c>
      <c r="E102" s="2858">
        <v>0.1</v>
      </c>
      <c r="F102" s="2858">
        <v>15</v>
      </c>
    </row>
    <row r="103" spans="1:6" ht="24">
      <c r="A103" s="2858">
        <v>31</v>
      </c>
      <c r="B103" s="3465"/>
      <c r="C103" s="2832" t="s">
        <v>2704</v>
      </c>
      <c r="D103" s="2832" t="s">
        <v>2705</v>
      </c>
      <c r="E103" s="2858">
        <v>0.1</v>
      </c>
      <c r="F103" s="2858">
        <v>15</v>
      </c>
    </row>
    <row r="104" spans="1:6" ht="24">
      <c r="A104" s="2858">
        <v>32</v>
      </c>
      <c r="B104" s="3465"/>
      <c r="C104" s="2832" t="s">
        <v>2706</v>
      </c>
      <c r="D104" s="2832" t="s">
        <v>2707</v>
      </c>
      <c r="E104" s="2858">
        <v>0.1</v>
      </c>
      <c r="F104" s="2858">
        <v>15</v>
      </c>
    </row>
    <row r="105" spans="1:6" ht="24">
      <c r="A105" s="2858">
        <v>33</v>
      </c>
      <c r="B105" s="3465"/>
      <c r="C105" s="2832" t="s">
        <v>2708</v>
      </c>
      <c r="D105" s="2832" t="s">
        <v>2709</v>
      </c>
      <c r="E105" s="2858">
        <v>0.1</v>
      </c>
      <c r="F105" s="2858">
        <v>15</v>
      </c>
    </row>
    <row r="106" spans="1:6" ht="24">
      <c r="A106" s="2858">
        <v>34</v>
      </c>
      <c r="B106" s="3464"/>
      <c r="C106" s="2832" t="s">
        <v>2710</v>
      </c>
      <c r="D106" s="2832" t="s">
        <v>2711</v>
      </c>
      <c r="E106" s="2858">
        <v>0.1</v>
      </c>
      <c r="F106" s="2858">
        <v>15</v>
      </c>
    </row>
    <row r="107" spans="1:6" ht="24">
      <c r="A107" s="2858">
        <v>35</v>
      </c>
      <c r="B107" s="3463" t="s">
        <v>2712</v>
      </c>
      <c r="C107" s="2858" t="s">
        <v>2713</v>
      </c>
      <c r="D107" s="2832" t="s">
        <v>2714</v>
      </c>
      <c r="E107" s="2858">
        <v>0.15</v>
      </c>
      <c r="F107" s="2858">
        <v>20</v>
      </c>
    </row>
    <row r="108" spans="1:6" ht="13.5">
      <c r="A108" s="2858">
        <v>36</v>
      </c>
      <c r="B108" s="3465"/>
      <c r="C108" s="2858" t="s">
        <v>2715</v>
      </c>
      <c r="D108" s="2832" t="s">
        <v>2716</v>
      </c>
      <c r="E108" s="2858">
        <v>0.15</v>
      </c>
      <c r="F108" s="2858">
        <v>20</v>
      </c>
    </row>
    <row r="109" spans="1:6" ht="13.5">
      <c r="A109" s="2858">
        <v>37</v>
      </c>
      <c r="B109" s="3465"/>
      <c r="C109" s="2858" t="s">
        <v>2717</v>
      </c>
      <c r="D109" s="2832" t="s">
        <v>2718</v>
      </c>
      <c r="E109" s="2858">
        <v>0.15</v>
      </c>
      <c r="F109" s="2858">
        <v>20</v>
      </c>
    </row>
    <row r="110" spans="1:6" ht="13.5">
      <c r="A110" s="2858">
        <v>38</v>
      </c>
      <c r="B110" s="3465"/>
      <c r="C110" s="2858" t="s">
        <v>2719</v>
      </c>
      <c r="D110" s="2832" t="s">
        <v>2720</v>
      </c>
      <c r="E110" s="2858">
        <v>0.1</v>
      </c>
      <c r="F110" s="2858">
        <v>15</v>
      </c>
    </row>
    <row r="111" spans="1:6" ht="24">
      <c r="A111" s="2858">
        <v>39</v>
      </c>
      <c r="B111" s="3465"/>
      <c r="C111" s="2858" t="s">
        <v>2721</v>
      </c>
      <c r="D111" s="2832" t="s">
        <v>2722</v>
      </c>
      <c r="E111" s="2858">
        <v>0.1</v>
      </c>
      <c r="F111" s="2858">
        <v>15</v>
      </c>
    </row>
    <row r="112" spans="1:6" ht="24">
      <c r="A112" s="2858">
        <v>40</v>
      </c>
      <c r="B112" s="3464"/>
      <c r="C112" s="2858" t="s">
        <v>2723</v>
      </c>
      <c r="D112" s="2832" t="s">
        <v>2724</v>
      </c>
      <c r="E112" s="2858">
        <v>0.1</v>
      </c>
      <c r="F112" s="2858">
        <v>15</v>
      </c>
    </row>
    <row r="113" spans="1:6" ht="13.5">
      <c r="A113" s="2858">
        <v>41</v>
      </c>
      <c r="B113" s="3462" t="s">
        <v>2725</v>
      </c>
      <c r="C113" s="2858" t="s">
        <v>2726</v>
      </c>
      <c r="D113" s="2832" t="s">
        <v>2727</v>
      </c>
      <c r="E113" s="2858">
        <v>0.1</v>
      </c>
      <c r="F113" s="2858">
        <v>15</v>
      </c>
    </row>
    <row r="114" spans="1:6" ht="13.5">
      <c r="A114" s="2858">
        <v>42</v>
      </c>
      <c r="B114" s="3462"/>
      <c r="C114" s="2858" t="s">
        <v>2728</v>
      </c>
      <c r="D114" s="2832" t="s">
        <v>2729</v>
      </c>
      <c r="E114" s="2858">
        <v>0.1</v>
      </c>
      <c r="F114" s="2858">
        <v>15</v>
      </c>
    </row>
    <row r="115" spans="1:6" ht="24">
      <c r="A115" s="2858">
        <v>43</v>
      </c>
      <c r="B115" s="3462"/>
      <c r="C115" s="2858" t="s">
        <v>2730</v>
      </c>
      <c r="D115" s="2832" t="s">
        <v>2731</v>
      </c>
      <c r="E115" s="2858">
        <v>0.1</v>
      </c>
      <c r="F115" s="2858">
        <v>15</v>
      </c>
    </row>
    <row r="116" spans="1:6" ht="13.5">
      <c r="A116" s="2858">
        <v>44</v>
      </c>
      <c r="B116" s="3463" t="s">
        <v>2732</v>
      </c>
      <c r="C116" s="2858" t="s">
        <v>2733</v>
      </c>
      <c r="D116" s="2832" t="s">
        <v>2734</v>
      </c>
      <c r="E116" s="2858">
        <v>0.1</v>
      </c>
      <c r="F116" s="2858">
        <v>15</v>
      </c>
    </row>
    <row r="117" spans="1:6" ht="24">
      <c r="A117" s="2858">
        <v>45</v>
      </c>
      <c r="B117" s="3464"/>
      <c r="C117" s="2832" t="s">
        <v>2735</v>
      </c>
      <c r="D117" s="2832" t="s">
        <v>2736</v>
      </c>
      <c r="E117" s="2858">
        <v>0.1</v>
      </c>
      <c r="F117" s="2858">
        <v>15</v>
      </c>
    </row>
    <row r="118" spans="1:6" ht="24">
      <c r="A118" s="2858">
        <v>46</v>
      </c>
      <c r="B118" s="3463" t="s">
        <v>2737</v>
      </c>
      <c r="C118" s="2858" t="s">
        <v>2738</v>
      </c>
      <c r="D118" s="2832" t="s">
        <v>2739</v>
      </c>
      <c r="E118" s="2858">
        <v>0.1</v>
      </c>
      <c r="F118" s="2858">
        <v>15</v>
      </c>
    </row>
    <row r="119" spans="1:6" ht="24">
      <c r="A119" s="2858">
        <v>47</v>
      </c>
      <c r="B119" s="3464"/>
      <c r="C119" s="2858" t="s">
        <v>2740</v>
      </c>
      <c r="D119" s="2832" t="s">
        <v>2741</v>
      </c>
      <c r="E119" s="2858">
        <v>0.1</v>
      </c>
      <c r="F119" s="2858">
        <v>15</v>
      </c>
    </row>
    <row r="120" spans="1:6" ht="13.5">
      <c r="A120" s="2858">
        <v>48</v>
      </c>
      <c r="B120" s="3463" t="s">
        <v>2742</v>
      </c>
      <c r="C120" s="2858" t="s">
        <v>2743</v>
      </c>
      <c r="D120" s="2832" t="s">
        <v>2744</v>
      </c>
      <c r="E120" s="2858">
        <v>0.1</v>
      </c>
      <c r="F120" s="2858">
        <v>15</v>
      </c>
    </row>
    <row r="121" spans="1:6" ht="13.5">
      <c r="A121" s="2858">
        <v>49</v>
      </c>
      <c r="B121" s="3464"/>
      <c r="C121" s="2858" t="s">
        <v>2745</v>
      </c>
      <c r="D121" s="2832" t="s">
        <v>2746</v>
      </c>
      <c r="E121" s="2858">
        <v>0.1</v>
      </c>
      <c r="F121" s="2858">
        <v>15</v>
      </c>
    </row>
    <row r="122" spans="1:6" ht="24">
      <c r="A122" s="2858">
        <v>50</v>
      </c>
      <c r="B122" s="3462" t="s">
        <v>2747</v>
      </c>
      <c r="C122" s="2858" t="s">
        <v>2748</v>
      </c>
      <c r="D122" s="2832" t="s">
        <v>2749</v>
      </c>
      <c r="E122" s="2858">
        <v>0.1</v>
      </c>
      <c r="F122" s="2858">
        <v>15</v>
      </c>
    </row>
    <row r="123" spans="1:6" ht="24">
      <c r="A123" s="2858">
        <v>51</v>
      </c>
      <c r="B123" s="3462"/>
      <c r="C123" s="2858" t="s">
        <v>2750</v>
      </c>
      <c r="D123" s="2832" t="s">
        <v>2751</v>
      </c>
      <c r="E123" s="2858">
        <v>0.1</v>
      </c>
      <c r="F123" s="2858">
        <v>15</v>
      </c>
    </row>
    <row r="124" spans="1:6" ht="24">
      <c r="A124" s="2858">
        <v>52</v>
      </c>
      <c r="B124" s="3462" t="s">
        <v>2752</v>
      </c>
      <c r="C124" s="2858" t="s">
        <v>2753</v>
      </c>
      <c r="D124" s="2832" t="s">
        <v>2754</v>
      </c>
      <c r="E124" s="2858">
        <v>0.1</v>
      </c>
      <c r="F124" s="2858">
        <v>15</v>
      </c>
    </row>
    <row r="125" spans="1:6" ht="24">
      <c r="A125" s="2858">
        <v>53</v>
      </c>
      <c r="B125" s="3462"/>
      <c r="C125" s="2858" t="s">
        <v>2755</v>
      </c>
      <c r="D125" s="2832" t="s">
        <v>2756</v>
      </c>
      <c r="E125" s="2858">
        <v>0.1</v>
      </c>
      <c r="F125" s="2858">
        <v>15</v>
      </c>
    </row>
    <row r="126" spans="1:6" ht="13.5">
      <c r="A126" s="2858">
        <v>54</v>
      </c>
      <c r="B126" s="2858" t="s">
        <v>2757</v>
      </c>
      <c r="C126" s="2858" t="s">
        <v>2758</v>
      </c>
      <c r="D126" s="2832" t="s">
        <v>2759</v>
      </c>
      <c r="E126" s="2858">
        <v>0.1</v>
      </c>
      <c r="F126" s="2858">
        <v>15</v>
      </c>
    </row>
    <row r="127" spans="1:6" ht="13.5">
      <c r="A127" s="2858">
        <v>55</v>
      </c>
      <c r="B127" s="3462" t="s">
        <v>2760</v>
      </c>
      <c r="C127" s="2858" t="s">
        <v>2761</v>
      </c>
      <c r="D127" s="2832" t="s">
        <v>2762</v>
      </c>
      <c r="E127" s="2858">
        <v>0.1</v>
      </c>
      <c r="F127" s="2858">
        <v>15</v>
      </c>
    </row>
    <row r="128" spans="1:6" ht="13.5">
      <c r="A128" s="2858">
        <v>56</v>
      </c>
      <c r="B128" s="3462"/>
      <c r="C128" s="2858" t="s">
        <v>2763</v>
      </c>
      <c r="D128" s="2832" t="s">
        <v>2764</v>
      </c>
      <c r="E128" s="2858">
        <v>0.1</v>
      </c>
      <c r="F128" s="2858">
        <v>15</v>
      </c>
    </row>
    <row r="129" spans="1:6" ht="24">
      <c r="A129" s="2858">
        <v>57</v>
      </c>
      <c r="B129" s="3462"/>
      <c r="C129" s="2858" t="s">
        <v>2765</v>
      </c>
      <c r="D129" s="2832" t="s">
        <v>2766</v>
      </c>
      <c r="E129" s="2858">
        <v>0.1</v>
      </c>
      <c r="F129" s="2858">
        <v>15</v>
      </c>
    </row>
    <row r="130" spans="1:6" ht="24">
      <c r="A130" s="2858">
        <v>58</v>
      </c>
      <c r="B130" s="3462" t="s">
        <v>2767</v>
      </c>
      <c r="C130" s="2858" t="s">
        <v>2768</v>
      </c>
      <c r="D130" s="2832" t="s">
        <v>2769</v>
      </c>
      <c r="E130" s="2858">
        <v>0.1</v>
      </c>
      <c r="F130" s="2858">
        <v>15</v>
      </c>
    </row>
    <row r="131" spans="1:6" ht="13.5">
      <c r="A131" s="2858">
        <v>59</v>
      </c>
      <c r="B131" s="3462"/>
      <c r="C131" s="2858" t="s">
        <v>2770</v>
      </c>
      <c r="D131" s="2832" t="s">
        <v>2771</v>
      </c>
      <c r="E131" s="2858">
        <v>0.1</v>
      </c>
      <c r="F131" s="2858">
        <v>15</v>
      </c>
    </row>
    <row r="132" spans="1:6" ht="13.5">
      <c r="A132" s="2858">
        <v>60</v>
      </c>
      <c r="B132" s="3463" t="s">
        <v>2772</v>
      </c>
      <c r="C132" s="2858" t="s">
        <v>2773</v>
      </c>
      <c r="D132" s="2832" t="s">
        <v>2774</v>
      </c>
      <c r="E132" s="2858">
        <v>0.1</v>
      </c>
      <c r="F132" s="2858">
        <v>15</v>
      </c>
    </row>
    <row r="133" spans="1:6" ht="13.5">
      <c r="A133" s="2858">
        <v>61</v>
      </c>
      <c r="B133" s="3464"/>
      <c r="C133" s="2858" t="s">
        <v>2775</v>
      </c>
      <c r="D133" s="2832" t="s">
        <v>2776</v>
      </c>
      <c r="E133" s="2858">
        <v>0.1</v>
      </c>
      <c r="F133" s="2858">
        <v>15</v>
      </c>
    </row>
    <row r="134" spans="1:6" ht="24">
      <c r="A134" s="2858">
        <v>62</v>
      </c>
      <c r="B134" s="2858" t="s">
        <v>2777</v>
      </c>
      <c r="C134" s="2858" t="s">
        <v>2778</v>
      </c>
      <c r="D134" s="2832" t="s">
        <v>2779</v>
      </c>
      <c r="E134" s="2858">
        <v>0.1</v>
      </c>
      <c r="F134" s="2858">
        <v>15</v>
      </c>
    </row>
    <row r="135" spans="1:6" ht="13.5">
      <c r="A135" s="2858">
        <v>63</v>
      </c>
      <c r="B135" s="3462" t="s">
        <v>2780</v>
      </c>
      <c r="C135" s="2858" t="s">
        <v>2781</v>
      </c>
      <c r="D135" s="2832" t="s">
        <v>2782</v>
      </c>
      <c r="E135" s="2858">
        <v>0.1</v>
      </c>
      <c r="F135" s="2858">
        <v>15</v>
      </c>
    </row>
    <row r="136" spans="1:6" ht="13.5">
      <c r="A136" s="2858">
        <v>64</v>
      </c>
      <c r="B136" s="3462"/>
      <c r="C136" s="2858" t="s">
        <v>2783</v>
      </c>
      <c r="D136" s="2832" t="s">
        <v>2784</v>
      </c>
      <c r="E136" s="2858">
        <v>0.1</v>
      </c>
      <c r="F136" s="2858">
        <v>15</v>
      </c>
    </row>
    <row r="137" spans="1:6" ht="13.5">
      <c r="A137" s="2858">
        <v>65</v>
      </c>
      <c r="B137" s="2858" t="s">
        <v>2785</v>
      </c>
      <c r="C137" s="2858" t="s">
        <v>2786</v>
      </c>
      <c r="D137" s="2832" t="s">
        <v>2787</v>
      </c>
      <c r="E137" s="2858">
        <v>0.1</v>
      </c>
      <c r="F137" s="2858">
        <v>15</v>
      </c>
    </row>
    <row r="138" spans="1:6" ht="13.5">
      <c r="A138" s="2858"/>
      <c r="B138" s="2858"/>
      <c r="C138" s="2858"/>
      <c r="D138" s="2858"/>
      <c r="E138" s="2858" t="s">
        <v>2788</v>
      </c>
      <c r="F138" s="2858" t="s">
        <v>2788</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8"/>
      <c r="C2" s="3158"/>
      <c r="D2" s="3158"/>
      <c r="E2" s="3158"/>
    </row>
    <row r="3" spans="1:5" ht="18">
      <c r="A3" s="3159" t="str">
        <f>IF(项目基本情况!B9="房地产市场价值","估价结果一览表（市场价值不需“结果表-1”）","估价结果一览表")</f>
        <v>估价结果一览表</v>
      </c>
      <c r="B3" s="3159"/>
      <c r="C3" s="3159"/>
      <c r="D3" s="3159"/>
      <c r="E3" s="3159"/>
    </row>
    <row r="4" spans="1:5" ht="19.5" thickBot="1">
      <c r="A4" s="1391"/>
      <c r="B4" s="3157" t="s">
        <v>917</v>
      </c>
      <c r="C4" s="3157"/>
      <c r="D4" s="3157"/>
      <c r="E4" s="1391"/>
    </row>
    <row r="5" spans="1:5" ht="16.5" thickTop="1">
      <c r="B5" s="3155" t="s">
        <v>909</v>
      </c>
      <c r="C5" s="1392" t="s">
        <v>910</v>
      </c>
      <c r="D5" s="797">
        <f ca="1">结果表!H101</f>
        <v>33687</v>
      </c>
    </row>
    <row r="6" spans="1:5" ht="15.75">
      <c r="B6" s="3155"/>
      <c r="C6" s="1392" t="s">
        <v>911</v>
      </c>
      <c r="D6" s="797" t="str">
        <f ca="1">NUMBERSTRING(INT(D5*10000),2)&amp;"元整"</f>
        <v>叁亿叁仟陆佰捌拾柒万元整</v>
      </c>
    </row>
    <row r="7" spans="1:5" ht="15.75">
      <c r="B7" s="3160"/>
      <c r="C7" s="1393" t="s">
        <v>912</v>
      </c>
      <c r="D7" s="798">
        <f ca="1">结果表!H102</f>
        <v>5082</v>
      </c>
    </row>
    <row r="8" spans="1:5" ht="15.75">
      <c r="B8" s="3161" t="str">
        <f>结果表!E103</f>
        <v>2.估价师知悉的法定优先受偿款</v>
      </c>
      <c r="C8" s="1394" t="s">
        <v>913</v>
      </c>
      <c r="D8" s="798">
        <f>结果表!H103</f>
        <v>0</v>
      </c>
    </row>
    <row r="9" spans="1:5" ht="15.75">
      <c r="B9" s="3163"/>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54" t="str">
        <f>结果表!E107</f>
        <v>3.房地产抵押价值</v>
      </c>
      <c r="C13" s="1397" t="s">
        <v>910</v>
      </c>
      <c r="D13" s="800">
        <f ca="1">结果表!H107</f>
        <v>33687</v>
      </c>
    </row>
    <row r="14" spans="1:5" ht="15.75">
      <c r="B14" s="3155"/>
      <c r="C14" s="1392" t="s">
        <v>911</v>
      </c>
      <c r="D14" s="797" t="str">
        <f ca="1">NUMBERSTRING(INT(D13*10000),2)&amp;"元整"</f>
        <v>叁亿叁仟陆佰捌拾柒万元整</v>
      </c>
    </row>
    <row r="15" spans="1:5" ht="15">
      <c r="B15" s="3160"/>
      <c r="C15" s="1393" t="s">
        <v>921</v>
      </c>
      <c r="D15" s="806">
        <f ca="1">结果表!H108</f>
        <v>5082</v>
      </c>
    </row>
    <row r="16" spans="1:5" ht="15">
      <c r="B16" s="3161" t="str">
        <f>结果表!E109</f>
        <v>——</v>
      </c>
      <c r="C16" s="1397" t="s">
        <v>922</v>
      </c>
      <c r="D16" s="1398" t="str">
        <f>结果表!H109</f>
        <v>——</v>
      </c>
    </row>
    <row r="17" spans="1:5" ht="15.75">
      <c r="B17" s="3162"/>
      <c r="C17" s="1392" t="s">
        <v>923</v>
      </c>
      <c r="D17" s="797" t="e">
        <f>NUMBERSTRING(INT(D16*10000),2)&amp;"元整"</f>
        <v>#VALUE!</v>
      </c>
    </row>
    <row r="18" spans="1:5" ht="15">
      <c r="B18" s="3163"/>
      <c r="C18" s="1393" t="s">
        <v>912</v>
      </c>
      <c r="D18" s="806" t="str">
        <f>结果表!H110</f>
        <v>——</v>
      </c>
    </row>
    <row r="19" spans="1:5" ht="15.75">
      <c r="B19" s="3154" t="str">
        <f>结果表!E111</f>
        <v>——</v>
      </c>
      <c r="C19" s="1397" t="s">
        <v>910</v>
      </c>
      <c r="D19" s="798" t="str">
        <f>结果表!H111</f>
        <v>——</v>
      </c>
    </row>
    <row r="20" spans="1:5" ht="15.75">
      <c r="B20" s="3155"/>
      <c r="C20" s="1392" t="s">
        <v>923</v>
      </c>
      <c r="D20" s="797" t="e">
        <f>NUMBERSTRING(INT(D19*10000),2)&amp;"元整"</f>
        <v>#VALUE!</v>
      </c>
    </row>
    <row r="21" spans="1:5" ht="15.75" thickBot="1">
      <c r="B21" s="3156"/>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2789</v>
      </c>
      <c r="B1" s="2866"/>
      <c r="C1" s="2866"/>
      <c r="D1" s="2866"/>
      <c r="E1" s="2866"/>
      <c r="F1" s="2866"/>
      <c r="G1" s="2866"/>
      <c r="H1" s="2866"/>
      <c r="I1" s="2866"/>
      <c r="J1" s="2866"/>
      <c r="K1" s="2866"/>
      <c r="L1" s="2866"/>
      <c r="M1" s="2866"/>
      <c r="N1" s="707"/>
    </row>
    <row r="2" spans="1:20">
      <c r="A2" s="2867" t="s">
        <v>2790</v>
      </c>
      <c r="B2" s="2868" t="s">
        <v>2586</v>
      </c>
      <c r="C2" s="2868" t="s">
        <v>2587</v>
      </c>
      <c r="D2" s="2868" t="s">
        <v>2588</v>
      </c>
      <c r="E2" s="2868" t="s">
        <v>2589</v>
      </c>
      <c r="F2" s="2868" t="s">
        <v>2590</v>
      </c>
      <c r="G2" s="2868" t="s">
        <v>2591</v>
      </c>
      <c r="H2" s="2869" t="s">
        <v>2592</v>
      </c>
      <c r="I2" s="2869" t="s">
        <v>2593</v>
      </c>
      <c r="J2" s="2870" t="s">
        <v>2594</v>
      </c>
      <c r="K2" s="2870" t="s">
        <v>2595</v>
      </c>
      <c r="L2" s="2870" t="s">
        <v>2596</v>
      </c>
      <c r="M2" s="2871" t="s">
        <v>2597</v>
      </c>
      <c r="Q2" s="2881" t="s">
        <v>2795</v>
      </c>
      <c r="R2" s="2881" t="s">
        <v>2796</v>
      </c>
      <c r="S2" s="2881" t="s">
        <v>2797</v>
      </c>
      <c r="T2" s="2881" t="s">
        <v>2798</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2791</v>
      </c>
      <c r="B93" s="2866"/>
      <c r="C93" s="2866"/>
      <c r="D93" s="2866"/>
      <c r="E93" s="2866"/>
      <c r="F93" s="2866"/>
      <c r="G93" s="2866"/>
      <c r="H93" s="2866"/>
      <c r="I93" s="2866"/>
      <c r="J93" s="2866"/>
      <c r="K93" s="2866"/>
      <c r="L93" s="2866"/>
      <c r="M93" s="2866"/>
    </row>
    <row r="94" spans="1:20">
      <c r="A94" s="2867" t="s">
        <v>2790</v>
      </c>
      <c r="B94" s="2868" t="s">
        <v>2586</v>
      </c>
      <c r="C94" s="2868" t="s">
        <v>2587</v>
      </c>
      <c r="D94" s="2868" t="s">
        <v>2588</v>
      </c>
      <c r="E94" s="2868" t="s">
        <v>2589</v>
      </c>
      <c r="F94" s="2868" t="s">
        <v>2590</v>
      </c>
      <c r="G94" s="2868" t="s">
        <v>2591</v>
      </c>
      <c r="H94" s="2869" t="s">
        <v>2592</v>
      </c>
      <c r="I94" s="2869" t="s">
        <v>2593</v>
      </c>
      <c r="J94" s="2870" t="s">
        <v>2594</v>
      </c>
      <c r="K94" s="2870" t="s">
        <v>2595</v>
      </c>
      <c r="L94" s="2870" t="s">
        <v>2596</v>
      </c>
      <c r="M94" s="2871" t="s">
        <v>2597</v>
      </c>
      <c r="N94">
        <f>SUMPRODUCT((A95:A184=ROUNDDOWN(基准地价修正!G3,1))*(B94:M94=基准地价修正!G2)*(B95:M184))</f>
        <v>1.0908</v>
      </c>
      <c r="Q94" s="2881" t="s">
        <v>2795</v>
      </c>
      <c r="R94" s="2881" t="s">
        <v>2796</v>
      </c>
      <c r="S94" s="2881" t="s">
        <v>2797</v>
      </c>
      <c r="T94" s="2881" t="s">
        <v>2798</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2792</v>
      </c>
      <c r="B185" s="2866"/>
      <c r="C185" s="2866"/>
      <c r="D185" s="2866"/>
      <c r="E185" s="2866"/>
      <c r="F185" s="2866"/>
      <c r="G185" s="2866"/>
      <c r="H185" s="2866"/>
      <c r="I185" s="2866"/>
      <c r="J185" s="2866"/>
      <c r="K185" s="2866"/>
      <c r="L185" s="2866"/>
      <c r="M185" s="2866"/>
    </row>
    <row r="186" spans="1:20">
      <c r="A186" s="2867" t="s">
        <v>2790</v>
      </c>
      <c r="B186" s="2868" t="s">
        <v>2586</v>
      </c>
      <c r="C186" s="2868" t="s">
        <v>2587</v>
      </c>
      <c r="D186" s="2868" t="s">
        <v>2588</v>
      </c>
      <c r="E186" s="2868" t="s">
        <v>2589</v>
      </c>
      <c r="F186" s="2868" t="s">
        <v>2590</v>
      </c>
      <c r="G186" s="2868" t="s">
        <v>2591</v>
      </c>
      <c r="H186" s="2869" t="s">
        <v>2592</v>
      </c>
      <c r="I186" s="2869" t="s">
        <v>2593</v>
      </c>
      <c r="J186" s="2870" t="s">
        <v>2594</v>
      </c>
      <c r="K186" s="2870" t="s">
        <v>2595</v>
      </c>
      <c r="L186" s="2870" t="s">
        <v>2596</v>
      </c>
      <c r="M186" s="2871" t="s">
        <v>2597</v>
      </c>
      <c r="Q186" s="2881" t="s">
        <v>2795</v>
      </c>
      <c r="R186" s="2881" t="s">
        <v>2796</v>
      </c>
      <c r="S186" s="2881" t="s">
        <v>2797</v>
      </c>
      <c r="T186" s="2881" t="s">
        <v>2798</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2793</v>
      </c>
      <c r="B277" s="2866"/>
      <c r="C277" s="2866"/>
      <c r="D277" s="2866"/>
      <c r="E277" s="2866"/>
      <c r="F277" s="2866"/>
      <c r="G277" s="2866"/>
      <c r="H277" s="2866"/>
      <c r="I277" s="2866"/>
      <c r="J277" s="2866"/>
      <c r="K277" s="2866"/>
      <c r="L277" s="2866"/>
      <c r="M277" s="2866"/>
    </row>
    <row r="278" spans="1:21">
      <c r="A278" s="2867" t="s">
        <v>2790</v>
      </c>
      <c r="B278" s="2868" t="s">
        <v>2586</v>
      </c>
      <c r="C278" s="2868" t="s">
        <v>2587</v>
      </c>
      <c r="D278" s="2868" t="s">
        <v>2588</v>
      </c>
      <c r="E278" s="2868" t="s">
        <v>2589</v>
      </c>
      <c r="F278" s="2868" t="s">
        <v>2590</v>
      </c>
      <c r="G278" s="2868" t="s">
        <v>2591</v>
      </c>
      <c r="H278" s="2869" t="s">
        <v>2592</v>
      </c>
      <c r="I278" s="2869" t="s">
        <v>2593</v>
      </c>
      <c r="J278" s="2870" t="s">
        <v>2594</v>
      </c>
      <c r="K278" s="2870" t="s">
        <v>2595</v>
      </c>
      <c r="L278" s="2870" t="s">
        <v>2596</v>
      </c>
      <c r="M278" s="2871" t="s">
        <v>2597</v>
      </c>
      <c r="Q278" s="2881" t="s">
        <v>2795</v>
      </c>
      <c r="R278" s="2881" t="s">
        <v>2796</v>
      </c>
      <c r="S278" s="2881" t="s">
        <v>2799</v>
      </c>
      <c r="T278" s="2881" t="s">
        <v>2800</v>
      </c>
      <c r="U278" s="2881" t="s">
        <v>2798</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2794</v>
      </c>
      <c r="B369" s="2879"/>
      <c r="C369" s="2879"/>
      <c r="D369" s="2879"/>
      <c r="E369" s="2879"/>
      <c r="F369" s="2879"/>
      <c r="G369" s="2879"/>
      <c r="H369" s="2879"/>
      <c r="I369" s="2879"/>
      <c r="J369" s="2879"/>
      <c r="K369" s="2879"/>
      <c r="L369" s="2879"/>
      <c r="M369" s="2879"/>
    </row>
    <row r="370" spans="1:20">
      <c r="A370" s="2867" t="s">
        <v>2790</v>
      </c>
      <c r="B370" s="2868" t="s">
        <v>2586</v>
      </c>
      <c r="C370" s="2868" t="s">
        <v>2587</v>
      </c>
      <c r="D370" s="2868" t="s">
        <v>2588</v>
      </c>
      <c r="E370" s="2868" t="s">
        <v>2589</v>
      </c>
      <c r="F370" s="2868" t="s">
        <v>2590</v>
      </c>
      <c r="G370" s="2868" t="s">
        <v>2591</v>
      </c>
      <c r="H370" s="2869" t="s">
        <v>2592</v>
      </c>
      <c r="I370" s="2869" t="s">
        <v>2593</v>
      </c>
      <c r="J370" s="2870" t="s">
        <v>2594</v>
      </c>
      <c r="K370" s="2870" t="s">
        <v>2595</v>
      </c>
      <c r="L370" s="2870" t="s">
        <v>2596</v>
      </c>
      <c r="M370" s="2871" t="s">
        <v>2597</v>
      </c>
      <c r="N370">
        <f>SUMPRODUCT((A371:A460=ROUNDDOWN(基准地价修正!G3,1))*(B370:M370=基准地价修正!G2)*(B371:M460))</f>
        <v>1.0376000000000001</v>
      </c>
      <c r="Q370" s="2881" t="s">
        <v>2795</v>
      </c>
      <c r="R370" s="2881" t="s">
        <v>2796</v>
      </c>
      <c r="S370" s="2881" t="s">
        <v>2797</v>
      </c>
      <c r="T370" s="2881" t="s">
        <v>2798</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57043</v>
      </c>
      <c r="C2" s="2" t="s">
        <v>106</v>
      </c>
      <c r="D2" s="191"/>
      <c r="E2" s="191"/>
      <c r="F2" s="191"/>
      <c r="G2" s="191"/>
    </row>
    <row r="3" spans="1:7" s="192" customFormat="1" ht="18" customHeight="1" thickBot="1">
      <c r="A3" s="195" t="s">
        <v>58</v>
      </c>
      <c r="B3" s="196">
        <f ca="1">ROUND(B2*10000/'数据-汇总表'!E3,0)</f>
        <v>8605</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1326</v>
      </c>
      <c r="D10" s="795">
        <f>'数据-汇总表'!E6</f>
        <v>66288.099999999991</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1326</v>
      </c>
      <c r="D19" s="204">
        <f>'数据-汇总表'!E3</f>
        <v>66288.099999999991</v>
      </c>
      <c r="E19" s="203">
        <f>'数据-取费表'!B31</f>
        <v>200</v>
      </c>
      <c r="F19" s="223"/>
      <c r="G19" s="1" t="s">
        <v>436</v>
      </c>
    </row>
    <row r="20" spans="1:7" s="206" customFormat="1" ht="13.5" customHeight="1">
      <c r="A20" s="731" t="s">
        <v>419</v>
      </c>
      <c r="B20" s="202" t="s">
        <v>77</v>
      </c>
      <c r="C20" s="224">
        <f>ROUND((C5+C19)*F20,0)</f>
        <v>439</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1251</v>
      </c>
      <c r="D22" s="227">
        <f ca="1">C26</f>
        <v>5.9999999999999995E-4</v>
      </c>
      <c r="E22" s="228" t="s">
        <v>99</v>
      </c>
      <c r="F22" s="229">
        <f ca="1">'数据-取费表'!B40</f>
        <v>3.1E-2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1164</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75</v>
      </c>
      <c r="D24" s="230"/>
      <c r="E24" s="230"/>
      <c r="F24" s="231"/>
      <c r="G24" s="232" t="s">
        <v>82</v>
      </c>
    </row>
    <row r="25" spans="1:7" s="206" customFormat="1" ht="24">
      <c r="A25" s="734" t="s">
        <v>348</v>
      </c>
      <c r="B25" s="207" t="s">
        <v>420</v>
      </c>
      <c r="C25" s="1042">
        <f ca="1">ROUND(IF('数据-取费表'!B22&lt;=1,C20*F22*'数据-取费表'!B23/2,C20*(POWER((1+F22),'数据-取费表'!B23/2)-1)),0)</f>
        <v>12</v>
      </c>
      <c r="D25" s="230"/>
      <c r="E25" s="233"/>
      <c r="F25" s="231"/>
      <c r="G25" s="234" t="s">
        <v>83</v>
      </c>
    </row>
    <row r="26" spans="1:7" s="206" customFormat="1">
      <c r="A26" s="734" t="s">
        <v>350</v>
      </c>
      <c r="B26" s="207" t="s">
        <v>422</v>
      </c>
      <c r="C26" s="230">
        <f ca="1">ROUND(IF('数据-取费表'!B22&lt;=1,F21*F22*'数据-取费表'!B23/2,F21*(POWER((1+F22),'数据-取费表'!B23/2)-1)),4)</f>
        <v>5.9999999999999995E-4</v>
      </c>
      <c r="D26" s="230"/>
      <c r="E26" s="233"/>
      <c r="F26" s="231"/>
      <c r="G26" s="235"/>
    </row>
    <row r="27" spans="1:7" s="206" customFormat="1" ht="24.75">
      <c r="A27" s="731" t="s">
        <v>342</v>
      </c>
      <c r="B27" s="236" t="s">
        <v>85</v>
      </c>
      <c r="C27" s="237">
        <f>C28</f>
        <v>2014</v>
      </c>
      <c r="D27" s="227">
        <f>C29</f>
        <v>1.8E-3</v>
      </c>
      <c r="E27" s="228" t="s">
        <v>99</v>
      </c>
      <c r="F27" s="238">
        <f>'数据-取费表'!Q16</f>
        <v>0.1</v>
      </c>
      <c r="G27" s="239" t="s">
        <v>431</v>
      </c>
    </row>
    <row r="28" spans="1:7" s="206" customFormat="1" ht="13.5" customHeight="1">
      <c r="A28" s="734" t="s">
        <v>349</v>
      </c>
      <c r="B28" s="240" t="s">
        <v>424</v>
      </c>
      <c r="C28" s="241">
        <f>ROUND((C5+C19+C20)*F27*'数据-取费表'!B21/'数据-取费表'!B20,0)</f>
        <v>2014</v>
      </c>
      <c r="D28" s="227"/>
      <c r="E28" s="228"/>
      <c r="F28" s="238"/>
      <c r="G28" s="239"/>
    </row>
    <row r="29" spans="1:7" s="206" customFormat="1" ht="13.5" customHeight="1">
      <c r="A29" s="734" t="s">
        <v>347</v>
      </c>
      <c r="B29" s="240" t="s">
        <v>425</v>
      </c>
      <c r="C29" s="230">
        <f>ROUND(C21*F27*'数据-取费表'!B21/'数据-取费表'!B20,4)</f>
        <v>1.8E-3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27741</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23536</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20881</v>
      </c>
      <c r="D34" s="209"/>
      <c r="E34" s="212"/>
      <c r="F34" s="249">
        <f>IF('数据-取费表'!B24=0,1,'数据-取费表'!N16)</f>
        <v>0.9</v>
      </c>
      <c r="G34" s="211" t="s">
        <v>89</v>
      </c>
    </row>
    <row r="35" spans="1:7" ht="13.5" customHeight="1">
      <c r="A35" s="734" t="s">
        <v>351</v>
      </c>
      <c r="B35" s="207" t="s">
        <v>33</v>
      </c>
      <c r="C35" s="212">
        <f>ROUND(C34*F35,0)</f>
        <v>1044</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1193</v>
      </c>
      <c r="D37" s="209">
        <f>'数据-汇总表'!E3</f>
        <v>66288.099999999991</v>
      </c>
      <c r="E37" s="241">
        <f>'数据-取费表'!B35</f>
        <v>200</v>
      </c>
      <c r="F37" s="251"/>
      <c r="G37" s="253" t="s">
        <v>92</v>
      </c>
    </row>
    <row r="38" spans="1:7" ht="13.5" customHeight="1">
      <c r="A38" s="734" t="s">
        <v>354</v>
      </c>
      <c r="B38" s="207" t="s">
        <v>36</v>
      </c>
      <c r="C38" s="212">
        <f>ROUND(C34*F38,0)</f>
        <v>418</v>
      </c>
      <c r="D38" s="212"/>
      <c r="E38" s="212"/>
      <c r="F38" s="251">
        <f>'数据-取费表'!B36</f>
        <v>0.02</v>
      </c>
      <c r="G38" s="211" t="s">
        <v>90</v>
      </c>
    </row>
    <row r="39" spans="1:7" s="206" customFormat="1" ht="13.5" customHeight="1">
      <c r="A39" s="731" t="s">
        <v>338</v>
      </c>
      <c r="B39" s="202" t="s">
        <v>77</v>
      </c>
      <c r="C39" s="224">
        <f>ROUND(C33*F20,0)</f>
        <v>471</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669</v>
      </c>
      <c r="D41" s="227">
        <f ca="1">C44</f>
        <v>5.9999999999999995E-4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656</v>
      </c>
      <c r="D42" s="230"/>
      <c r="E42" s="230"/>
      <c r="F42" s="231"/>
      <c r="G42" s="3335" t="s">
        <v>94</v>
      </c>
    </row>
    <row r="43" spans="1:7" ht="13.5" customHeight="1">
      <c r="A43" s="734" t="s">
        <v>347</v>
      </c>
      <c r="B43" s="207" t="s">
        <v>426</v>
      </c>
      <c r="C43" s="230">
        <f ca="1">ROUND(IF('数据-取费表'!B22&lt;=1,C39*F22*'数据-取费表'!B21/2,C39*(POWER((1+F22),'数据-取费表'!B21/2)-1)),0)</f>
        <v>13</v>
      </c>
      <c r="D43" s="230"/>
      <c r="E43" s="230"/>
      <c r="F43" s="231"/>
      <c r="G43" s="3336"/>
    </row>
    <row r="44" spans="1:7" ht="13.5" customHeight="1">
      <c r="A44" s="734" t="s">
        <v>348</v>
      </c>
      <c r="B44" s="207" t="s">
        <v>428</v>
      </c>
      <c r="C44" s="230">
        <f ca="1">ROUND(IF('数据-取费表'!B22&lt;=1,C40*F22*'数据-取费表'!B21/2,C40*(POWER((1+F22),'数据-取费表'!B21/2)-1)),4)</f>
        <v>5.9999999999999995E-4</v>
      </c>
      <c r="D44" s="230"/>
      <c r="E44" s="230"/>
      <c r="F44" s="231"/>
      <c r="G44" s="3337"/>
    </row>
    <row r="45" spans="1:7" s="206" customFormat="1" ht="13.5" customHeight="1">
      <c r="A45" s="731" t="s">
        <v>341</v>
      </c>
      <c r="B45" s="236" t="s">
        <v>85</v>
      </c>
      <c r="C45" s="237">
        <f>C46</f>
        <v>2401</v>
      </c>
      <c r="D45" s="227">
        <f>C47</f>
        <v>2E-3</v>
      </c>
      <c r="E45" s="228" t="s">
        <v>102</v>
      </c>
      <c r="F45" s="238"/>
      <c r="G45" s="239" t="s">
        <v>434</v>
      </c>
    </row>
    <row r="46" spans="1:7" s="206" customFormat="1" ht="13.5" customHeight="1">
      <c r="A46" s="734" t="s">
        <v>349</v>
      </c>
      <c r="B46" s="240" t="s">
        <v>427</v>
      </c>
      <c r="C46" s="241">
        <f>ROUND((C33+C39)*F27,0)</f>
        <v>2401</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29302</v>
      </c>
      <c r="D49" s="224"/>
      <c r="E49" s="224"/>
      <c r="F49" s="256"/>
      <c r="G49" s="226" t="s">
        <v>435</v>
      </c>
    </row>
    <row r="50" spans="1:7" s="250" customFormat="1" ht="24">
      <c r="A50" s="731" t="s">
        <v>344</v>
      </c>
      <c r="B50" s="202" t="s">
        <v>97</v>
      </c>
      <c r="C50" s="224"/>
      <c r="D50" s="224"/>
      <c r="E50" s="224"/>
      <c r="F50" s="256">
        <f>IF('数据-取费表'!B24=0,'数据-取费表'!N16,1)</f>
        <v>1</v>
      </c>
      <c r="G50" s="239" t="s">
        <v>98</v>
      </c>
    </row>
    <row r="51" spans="1:7" ht="16.5" customHeight="1">
      <c r="A51" s="731" t="s">
        <v>345</v>
      </c>
      <c r="B51" s="202" t="s">
        <v>105</v>
      </c>
      <c r="C51" s="224">
        <f ca="1">ROUND(C49*F50,0)</f>
        <v>29302</v>
      </c>
      <c r="D51" s="224"/>
      <c r="E51" s="224"/>
      <c r="F51" s="256"/>
      <c r="G51" s="226" t="s">
        <v>37</v>
      </c>
    </row>
    <row r="52" spans="1:7" s="200" customFormat="1" ht="16.5" thickBot="1">
      <c r="A52" s="257" t="s">
        <v>38</v>
      </c>
      <c r="B52" s="258"/>
      <c r="C52" s="259">
        <f ca="1">C31+C51</f>
        <v>57043</v>
      </c>
      <c r="D52" s="258"/>
      <c r="E52" s="258"/>
      <c r="F52" s="258"/>
      <c r="G52" s="260"/>
    </row>
    <row r="55" spans="1:7" ht="15">
      <c r="B55" s="262" t="s">
        <v>39</v>
      </c>
      <c r="C55" s="263"/>
    </row>
    <row r="56" spans="1:7">
      <c r="B56" s="265" t="s">
        <v>40</v>
      </c>
      <c r="C56" s="266">
        <f ca="1">ROUND(C51/C52,3)</f>
        <v>0.51400000000000001</v>
      </c>
    </row>
    <row r="57" spans="1:7">
      <c r="B57" s="265" t="s">
        <v>41</v>
      </c>
      <c r="C57" s="267">
        <f ca="1">1-C56</f>
        <v>0.48599999999999999</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I8" sqref="I8:J8"/>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476" t="s">
        <v>2830</v>
      </c>
      <c r="B1" s="3476"/>
      <c r="C1" s="3476"/>
      <c r="D1" s="3476"/>
      <c r="E1" s="3476"/>
      <c r="F1" s="3476"/>
      <c r="G1" s="3477"/>
      <c r="I1" s="2939" t="s">
        <v>2831</v>
      </c>
      <c r="J1" s="2940" t="s">
        <v>2832</v>
      </c>
      <c r="K1" s="2940" t="s">
        <v>2833</v>
      </c>
      <c r="L1" s="2940" t="s">
        <v>2834</v>
      </c>
      <c r="M1" s="2940" t="s">
        <v>2835</v>
      </c>
      <c r="N1" s="2940" t="s">
        <v>2836</v>
      </c>
      <c r="O1" s="2940" t="s">
        <v>2837</v>
      </c>
      <c r="P1" s="2940" t="s">
        <v>2838</v>
      </c>
      <c r="Q1" s="2940" t="s">
        <v>2839</v>
      </c>
      <c r="R1" s="2940" t="s">
        <v>2840</v>
      </c>
      <c r="S1" s="2940" t="s">
        <v>2841</v>
      </c>
      <c r="T1" s="2941" t="s">
        <v>2842</v>
      </c>
    </row>
    <row r="2" spans="1:20" ht="12" thickBot="1">
      <c r="A2" s="2942" t="s">
        <v>2843</v>
      </c>
      <c r="B2" s="2942"/>
      <c r="C2" s="2942"/>
      <c r="D2" s="2942"/>
      <c r="E2" s="2942"/>
      <c r="F2" s="2942"/>
      <c r="G2" s="2943" t="s">
        <v>2844</v>
      </c>
      <c r="I2" s="2944" t="s">
        <v>2845</v>
      </c>
      <c r="J2" s="2944" t="s">
        <v>2846</v>
      </c>
      <c r="K2" s="2944" t="s">
        <v>2847</v>
      </c>
      <c r="L2" s="2944" t="s">
        <v>2848</v>
      </c>
      <c r="M2" s="2944" t="s">
        <v>2849</v>
      </c>
      <c r="N2" s="2944" t="s">
        <v>2850</v>
      </c>
      <c r="O2" s="2944" t="s">
        <v>2851</v>
      </c>
      <c r="P2" s="2944" t="s">
        <v>2852</v>
      </c>
      <c r="Q2" s="2944" t="s">
        <v>2853</v>
      </c>
      <c r="R2" s="2944" t="s">
        <v>2854</v>
      </c>
      <c r="S2" s="2944" t="s">
        <v>2855</v>
      </c>
      <c r="T2" s="2944" t="s">
        <v>2856</v>
      </c>
    </row>
    <row r="3" spans="1:20" s="2950" customFormat="1">
      <c r="A3" s="3474" t="s">
        <v>2857</v>
      </c>
      <c r="B3" s="2945"/>
      <c r="C3" s="2946" t="s">
        <v>2802</v>
      </c>
      <c r="D3" s="2946" t="s">
        <v>2858</v>
      </c>
      <c r="E3" s="2946" t="s">
        <v>2804</v>
      </c>
      <c r="F3" s="2946" t="s">
        <v>2859</v>
      </c>
      <c r="G3" s="2946" t="s">
        <v>2622</v>
      </c>
      <c r="H3" s="2947"/>
      <c r="I3" s="2948" t="s">
        <v>2860</v>
      </c>
      <c r="J3" s="2949" t="s">
        <v>128</v>
      </c>
      <c r="K3" s="2949" t="s">
        <v>129</v>
      </c>
      <c r="L3" s="2948" t="s">
        <v>130</v>
      </c>
      <c r="M3" s="2948" t="s">
        <v>131</v>
      </c>
      <c r="N3" s="2948" t="s">
        <v>132</v>
      </c>
      <c r="O3" s="2948" t="s">
        <v>133</v>
      </c>
      <c r="P3" s="2948" t="s">
        <v>134</v>
      </c>
      <c r="Q3" s="2948" t="s">
        <v>135</v>
      </c>
      <c r="R3" s="2948" t="s">
        <v>136</v>
      </c>
      <c r="S3" s="2948" t="s">
        <v>2861</v>
      </c>
      <c r="T3" s="2948" t="s">
        <v>2862</v>
      </c>
    </row>
    <row r="4" spans="1:20" s="2950" customFormat="1" ht="12" thickBot="1">
      <c r="A4" s="3475"/>
      <c r="B4" s="2951" t="s">
        <v>2863</v>
      </c>
      <c r="C4" s="2951" t="s">
        <v>2864</v>
      </c>
      <c r="D4" s="2951" t="s">
        <v>2864</v>
      </c>
      <c r="E4" s="2951" t="s">
        <v>2864</v>
      </c>
      <c r="F4" s="2952" t="s">
        <v>2864</v>
      </c>
      <c r="G4" s="2952" t="s">
        <v>2864</v>
      </c>
      <c r="H4" s="2947"/>
      <c r="I4" s="2949" t="s">
        <v>137</v>
      </c>
      <c r="J4" s="2949" t="s">
        <v>111</v>
      </c>
      <c r="K4" s="2949" t="s">
        <v>138</v>
      </c>
      <c r="L4" s="2948" t="s">
        <v>139</v>
      </c>
      <c r="M4" s="2948" t="s">
        <v>140</v>
      </c>
      <c r="N4" s="2948" t="s">
        <v>141</v>
      </c>
      <c r="O4" s="2948" t="s">
        <v>142</v>
      </c>
      <c r="P4" s="2948" t="s">
        <v>143</v>
      </c>
      <c r="Q4" s="2948" t="s">
        <v>2865</v>
      </c>
      <c r="R4" s="2948" t="s">
        <v>2866</v>
      </c>
      <c r="S4" s="2948" t="s">
        <v>2867</v>
      </c>
      <c r="T4" s="2948" t="s">
        <v>2868</v>
      </c>
    </row>
    <row r="5" spans="1:20">
      <c r="A5" s="2953" t="s">
        <v>2831</v>
      </c>
      <c r="B5" s="2944" t="s">
        <v>2845</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2869</v>
      </c>
      <c r="R5" s="2948" t="s">
        <v>2870</v>
      </c>
      <c r="S5" s="2948" t="s">
        <v>153</v>
      </c>
      <c r="T5" s="2948" t="s">
        <v>2871</v>
      </c>
    </row>
    <row r="6" spans="1:20" ht="12" thickBot="1">
      <c r="A6" s="2948" t="s">
        <v>144</v>
      </c>
      <c r="B6" s="2948" t="s">
        <v>2860</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2872</v>
      </c>
      <c r="Q6" s="2948" t="s">
        <v>2873</v>
      </c>
      <c r="R6" s="2948" t="s">
        <v>161</v>
      </c>
      <c r="S6" s="2948" t="s">
        <v>2874</v>
      </c>
      <c r="T6" s="2948" t="s">
        <v>2875</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2876</v>
      </c>
      <c r="Q7" s="2948" t="s">
        <v>2877</v>
      </c>
      <c r="R7" s="2948" t="s">
        <v>2878</v>
      </c>
      <c r="S7" s="2948" t="s">
        <v>2879</v>
      </c>
      <c r="T7" s="2948" t="s">
        <v>2880</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2881</v>
      </c>
      <c r="Q8" s="2948" t="s">
        <v>174</v>
      </c>
      <c r="R8" s="2948" t="s">
        <v>2882</v>
      </c>
      <c r="S8" s="2948" t="s">
        <v>2883</v>
      </c>
      <c r="T8" s="2955" t="s">
        <v>2884</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2885</v>
      </c>
      <c r="Q9" s="2948" t="s">
        <v>182</v>
      </c>
      <c r="R9" s="2948" t="s">
        <v>183</v>
      </c>
      <c r="S9" s="2948" t="s">
        <v>200</v>
      </c>
    </row>
    <row r="10" spans="1:20">
      <c r="A10" s="2953" t="s">
        <v>184</v>
      </c>
      <c r="B10" s="2944" t="s">
        <v>2846</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2886</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2887</v>
      </c>
      <c r="P11" s="2948" t="s">
        <v>191</v>
      </c>
      <c r="Q11" s="2948" t="s">
        <v>199</v>
      </c>
      <c r="R11" s="2948" t="s">
        <v>2888</v>
      </c>
      <c r="S11" s="2948" t="s">
        <v>2889</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2890</v>
      </c>
      <c r="P12" s="2948" t="s">
        <v>2891</v>
      </c>
      <c r="Q12" s="2948" t="s">
        <v>2892</v>
      </c>
      <c r="R12" s="2948" t="s">
        <v>2893</v>
      </c>
      <c r="S12" s="2948" t="s">
        <v>2894</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2895</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2896</v>
      </c>
      <c r="K14" s="2949" t="s">
        <v>215</v>
      </c>
      <c r="L14" s="2948" t="s">
        <v>216</v>
      </c>
      <c r="M14" s="2948" t="s">
        <v>217</v>
      </c>
      <c r="N14" s="2948" t="s">
        <v>218</v>
      </c>
      <c r="O14" s="2948" t="s">
        <v>240</v>
      </c>
      <c r="P14" s="2948" t="s">
        <v>213</v>
      </c>
      <c r="Q14" s="2948" t="s">
        <v>2897</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2898</v>
      </c>
      <c r="P15" s="2948" t="s">
        <v>2899</v>
      </c>
      <c r="Q15" s="2948" t="s">
        <v>242</v>
      </c>
      <c r="R15" s="2948" t="s">
        <v>2900</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2901</v>
      </c>
      <c r="P16" s="2948" t="s">
        <v>227</v>
      </c>
      <c r="Q16" s="2948" t="s">
        <v>250</v>
      </c>
      <c r="R16" s="2948" t="s">
        <v>207</v>
      </c>
      <c r="S16" s="2948" t="s">
        <v>2902</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2903</v>
      </c>
      <c r="P17" s="2948" t="s">
        <v>2904</v>
      </c>
      <c r="Q17" s="2948" t="s">
        <v>256</v>
      </c>
      <c r="R17" s="2948" t="s">
        <v>2905</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2906</v>
      </c>
      <c r="P18" s="2948" t="s">
        <v>241</v>
      </c>
      <c r="Q18" s="2948" t="s">
        <v>2907</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2908</v>
      </c>
      <c r="P19" s="2948" t="s">
        <v>249</v>
      </c>
      <c r="Q19" s="2948" t="s">
        <v>2909</v>
      </c>
      <c r="R19" s="2948" t="s">
        <v>265</v>
      </c>
      <c r="S19" s="2948" t="s">
        <v>2910</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2911</v>
      </c>
      <c r="P20" s="2948" t="s">
        <v>2912</v>
      </c>
      <c r="Q20" s="2948" t="s">
        <v>290</v>
      </c>
      <c r="R20" s="2948" t="s">
        <v>2913</v>
      </c>
      <c r="S20" s="2948" t="s">
        <v>277</v>
      </c>
    </row>
    <row r="21" spans="1:19" ht="14.25" customHeight="1" thickBot="1">
      <c r="A21" s="2948" t="s">
        <v>184</v>
      </c>
      <c r="B21" s="2949" t="s">
        <v>208</v>
      </c>
      <c r="C21" s="2948">
        <v>32370</v>
      </c>
      <c r="D21" s="2948">
        <v>26730</v>
      </c>
      <c r="E21" s="2948">
        <v>26640</v>
      </c>
      <c r="F21" s="2948"/>
      <c r="G21" s="2948">
        <v>19440</v>
      </c>
      <c r="J21" s="2955" t="s">
        <v>2914</v>
      </c>
      <c r="K21" s="2949" t="s">
        <v>267</v>
      </c>
      <c r="L21" s="2948" t="s">
        <v>268</v>
      </c>
      <c r="M21" s="2948" t="s">
        <v>269</v>
      </c>
      <c r="N21" s="2948" t="s">
        <v>270</v>
      </c>
      <c r="O21" s="2948" t="s">
        <v>264</v>
      </c>
      <c r="P21" s="2948" t="s">
        <v>283</v>
      </c>
      <c r="Q21" s="2948" t="s">
        <v>293</v>
      </c>
      <c r="R21" s="2948" t="s">
        <v>2915</v>
      </c>
      <c r="S21" s="2955" t="s">
        <v>2916</v>
      </c>
    </row>
    <row r="22" spans="1:19" ht="14.25" customHeight="1">
      <c r="A22" s="2948" t="s">
        <v>184</v>
      </c>
      <c r="B22" s="2949" t="s">
        <v>2896</v>
      </c>
      <c r="C22" s="2948">
        <v>29830</v>
      </c>
      <c r="D22" s="2948">
        <v>27600</v>
      </c>
      <c r="E22" s="2948">
        <v>28150</v>
      </c>
      <c r="F22" s="2948"/>
      <c r="G22" s="2948">
        <v>20080</v>
      </c>
      <c r="K22" s="2949" t="s">
        <v>2917</v>
      </c>
      <c r="L22" s="2948" t="s">
        <v>272</v>
      </c>
      <c r="M22" s="2948" t="s">
        <v>273</v>
      </c>
      <c r="N22" s="2948" t="s">
        <v>274</v>
      </c>
      <c r="O22" s="2948" t="s">
        <v>2918</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2919</v>
      </c>
      <c r="L23" s="2948" t="s">
        <v>278</v>
      </c>
      <c r="M23" s="2948" t="s">
        <v>279</v>
      </c>
      <c r="N23" s="2948" t="s">
        <v>2920</v>
      </c>
      <c r="O23" s="2948" t="s">
        <v>2921</v>
      </c>
      <c r="P23" s="2948" t="s">
        <v>289</v>
      </c>
      <c r="Q23" s="2948" t="s">
        <v>298</v>
      </c>
      <c r="R23" s="2948" t="s">
        <v>2922</v>
      </c>
    </row>
    <row r="24" spans="1:19" ht="14.25" customHeight="1">
      <c r="A24" s="2948" t="s">
        <v>184</v>
      </c>
      <c r="B24" s="2949" t="s">
        <v>230</v>
      </c>
      <c r="C24" s="2948">
        <v>27930</v>
      </c>
      <c r="D24" s="2948">
        <v>32260</v>
      </c>
      <c r="E24" s="2948">
        <v>32120</v>
      </c>
      <c r="F24" s="2948"/>
      <c r="G24" s="2948">
        <v>23470</v>
      </c>
      <c r="K24" s="2949" t="s">
        <v>2923</v>
      </c>
      <c r="L24" s="2948" t="s">
        <v>281</v>
      </c>
      <c r="M24" s="2948" t="s">
        <v>282</v>
      </c>
      <c r="N24" s="2948" t="s">
        <v>2924</v>
      </c>
      <c r="O24" s="2948" t="s">
        <v>285</v>
      </c>
      <c r="P24" s="2948" t="s">
        <v>2925</v>
      </c>
      <c r="Q24" s="2957" t="s">
        <v>2926</v>
      </c>
      <c r="R24" s="2948" t="s">
        <v>2927</v>
      </c>
    </row>
    <row r="25" spans="1:19" ht="14.25" customHeight="1">
      <c r="A25" s="2948" t="s">
        <v>184</v>
      </c>
      <c r="B25" s="2949" t="s">
        <v>235</v>
      </c>
      <c r="C25" s="2948">
        <v>32230</v>
      </c>
      <c r="D25" s="2948">
        <v>29640</v>
      </c>
      <c r="E25" s="2948">
        <v>29510</v>
      </c>
      <c r="F25" s="2948"/>
      <c r="G25" s="2948">
        <v>21560</v>
      </c>
      <c r="K25" s="2949" t="s">
        <v>2928</v>
      </c>
      <c r="L25" s="2948" t="s">
        <v>2929</v>
      </c>
      <c r="M25" s="2948" t="s">
        <v>284</v>
      </c>
      <c r="N25" s="2948" t="s">
        <v>292</v>
      </c>
      <c r="O25" s="2948" t="s">
        <v>288</v>
      </c>
      <c r="P25" s="2948" t="s">
        <v>275</v>
      </c>
      <c r="Q25" s="2957" t="s">
        <v>271</v>
      </c>
      <c r="R25" s="2948" t="s">
        <v>2930</v>
      </c>
    </row>
    <row r="26" spans="1:19" ht="14.25" customHeight="1" thickBot="1">
      <c r="A26" s="2948" t="s">
        <v>184</v>
      </c>
      <c r="B26" s="2949" t="s">
        <v>244</v>
      </c>
      <c r="C26" s="2948">
        <v>31690</v>
      </c>
      <c r="D26" s="2948">
        <v>27650</v>
      </c>
      <c r="E26" s="2948">
        <v>28200</v>
      </c>
      <c r="F26" s="2948"/>
      <c r="G26" s="2948">
        <v>20110</v>
      </c>
      <c r="K26" s="2954" t="s">
        <v>2931</v>
      </c>
      <c r="L26" s="2948" t="s">
        <v>2932</v>
      </c>
      <c r="M26" s="2948" t="s">
        <v>287</v>
      </c>
      <c r="N26" s="2948" t="s">
        <v>294</v>
      </c>
      <c r="O26" s="2948" t="s">
        <v>2933</v>
      </c>
      <c r="P26" s="2948" t="s">
        <v>2934</v>
      </c>
      <c r="Q26" s="2957" t="s">
        <v>276</v>
      </c>
      <c r="R26" s="2948" t="s">
        <v>2935</v>
      </c>
    </row>
    <row r="27" spans="1:19" ht="14.25" customHeight="1">
      <c r="A27" s="2948" t="s">
        <v>184</v>
      </c>
      <c r="B27" s="2949" t="s">
        <v>251</v>
      </c>
      <c r="C27" s="2948">
        <v>29610</v>
      </c>
      <c r="D27" s="2948">
        <v>27770</v>
      </c>
      <c r="E27" s="2948">
        <v>28300</v>
      </c>
      <c r="F27" s="2948"/>
      <c r="G27" s="2948">
        <v>20210</v>
      </c>
      <c r="L27" s="2948" t="s">
        <v>2936</v>
      </c>
      <c r="M27" s="2948" t="s">
        <v>291</v>
      </c>
      <c r="N27" s="2948" t="s">
        <v>297</v>
      </c>
      <c r="O27" s="2948" t="s">
        <v>2937</v>
      </c>
      <c r="P27" s="2948" t="s">
        <v>2938</v>
      </c>
      <c r="Q27" s="2948" t="s">
        <v>2939</v>
      </c>
      <c r="R27" s="2948" t="s">
        <v>2940</v>
      </c>
    </row>
    <row r="28" spans="1:19" ht="14.25" customHeight="1">
      <c r="A28" s="2948" t="s">
        <v>184</v>
      </c>
      <c r="B28" s="2949" t="s">
        <v>259</v>
      </c>
      <c r="C28" s="2948"/>
      <c r="D28" s="2948">
        <v>31520</v>
      </c>
      <c r="E28" s="2948">
        <v>31410</v>
      </c>
      <c r="F28" s="2948"/>
      <c r="G28" s="2948">
        <v>22940</v>
      </c>
      <c r="L28" s="2948" t="s">
        <v>2941</v>
      </c>
      <c r="M28" s="2948" t="s">
        <v>2942</v>
      </c>
      <c r="N28" s="2948" t="s">
        <v>2943</v>
      </c>
      <c r="O28" s="2948" t="s">
        <v>2944</v>
      </c>
      <c r="P28" s="2948" t="s">
        <v>2945</v>
      </c>
      <c r="Q28" s="2948" t="s">
        <v>2946</v>
      </c>
      <c r="R28" s="2948" t="s">
        <v>2947</v>
      </c>
    </row>
    <row r="29" spans="1:19" ht="14.25" customHeight="1" thickBot="1">
      <c r="A29" s="2956" t="s">
        <v>184</v>
      </c>
      <c r="B29" s="2958" t="s">
        <v>2914</v>
      </c>
      <c r="C29" s="2959"/>
      <c r="D29" s="2959">
        <v>29460</v>
      </c>
      <c r="E29" s="2959">
        <v>28640</v>
      </c>
      <c r="F29" s="2959"/>
      <c r="G29" s="2959">
        <v>21430</v>
      </c>
      <c r="L29" s="2948" t="s">
        <v>2948</v>
      </c>
      <c r="M29" s="2948" t="s">
        <v>2949</v>
      </c>
      <c r="N29" s="2948" t="s">
        <v>2950</v>
      </c>
      <c r="O29" s="2948" t="s">
        <v>2951</v>
      </c>
      <c r="P29" s="2948" t="s">
        <v>2952</v>
      </c>
      <c r="Q29" s="2948" t="s">
        <v>2953</v>
      </c>
      <c r="R29" s="2948" t="s">
        <v>280</v>
      </c>
    </row>
    <row r="30" spans="1:19" ht="14.25" customHeight="1">
      <c r="A30" s="2953" t="s">
        <v>296</v>
      </c>
      <c r="B30" s="2944" t="s">
        <v>2847</v>
      </c>
      <c r="C30" s="2944">
        <v>26890</v>
      </c>
      <c r="D30" s="2944">
        <v>26770</v>
      </c>
      <c r="E30" s="2944">
        <v>25700</v>
      </c>
      <c r="F30" s="2944">
        <v>8180</v>
      </c>
      <c r="G30" s="2960">
        <v>18740</v>
      </c>
      <c r="L30" s="2948" t="s">
        <v>2954</v>
      </c>
      <c r="M30" s="2948" t="s">
        <v>2955</v>
      </c>
      <c r="N30" s="2948" t="s">
        <v>2956</v>
      </c>
      <c r="O30" s="2948" t="s">
        <v>2957</v>
      </c>
      <c r="P30" s="2948" t="s">
        <v>2958</v>
      </c>
      <c r="Q30" s="2948" t="s">
        <v>2959</v>
      </c>
      <c r="R30" s="2948" t="s">
        <v>2960</v>
      </c>
    </row>
    <row r="31" spans="1:19" ht="14.25" customHeight="1">
      <c r="A31" s="2948" t="s">
        <v>296</v>
      </c>
      <c r="B31" s="2949" t="s">
        <v>129</v>
      </c>
      <c r="C31" s="2948">
        <v>24550</v>
      </c>
      <c r="D31" s="2948">
        <v>23990</v>
      </c>
      <c r="E31" s="2948">
        <v>22930</v>
      </c>
      <c r="F31" s="2948">
        <v>7470</v>
      </c>
      <c r="G31" s="2961">
        <v>16790</v>
      </c>
      <c r="L31" s="2948" t="s">
        <v>2961</v>
      </c>
      <c r="M31" s="2948" t="s">
        <v>2962</v>
      </c>
      <c r="N31" s="2948" t="s">
        <v>2963</v>
      </c>
      <c r="O31" s="2948" t="s">
        <v>2964</v>
      </c>
      <c r="P31" s="2948" t="s">
        <v>2965</v>
      </c>
      <c r="Q31" s="2948" t="s">
        <v>2966</v>
      </c>
      <c r="R31" s="2948" t="s">
        <v>2967</v>
      </c>
    </row>
    <row r="32" spans="1:19" ht="14.25" customHeight="1" thickBot="1">
      <c r="A32" s="2948" t="s">
        <v>296</v>
      </c>
      <c r="B32" s="2949" t="s">
        <v>138</v>
      </c>
      <c r="C32" s="2948">
        <v>27210</v>
      </c>
      <c r="D32" s="2948">
        <v>23240</v>
      </c>
      <c r="E32" s="2948">
        <v>23260</v>
      </c>
      <c r="F32" s="2948">
        <v>7130</v>
      </c>
      <c r="G32" s="2961">
        <v>16270</v>
      </c>
      <c r="L32" s="2948" t="s">
        <v>2968</v>
      </c>
      <c r="M32" s="2948" t="s">
        <v>2969</v>
      </c>
      <c r="N32" s="2948" t="s">
        <v>300</v>
      </c>
      <c r="O32" s="2948" t="s">
        <v>2970</v>
      </c>
      <c r="P32" s="2948" t="s">
        <v>299</v>
      </c>
      <c r="Q32" s="2948" t="s">
        <v>2971</v>
      </c>
      <c r="R32" s="2955" t="s">
        <v>2972</v>
      </c>
    </row>
    <row r="33" spans="1:17" ht="14.25" customHeight="1" thickBot="1">
      <c r="A33" s="2948" t="s">
        <v>296</v>
      </c>
      <c r="B33" s="2949" t="s">
        <v>147</v>
      </c>
      <c r="C33" s="2948">
        <v>27300</v>
      </c>
      <c r="D33" s="2948">
        <v>22980</v>
      </c>
      <c r="E33" s="2948">
        <v>24260</v>
      </c>
      <c r="F33" s="2948">
        <v>5860</v>
      </c>
      <c r="G33" s="2961">
        <v>16090</v>
      </c>
      <c r="L33" s="2955" t="s">
        <v>2973</v>
      </c>
      <c r="M33" s="2948" t="s">
        <v>2974</v>
      </c>
      <c r="N33" s="2948" t="s">
        <v>301</v>
      </c>
      <c r="O33" s="2948" t="s">
        <v>2975</v>
      </c>
      <c r="P33" s="2948" t="s">
        <v>2976</v>
      </c>
      <c r="Q33" s="2948" t="s">
        <v>2977</v>
      </c>
    </row>
    <row r="34" spans="1:17" ht="14.25" customHeight="1">
      <c r="A34" s="2948" t="s">
        <v>296</v>
      </c>
      <c r="B34" s="2949" t="s">
        <v>156</v>
      </c>
      <c r="C34" s="2948">
        <v>23090</v>
      </c>
      <c r="D34" s="2948">
        <v>23390</v>
      </c>
      <c r="E34" s="2948">
        <v>23510</v>
      </c>
      <c r="F34" s="2948">
        <v>6700</v>
      </c>
      <c r="G34" s="2961">
        <v>16370</v>
      </c>
      <c r="M34" s="2948" t="s">
        <v>2978</v>
      </c>
      <c r="N34" s="2948" t="s">
        <v>302</v>
      </c>
      <c r="O34" s="2948" t="s">
        <v>2979</v>
      </c>
      <c r="P34" s="2948" t="s">
        <v>2980</v>
      </c>
      <c r="Q34" s="2948" t="s">
        <v>2981</v>
      </c>
    </row>
    <row r="35" spans="1:17" ht="14.25" customHeight="1">
      <c r="A35" s="2948" t="s">
        <v>296</v>
      </c>
      <c r="B35" s="2949" t="s">
        <v>163</v>
      </c>
      <c r="C35" s="2948">
        <v>27270</v>
      </c>
      <c r="D35" s="2948">
        <v>24270</v>
      </c>
      <c r="E35" s="2948">
        <v>24950</v>
      </c>
      <c r="F35" s="2948">
        <v>6600</v>
      </c>
      <c r="G35" s="2961">
        <v>16990</v>
      </c>
      <c r="M35" s="2948" t="s">
        <v>2982</v>
      </c>
      <c r="N35" s="2948" t="s">
        <v>2983</v>
      </c>
      <c r="O35" s="2948" t="s">
        <v>2984</v>
      </c>
      <c r="P35" s="2948" t="s">
        <v>2985</v>
      </c>
      <c r="Q35" s="2948" t="s">
        <v>2986</v>
      </c>
    </row>
    <row r="36" spans="1:17" ht="14.25" customHeight="1">
      <c r="A36" s="2948" t="s">
        <v>296</v>
      </c>
      <c r="B36" s="2949" t="s">
        <v>169</v>
      </c>
      <c r="C36" s="2948">
        <v>23490</v>
      </c>
      <c r="D36" s="2948">
        <v>23020</v>
      </c>
      <c r="E36" s="2948">
        <v>25230</v>
      </c>
      <c r="F36" s="2948">
        <v>6780</v>
      </c>
      <c r="G36" s="2961">
        <v>16120</v>
      </c>
      <c r="M36" s="2948" t="s">
        <v>2987</v>
      </c>
      <c r="N36" s="2948" t="s">
        <v>2988</v>
      </c>
      <c r="O36" s="2948" t="s">
        <v>2989</v>
      </c>
      <c r="P36" s="2948" t="s">
        <v>2990</v>
      </c>
      <c r="Q36" s="2948" t="s">
        <v>2991</v>
      </c>
    </row>
    <row r="37" spans="1:17" ht="14.25" customHeight="1">
      <c r="A37" s="2948" t="s">
        <v>296</v>
      </c>
      <c r="B37" s="2949" t="s">
        <v>176</v>
      </c>
      <c r="C37" s="2948">
        <v>24380</v>
      </c>
      <c r="D37" s="2948">
        <v>22240</v>
      </c>
      <c r="E37" s="2948">
        <v>25980</v>
      </c>
      <c r="F37" s="2948">
        <v>8160</v>
      </c>
      <c r="G37" s="2961">
        <v>15570</v>
      </c>
      <c r="M37" s="2948" t="s">
        <v>2992</v>
      </c>
      <c r="N37" s="2948" t="s">
        <v>2993</v>
      </c>
      <c r="O37" s="2948" t="s">
        <v>2994</v>
      </c>
      <c r="P37" s="2948" t="s">
        <v>2995</v>
      </c>
      <c r="Q37" s="2948" t="s">
        <v>2996</v>
      </c>
    </row>
    <row r="38" spans="1:17" ht="14.25" customHeight="1">
      <c r="A38" s="2948" t="s">
        <v>296</v>
      </c>
      <c r="B38" s="2949" t="s">
        <v>186</v>
      </c>
      <c r="C38" s="2948">
        <v>23120</v>
      </c>
      <c r="D38" s="2948">
        <v>24630</v>
      </c>
      <c r="E38" s="2948">
        <v>25030</v>
      </c>
      <c r="F38" s="2948">
        <v>7710</v>
      </c>
      <c r="G38" s="2961">
        <v>17240</v>
      </c>
      <c r="M38" s="2948" t="s">
        <v>2997</v>
      </c>
      <c r="N38" s="2948" t="s">
        <v>2998</v>
      </c>
      <c r="O38" s="2948" t="s">
        <v>2999</v>
      </c>
      <c r="P38" s="2948" t="s">
        <v>3000</v>
      </c>
      <c r="Q38" s="2948" t="s">
        <v>3001</v>
      </c>
    </row>
    <row r="39" spans="1:17" ht="14.25" customHeight="1">
      <c r="A39" s="2948" t="s">
        <v>296</v>
      </c>
      <c r="B39" s="2949" t="s">
        <v>195</v>
      </c>
      <c r="C39" s="2948">
        <v>22330</v>
      </c>
      <c r="D39" s="2948">
        <v>21140</v>
      </c>
      <c r="E39" s="2948">
        <v>23970</v>
      </c>
      <c r="F39" s="2948">
        <v>7940</v>
      </c>
      <c r="G39" s="2961">
        <v>14790</v>
      </c>
      <c r="M39" s="2948" t="s">
        <v>3002</v>
      </c>
      <c r="N39" s="2948" t="s">
        <v>3003</v>
      </c>
      <c r="O39" s="2948" t="s">
        <v>3004</v>
      </c>
      <c r="P39" s="2948" t="s">
        <v>3005</v>
      </c>
      <c r="Q39" s="2948" t="s">
        <v>3006</v>
      </c>
    </row>
    <row r="40" spans="1:17" ht="14.25" customHeight="1">
      <c r="A40" s="2948" t="s">
        <v>296</v>
      </c>
      <c r="B40" s="2949" t="s">
        <v>202</v>
      </c>
      <c r="C40" s="2948">
        <v>24740</v>
      </c>
      <c r="D40" s="2948">
        <v>24690</v>
      </c>
      <c r="E40" s="2948">
        <v>22610</v>
      </c>
      <c r="F40" s="2948"/>
      <c r="G40" s="2961">
        <v>17280</v>
      </c>
      <c r="M40" s="2948" t="s">
        <v>3007</v>
      </c>
      <c r="N40" s="2948" t="s">
        <v>3008</v>
      </c>
      <c r="O40" s="2948" t="s">
        <v>3009</v>
      </c>
      <c r="P40" s="2948" t="s">
        <v>3010</v>
      </c>
      <c r="Q40" s="2948" t="s">
        <v>3011</v>
      </c>
    </row>
    <row r="41" spans="1:17" ht="14.25" customHeight="1" thickBot="1">
      <c r="A41" s="2948" t="s">
        <v>296</v>
      </c>
      <c r="B41" s="2949" t="s">
        <v>209</v>
      </c>
      <c r="C41" s="2948">
        <v>21220</v>
      </c>
      <c r="D41" s="2948">
        <v>21120</v>
      </c>
      <c r="E41" s="2948">
        <v>22590</v>
      </c>
      <c r="F41" s="2948"/>
      <c r="G41" s="2961">
        <v>14780</v>
      </c>
      <c r="M41" s="2955" t="s">
        <v>3012</v>
      </c>
      <c r="N41" s="2948" t="s">
        <v>3013</v>
      </c>
      <c r="O41" s="2948" t="s">
        <v>3014</v>
      </c>
      <c r="P41" s="2948" t="s">
        <v>3015</v>
      </c>
      <c r="Q41" s="2948" t="s">
        <v>3016</v>
      </c>
    </row>
    <row r="42" spans="1:17" ht="14.25" customHeight="1">
      <c r="A42" s="2948" t="s">
        <v>296</v>
      </c>
      <c r="B42" s="2949" t="s">
        <v>215</v>
      </c>
      <c r="C42" s="2948">
        <v>24800</v>
      </c>
      <c r="D42" s="2948">
        <v>22280</v>
      </c>
      <c r="E42" s="2948">
        <v>24350</v>
      </c>
      <c r="F42" s="2948"/>
      <c r="G42" s="2961">
        <v>15590</v>
      </c>
      <c r="N42" s="2948" t="s">
        <v>3017</v>
      </c>
      <c r="O42" s="2948" t="s">
        <v>3018</v>
      </c>
      <c r="P42" s="2948" t="s">
        <v>3019</v>
      </c>
      <c r="Q42" s="2948" t="s">
        <v>3020</v>
      </c>
    </row>
    <row r="43" spans="1:17" ht="14.25" customHeight="1">
      <c r="A43" s="2948" t="s">
        <v>3021</v>
      </c>
      <c r="B43" s="2949" t="s">
        <v>223</v>
      </c>
      <c r="C43" s="2948">
        <v>21210</v>
      </c>
      <c r="D43" s="2948">
        <v>21160</v>
      </c>
      <c r="E43" s="2948">
        <v>22650</v>
      </c>
      <c r="F43" s="2948"/>
      <c r="G43" s="2961">
        <v>14800</v>
      </c>
      <c r="N43" s="2948" t="s">
        <v>3022</v>
      </c>
      <c r="O43" s="2948" t="s">
        <v>3023</v>
      </c>
      <c r="P43" s="2948" t="s">
        <v>3024</v>
      </c>
      <c r="Q43" s="2948" t="s">
        <v>3025</v>
      </c>
    </row>
    <row r="44" spans="1:17" ht="14.25" customHeight="1" thickBot="1">
      <c r="A44" s="2948" t="s">
        <v>296</v>
      </c>
      <c r="B44" s="2949" t="s">
        <v>231</v>
      </c>
      <c r="C44" s="2948">
        <v>22370</v>
      </c>
      <c r="D44" s="2948">
        <v>23140</v>
      </c>
      <c r="E44" s="2948">
        <v>25090</v>
      </c>
      <c r="F44" s="2948"/>
      <c r="G44" s="2961">
        <v>16190</v>
      </c>
      <c r="N44" s="2948" t="s">
        <v>3026</v>
      </c>
      <c r="O44" s="2948" t="s">
        <v>3027</v>
      </c>
      <c r="P44" s="2955" t="s">
        <v>3028</v>
      </c>
      <c r="Q44" s="2948" t="s">
        <v>3029</v>
      </c>
    </row>
    <row r="45" spans="1:17" ht="14.25" customHeight="1" thickBot="1">
      <c r="A45" s="2948" t="s">
        <v>296</v>
      </c>
      <c r="B45" s="2949" t="s">
        <v>236</v>
      </c>
      <c r="C45" s="2948">
        <v>21240</v>
      </c>
      <c r="D45" s="2948">
        <v>27050</v>
      </c>
      <c r="E45" s="2948">
        <v>28000</v>
      </c>
      <c r="F45" s="2948"/>
      <c r="G45" s="2961">
        <v>18940</v>
      </c>
      <c r="N45" s="2948" t="s">
        <v>3030</v>
      </c>
      <c r="O45" s="2955" t="s">
        <v>3031</v>
      </c>
      <c r="Q45" s="2948" t="s">
        <v>3032</v>
      </c>
    </row>
    <row r="46" spans="1:17" ht="14.25" customHeight="1">
      <c r="A46" s="2948" t="s">
        <v>296</v>
      </c>
      <c r="B46" s="2949" t="s">
        <v>245</v>
      </c>
      <c r="C46" s="2948">
        <v>23240</v>
      </c>
      <c r="D46" s="2948">
        <v>23000</v>
      </c>
      <c r="E46" s="2948">
        <v>24980</v>
      </c>
      <c r="F46" s="2948"/>
      <c r="G46" s="2961">
        <v>16100</v>
      </c>
      <c r="N46" s="2948" t="s">
        <v>3033</v>
      </c>
      <c r="Q46" s="2948" t="s">
        <v>3034</v>
      </c>
    </row>
    <row r="47" spans="1:17" ht="14.25" customHeight="1">
      <c r="A47" s="2948" t="s">
        <v>296</v>
      </c>
      <c r="B47" s="2949" t="s">
        <v>252</v>
      </c>
      <c r="C47" s="2948">
        <v>27150</v>
      </c>
      <c r="D47" s="2948">
        <v>23310</v>
      </c>
      <c r="E47" s="2948">
        <v>25150</v>
      </c>
      <c r="F47" s="2948"/>
      <c r="G47" s="2961">
        <v>16310</v>
      </c>
      <c r="N47" s="2948" t="s">
        <v>3035</v>
      </c>
      <c r="Q47" s="2948" t="s">
        <v>3036</v>
      </c>
    </row>
    <row r="48" spans="1:17" ht="14.25" customHeight="1">
      <c r="A48" s="2948" t="s">
        <v>296</v>
      </c>
      <c r="B48" s="2949" t="s">
        <v>260</v>
      </c>
      <c r="C48" s="2948">
        <v>23100</v>
      </c>
      <c r="D48" s="2948">
        <v>21110</v>
      </c>
      <c r="E48" s="2948">
        <v>23080</v>
      </c>
      <c r="F48" s="2948"/>
      <c r="G48" s="2961">
        <v>14780</v>
      </c>
      <c r="N48" s="2948" t="s">
        <v>3037</v>
      </c>
      <c r="Q48" s="2948" t="s">
        <v>3038</v>
      </c>
    </row>
    <row r="49" spans="1:17" ht="14.25" customHeight="1">
      <c r="A49" s="2948" t="s">
        <v>296</v>
      </c>
      <c r="B49" s="2949" t="s">
        <v>267</v>
      </c>
      <c r="C49" s="2948">
        <v>23400</v>
      </c>
      <c r="D49" s="2948">
        <v>22920</v>
      </c>
      <c r="E49" s="2948">
        <v>24900</v>
      </c>
      <c r="F49" s="2948"/>
      <c r="G49" s="2961">
        <v>16040</v>
      </c>
      <c r="N49" s="2948" t="s">
        <v>3039</v>
      </c>
      <c r="Q49" s="2948" t="s">
        <v>3040</v>
      </c>
    </row>
    <row r="50" spans="1:17" ht="14.25" customHeight="1">
      <c r="A50" s="2948" t="s">
        <v>296</v>
      </c>
      <c r="B50" s="2949" t="s">
        <v>2917</v>
      </c>
      <c r="C50" s="2948">
        <v>21200</v>
      </c>
      <c r="D50" s="2948">
        <v>26540</v>
      </c>
      <c r="E50" s="2948">
        <v>23200</v>
      </c>
      <c r="F50" s="2948"/>
      <c r="G50" s="2961">
        <v>18580</v>
      </c>
      <c r="N50" s="2948" t="s">
        <v>3041</v>
      </c>
      <c r="Q50" s="2949" t="s">
        <v>3042</v>
      </c>
    </row>
    <row r="51" spans="1:17" ht="14.25" customHeight="1" thickBot="1">
      <c r="A51" s="2948" t="s">
        <v>296</v>
      </c>
      <c r="B51" s="2949" t="s">
        <v>2919</v>
      </c>
      <c r="C51" s="2948">
        <v>23000</v>
      </c>
      <c r="D51" s="2948">
        <v>23460</v>
      </c>
      <c r="E51" s="2948">
        <v>25290</v>
      </c>
      <c r="F51" s="2948"/>
      <c r="G51" s="2961">
        <v>16420</v>
      </c>
      <c r="N51" s="2948" t="s">
        <v>3043</v>
      </c>
      <c r="Q51" s="2955" t="s">
        <v>3044</v>
      </c>
    </row>
    <row r="52" spans="1:17" ht="14.25" customHeight="1">
      <c r="A52" s="2948" t="s">
        <v>296</v>
      </c>
      <c r="B52" s="2949" t="s">
        <v>2923</v>
      </c>
      <c r="C52" s="2948">
        <v>26660</v>
      </c>
      <c r="D52" s="2948">
        <v>22350</v>
      </c>
      <c r="E52" s="2948">
        <v>22920</v>
      </c>
      <c r="F52" s="2948"/>
      <c r="G52" s="2961">
        <v>15640</v>
      </c>
      <c r="N52" s="2948" t="s">
        <v>3045</v>
      </c>
    </row>
    <row r="53" spans="1:17" ht="14.25" customHeight="1">
      <c r="A53" s="2948" t="s">
        <v>296</v>
      </c>
      <c r="B53" s="2949" t="s">
        <v>2928</v>
      </c>
      <c r="C53" s="2948">
        <v>23580</v>
      </c>
      <c r="D53" s="2948"/>
      <c r="E53" s="2948">
        <v>24280</v>
      </c>
      <c r="F53" s="2948"/>
      <c r="G53" s="2961"/>
      <c r="N53" s="2948" t="s">
        <v>3046</v>
      </c>
    </row>
    <row r="54" spans="1:17" ht="14.25" customHeight="1" thickBot="1">
      <c r="A54" s="2962" t="s">
        <v>296</v>
      </c>
      <c r="B54" s="2954" t="s">
        <v>2931</v>
      </c>
      <c r="C54" s="2955">
        <v>22460</v>
      </c>
      <c r="D54" s="2955"/>
      <c r="E54" s="2955"/>
      <c r="F54" s="2955"/>
      <c r="G54" s="2963"/>
      <c r="N54" s="2948" t="s">
        <v>3047</v>
      </c>
    </row>
    <row r="55" spans="1:17" ht="14.25" customHeight="1">
      <c r="A55" s="2953" t="s">
        <v>110</v>
      </c>
      <c r="B55" s="2944" t="s">
        <v>3048</v>
      </c>
      <c r="C55" s="2948">
        <v>21970</v>
      </c>
      <c r="D55" s="2948">
        <v>20370</v>
      </c>
      <c r="E55" s="2948">
        <v>20180</v>
      </c>
      <c r="F55" s="2948">
        <v>5730</v>
      </c>
      <c r="G55" s="2948">
        <v>13820</v>
      </c>
      <c r="N55" s="2948" t="s">
        <v>3049</v>
      </c>
    </row>
    <row r="56" spans="1:17" ht="14.25" customHeight="1">
      <c r="A56" s="2948" t="s">
        <v>110</v>
      </c>
      <c r="B56" s="2948" t="s">
        <v>130</v>
      </c>
      <c r="C56" s="2948">
        <v>20470</v>
      </c>
      <c r="D56" s="2948">
        <v>20700</v>
      </c>
      <c r="E56" s="2948">
        <v>20380</v>
      </c>
      <c r="F56" s="2948">
        <v>4760</v>
      </c>
      <c r="G56" s="2948">
        <v>14050</v>
      </c>
      <c r="N56" s="2948" t="s">
        <v>3050</v>
      </c>
    </row>
    <row r="57" spans="1:17" ht="14.25" customHeight="1">
      <c r="A57" s="2948" t="s">
        <v>110</v>
      </c>
      <c r="B57" s="2948" t="s">
        <v>139</v>
      </c>
      <c r="C57" s="2948">
        <v>20790</v>
      </c>
      <c r="D57" s="2948">
        <v>21370</v>
      </c>
      <c r="E57" s="2948">
        <v>20890</v>
      </c>
      <c r="F57" s="2948">
        <v>4910</v>
      </c>
      <c r="G57" s="2948">
        <v>14510</v>
      </c>
      <c r="N57" s="2948" t="s">
        <v>3051</v>
      </c>
    </row>
    <row r="58" spans="1:17" ht="14.25" customHeight="1">
      <c r="A58" s="2948" t="s">
        <v>110</v>
      </c>
      <c r="B58" s="2948" t="s">
        <v>148</v>
      </c>
      <c r="C58" s="2948">
        <v>21460</v>
      </c>
      <c r="D58" s="2948">
        <v>20920</v>
      </c>
      <c r="E58" s="2948">
        <v>23410</v>
      </c>
      <c r="F58" s="2948">
        <v>5100</v>
      </c>
      <c r="G58" s="2948">
        <v>14200</v>
      </c>
      <c r="N58" s="2948" t="s">
        <v>3052</v>
      </c>
    </row>
    <row r="59" spans="1:17" ht="14.25" customHeight="1">
      <c r="A59" s="2948" t="s">
        <v>110</v>
      </c>
      <c r="B59" s="2948" t="s">
        <v>157</v>
      </c>
      <c r="C59" s="2948">
        <v>21000</v>
      </c>
      <c r="D59" s="2948">
        <v>21550</v>
      </c>
      <c r="E59" s="2948">
        <v>21150</v>
      </c>
      <c r="F59" s="2948">
        <v>5250</v>
      </c>
      <c r="G59" s="2948">
        <v>14630</v>
      </c>
      <c r="N59" s="2948" t="s">
        <v>3053</v>
      </c>
    </row>
    <row r="60" spans="1:17" ht="14.25" customHeight="1">
      <c r="A60" s="2948" t="s">
        <v>110</v>
      </c>
      <c r="B60" s="2948" t="s">
        <v>164</v>
      </c>
      <c r="C60" s="2948">
        <v>21640</v>
      </c>
      <c r="D60" s="2948">
        <v>21260</v>
      </c>
      <c r="E60" s="2948">
        <v>24040</v>
      </c>
      <c r="F60" s="2948">
        <v>4470</v>
      </c>
      <c r="G60" s="2948">
        <v>14430</v>
      </c>
      <c r="N60" s="2948" t="s">
        <v>3054</v>
      </c>
    </row>
    <row r="61" spans="1:17" ht="14.25" customHeight="1">
      <c r="A61" s="2948" t="s">
        <v>110</v>
      </c>
      <c r="B61" s="2948" t="s">
        <v>170</v>
      </c>
      <c r="C61" s="2948">
        <v>21330</v>
      </c>
      <c r="D61" s="2948">
        <v>18640</v>
      </c>
      <c r="E61" s="2948">
        <v>21190</v>
      </c>
      <c r="F61" s="2948">
        <v>4180</v>
      </c>
      <c r="G61" s="2948">
        <v>12650</v>
      </c>
      <c r="N61" s="2948" t="s">
        <v>3055</v>
      </c>
    </row>
    <row r="62" spans="1:17" ht="14.25" customHeight="1">
      <c r="A62" s="2948" t="s">
        <v>110</v>
      </c>
      <c r="B62" s="2948" t="s">
        <v>177</v>
      </c>
      <c r="C62" s="2948">
        <v>18710</v>
      </c>
      <c r="D62" s="2948">
        <v>19400</v>
      </c>
      <c r="E62" s="2948">
        <v>23750</v>
      </c>
      <c r="F62" s="2948">
        <v>4860</v>
      </c>
      <c r="G62" s="2948">
        <v>13170</v>
      </c>
      <c r="N62" s="2948" t="s">
        <v>3056</v>
      </c>
    </row>
    <row r="63" spans="1:17" ht="14.25" customHeight="1">
      <c r="A63" s="2948" t="s">
        <v>110</v>
      </c>
      <c r="B63" s="2948" t="s">
        <v>187</v>
      </c>
      <c r="C63" s="2948">
        <v>19480</v>
      </c>
      <c r="D63" s="2948">
        <v>16830</v>
      </c>
      <c r="E63" s="2948">
        <v>21590</v>
      </c>
      <c r="F63" s="2948">
        <v>4560</v>
      </c>
      <c r="G63" s="2948">
        <v>11420</v>
      </c>
      <c r="N63" s="2948" t="s">
        <v>3057</v>
      </c>
    </row>
    <row r="64" spans="1:17" ht="14.25" customHeight="1" thickBot="1">
      <c r="A64" s="2948" t="s">
        <v>110</v>
      </c>
      <c r="B64" s="2948" t="s">
        <v>196</v>
      </c>
      <c r="C64" s="2948">
        <v>16920</v>
      </c>
      <c r="D64" s="2948">
        <v>19190</v>
      </c>
      <c r="E64" s="2948">
        <v>22200</v>
      </c>
      <c r="F64" s="2948">
        <v>4390</v>
      </c>
      <c r="G64" s="2948">
        <v>13030</v>
      </c>
      <c r="N64" s="2955" t="s">
        <v>3058</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2929</v>
      </c>
      <c r="C78" s="2948">
        <v>19820</v>
      </c>
      <c r="D78" s="2948">
        <v>19780</v>
      </c>
      <c r="E78" s="2948">
        <v>18560</v>
      </c>
      <c r="F78" s="2948"/>
      <c r="G78" s="2948">
        <v>13430</v>
      </c>
    </row>
    <row r="79" spans="1:7" s="2782" customFormat="1" ht="14.25" customHeight="1">
      <c r="A79" s="2948" t="s">
        <v>110</v>
      </c>
      <c r="B79" s="2948" t="s">
        <v>2932</v>
      </c>
      <c r="C79" s="2948">
        <v>21660</v>
      </c>
      <c r="D79" s="2948">
        <v>18000</v>
      </c>
      <c r="E79" s="2948">
        <v>22570</v>
      </c>
      <c r="F79" s="2948"/>
      <c r="G79" s="2948">
        <v>12220</v>
      </c>
    </row>
    <row r="80" spans="1:7" s="2782" customFormat="1" ht="14.25" customHeight="1">
      <c r="A80" s="2948" t="s">
        <v>110</v>
      </c>
      <c r="B80" s="2948" t="s">
        <v>2936</v>
      </c>
      <c r="C80" s="2948">
        <v>19850</v>
      </c>
      <c r="D80" s="2948"/>
      <c r="E80" s="2948">
        <v>21700</v>
      </c>
      <c r="F80" s="2948"/>
      <c r="G80" s="2948"/>
    </row>
    <row r="81" spans="1:7" s="2782" customFormat="1" ht="14.25" customHeight="1">
      <c r="A81" s="2948" t="s">
        <v>110</v>
      </c>
      <c r="B81" s="2948" t="s">
        <v>2941</v>
      </c>
      <c r="C81" s="2948">
        <v>18080</v>
      </c>
      <c r="D81" s="2948"/>
      <c r="E81" s="2948">
        <v>20900</v>
      </c>
      <c r="F81" s="2948"/>
      <c r="G81" s="2948"/>
    </row>
    <row r="82" spans="1:7" s="2782" customFormat="1" ht="14.25" customHeight="1">
      <c r="A82" s="2948" t="s">
        <v>110</v>
      </c>
      <c r="B82" s="2948" t="s">
        <v>2948</v>
      </c>
      <c r="C82" s="2948"/>
      <c r="D82" s="2948"/>
      <c r="E82" s="2948">
        <v>20840</v>
      </c>
      <c r="F82" s="2948"/>
      <c r="G82" s="2948"/>
    </row>
    <row r="83" spans="1:7" s="2782" customFormat="1" ht="14.25" customHeight="1">
      <c r="A83" s="2948" t="s">
        <v>110</v>
      </c>
      <c r="B83" s="2948" t="s">
        <v>3059</v>
      </c>
      <c r="C83" s="2948"/>
      <c r="D83" s="2948"/>
      <c r="E83" s="2948"/>
      <c r="F83" s="2948">
        <v>4770</v>
      </c>
      <c r="G83" s="2948"/>
    </row>
    <row r="84" spans="1:7" s="2782" customFormat="1" ht="14.25" customHeight="1">
      <c r="A84" s="2948" t="s">
        <v>110</v>
      </c>
      <c r="B84" s="2948" t="s">
        <v>3060</v>
      </c>
      <c r="C84" s="2948"/>
      <c r="D84" s="2948"/>
      <c r="E84" s="2948"/>
      <c r="F84" s="2948">
        <v>4600</v>
      </c>
      <c r="G84" s="2948"/>
    </row>
    <row r="85" spans="1:7" s="2782" customFormat="1" ht="14.25" customHeight="1">
      <c r="A85" s="2948" t="s">
        <v>110</v>
      </c>
      <c r="B85" s="2948" t="s">
        <v>3061</v>
      </c>
      <c r="C85" s="2948"/>
      <c r="D85" s="2948"/>
      <c r="E85" s="2948"/>
      <c r="F85" s="2948">
        <v>4680</v>
      </c>
      <c r="G85" s="2948"/>
    </row>
    <row r="86" spans="1:7" s="2782" customFormat="1" ht="14.25" customHeight="1" thickBot="1">
      <c r="A86" s="2956" t="s">
        <v>110</v>
      </c>
      <c r="B86" s="2958" t="s">
        <v>3062</v>
      </c>
      <c r="C86" s="2959">
        <v>16610</v>
      </c>
      <c r="D86" s="2959">
        <v>16540</v>
      </c>
      <c r="E86" s="2959">
        <v>18850</v>
      </c>
      <c r="F86" s="2959"/>
      <c r="G86" s="2959">
        <v>11220</v>
      </c>
    </row>
    <row r="87" spans="1:7" s="2782" customFormat="1" ht="14.25" customHeight="1">
      <c r="A87" s="2953" t="s">
        <v>303</v>
      </c>
      <c r="B87" s="2944" t="s">
        <v>3063</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2942</v>
      </c>
      <c r="C113" s="2948">
        <v>15520</v>
      </c>
      <c r="D113" s="2948">
        <v>15450</v>
      </c>
      <c r="E113" s="2948"/>
      <c r="F113" s="2948"/>
      <c r="G113" s="2961">
        <v>10210</v>
      </c>
    </row>
    <row r="114" spans="1:7" s="2782" customFormat="1" ht="14.25" customHeight="1">
      <c r="A114" s="2948" t="s">
        <v>303</v>
      </c>
      <c r="B114" s="2948" t="s">
        <v>2949</v>
      </c>
      <c r="C114" s="2948">
        <v>13110</v>
      </c>
      <c r="D114" s="2948">
        <v>13050</v>
      </c>
      <c r="E114" s="2948"/>
      <c r="F114" s="2948"/>
      <c r="G114" s="2961">
        <v>8620</v>
      </c>
    </row>
    <row r="115" spans="1:7" s="2782" customFormat="1" ht="14.25" customHeight="1">
      <c r="A115" s="2948" t="s">
        <v>303</v>
      </c>
      <c r="B115" s="2948" t="s">
        <v>2955</v>
      </c>
      <c r="C115" s="2948">
        <v>12460</v>
      </c>
      <c r="D115" s="2948">
        <v>12390</v>
      </c>
      <c r="E115" s="2948"/>
      <c r="F115" s="2948"/>
      <c r="G115" s="2961">
        <v>8190</v>
      </c>
    </row>
    <row r="116" spans="1:7" s="2782" customFormat="1" ht="14.25" customHeight="1">
      <c r="A116" s="2948" t="s">
        <v>303</v>
      </c>
      <c r="B116" s="2948" t="s">
        <v>2962</v>
      </c>
      <c r="C116" s="2948">
        <v>13580</v>
      </c>
      <c r="D116" s="2948">
        <v>13520</v>
      </c>
      <c r="E116" s="2948"/>
      <c r="F116" s="2948"/>
      <c r="G116" s="2961">
        <v>8930</v>
      </c>
    </row>
    <row r="117" spans="1:7" s="2782" customFormat="1" ht="14.25" customHeight="1">
      <c r="A117" s="2948" t="s">
        <v>303</v>
      </c>
      <c r="B117" s="2948" t="s">
        <v>2969</v>
      </c>
      <c r="C117" s="2948">
        <v>17120</v>
      </c>
      <c r="D117" s="2948">
        <v>17040</v>
      </c>
      <c r="E117" s="2948"/>
      <c r="F117" s="2948"/>
      <c r="G117" s="2961">
        <v>11260</v>
      </c>
    </row>
    <row r="118" spans="1:7" s="2782" customFormat="1" ht="14.25" customHeight="1">
      <c r="A118" s="2948" t="s">
        <v>303</v>
      </c>
      <c r="B118" s="2948" t="s">
        <v>2974</v>
      </c>
      <c r="C118" s="2948">
        <v>14860</v>
      </c>
      <c r="D118" s="2948">
        <v>14790</v>
      </c>
      <c r="E118" s="2948"/>
      <c r="F118" s="2948"/>
      <c r="G118" s="2961">
        <v>9780</v>
      </c>
    </row>
    <row r="119" spans="1:7" s="2782" customFormat="1" ht="14.25" customHeight="1">
      <c r="A119" s="2948" t="s">
        <v>303</v>
      </c>
      <c r="B119" s="2948" t="s">
        <v>2978</v>
      </c>
      <c r="C119" s="2948">
        <v>16470</v>
      </c>
      <c r="D119" s="2948">
        <v>16400</v>
      </c>
      <c r="E119" s="2948"/>
      <c r="F119" s="2948"/>
      <c r="G119" s="2961">
        <v>10840</v>
      </c>
    </row>
    <row r="120" spans="1:7" s="2782" customFormat="1" ht="14.25" customHeight="1">
      <c r="A120" s="2948" t="s">
        <v>303</v>
      </c>
      <c r="B120" s="2948" t="s">
        <v>3064</v>
      </c>
      <c r="C120" s="2948"/>
      <c r="D120" s="2948"/>
      <c r="E120" s="2948"/>
      <c r="F120" s="2948">
        <v>4160</v>
      </c>
      <c r="G120" s="2961"/>
    </row>
    <row r="121" spans="1:7" s="2782" customFormat="1" ht="14.25" customHeight="1">
      <c r="A121" s="2948" t="s">
        <v>303</v>
      </c>
      <c r="B121" s="2948" t="s">
        <v>3065</v>
      </c>
      <c r="C121" s="2948"/>
      <c r="D121" s="2948"/>
      <c r="E121" s="2948"/>
      <c r="F121" s="2948">
        <v>3880</v>
      </c>
      <c r="G121" s="2961"/>
    </row>
    <row r="122" spans="1:7" s="2782" customFormat="1" ht="14.25" customHeight="1">
      <c r="A122" s="2948" t="s">
        <v>303</v>
      </c>
      <c r="B122" s="2948" t="s">
        <v>3066</v>
      </c>
      <c r="C122" s="2948">
        <v>13750</v>
      </c>
      <c r="D122" s="2948">
        <v>13680</v>
      </c>
      <c r="E122" s="2948">
        <v>16460</v>
      </c>
      <c r="F122" s="2948">
        <v>2880</v>
      </c>
      <c r="G122" s="2961">
        <v>9040</v>
      </c>
    </row>
    <row r="123" spans="1:7" s="2782" customFormat="1" ht="14.25" customHeight="1">
      <c r="A123" s="2948" t="s">
        <v>303</v>
      </c>
      <c r="B123" s="2948" t="s">
        <v>2997</v>
      </c>
      <c r="C123" s="2948">
        <v>13590</v>
      </c>
      <c r="D123" s="2948">
        <v>13520</v>
      </c>
      <c r="E123" s="2948">
        <v>16290</v>
      </c>
      <c r="F123" s="2948">
        <v>2790</v>
      </c>
      <c r="G123" s="2961">
        <v>8930</v>
      </c>
    </row>
    <row r="124" spans="1:7" s="2782" customFormat="1" ht="14.25" customHeight="1">
      <c r="A124" s="2948" t="s">
        <v>303</v>
      </c>
      <c r="B124" s="2948" t="s">
        <v>3002</v>
      </c>
      <c r="C124" s="2948">
        <v>13400</v>
      </c>
      <c r="D124" s="2948">
        <v>13320</v>
      </c>
      <c r="E124" s="2948">
        <v>16100</v>
      </c>
      <c r="F124" s="2948">
        <v>2320</v>
      </c>
      <c r="G124" s="2961">
        <v>8800</v>
      </c>
    </row>
    <row r="125" spans="1:7" s="2782" customFormat="1" ht="14.25" customHeight="1">
      <c r="A125" s="2948" t="s">
        <v>303</v>
      </c>
      <c r="B125" s="2948" t="s">
        <v>3007</v>
      </c>
      <c r="C125" s="2948">
        <v>12860</v>
      </c>
      <c r="D125" s="2948">
        <v>12790</v>
      </c>
      <c r="E125" s="2948">
        <v>15370</v>
      </c>
      <c r="F125" s="2948">
        <v>2280</v>
      </c>
      <c r="G125" s="2961">
        <v>8450</v>
      </c>
    </row>
    <row r="126" spans="1:7" s="2782" customFormat="1" ht="14.25" customHeight="1" thickBot="1">
      <c r="A126" s="2962" t="s">
        <v>303</v>
      </c>
      <c r="B126" s="2955" t="s">
        <v>3012</v>
      </c>
      <c r="C126" s="2955">
        <v>12960</v>
      </c>
      <c r="D126" s="2955">
        <v>12890</v>
      </c>
      <c r="E126" s="2955">
        <v>15530</v>
      </c>
      <c r="F126" s="2955">
        <v>2910</v>
      </c>
      <c r="G126" s="2963">
        <v>8520</v>
      </c>
    </row>
    <row r="127" spans="1:7" s="2782" customFormat="1" ht="14.25" customHeight="1">
      <c r="A127" s="2953" t="s">
        <v>29</v>
      </c>
      <c r="B127" s="2944" t="s">
        <v>3067</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3068</v>
      </c>
      <c r="C148" s="2948">
        <v>10370</v>
      </c>
      <c r="D148" s="2948">
        <v>10310</v>
      </c>
      <c r="E148" s="2948">
        <v>12970</v>
      </c>
      <c r="F148" s="2948"/>
      <c r="G148" s="2948">
        <v>6630</v>
      </c>
    </row>
    <row r="149" spans="1:7" s="2782" customFormat="1" ht="14.25" customHeight="1">
      <c r="A149" s="2948" t="s">
        <v>29</v>
      </c>
      <c r="B149" s="2948" t="s">
        <v>3069</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2943</v>
      </c>
      <c r="C153" s="2948">
        <v>10880</v>
      </c>
      <c r="D153" s="2948">
        <v>10820</v>
      </c>
      <c r="E153" s="2948">
        <v>13660</v>
      </c>
      <c r="F153" s="2948">
        <v>2260</v>
      </c>
      <c r="G153" s="2948">
        <v>6970</v>
      </c>
    </row>
    <row r="154" spans="1:7" s="2782" customFormat="1" ht="14.25" customHeight="1">
      <c r="A154" s="2948" t="s">
        <v>29</v>
      </c>
      <c r="B154" s="2948" t="s">
        <v>3070</v>
      </c>
      <c r="C154" s="2948">
        <v>11220</v>
      </c>
      <c r="D154" s="2948">
        <v>11160</v>
      </c>
      <c r="E154" s="2948">
        <v>14130</v>
      </c>
      <c r="F154" s="2948">
        <v>2230</v>
      </c>
      <c r="G154" s="2948">
        <v>7180</v>
      </c>
    </row>
    <row r="155" spans="1:7" s="2782" customFormat="1" ht="14.25" customHeight="1">
      <c r="A155" s="2948" t="s">
        <v>29</v>
      </c>
      <c r="B155" s="2948" t="s">
        <v>2956</v>
      </c>
      <c r="C155" s="2948">
        <v>10430</v>
      </c>
      <c r="D155" s="2948">
        <v>10380</v>
      </c>
      <c r="E155" s="2948">
        <v>13140</v>
      </c>
      <c r="F155" s="2948">
        <v>2080</v>
      </c>
      <c r="G155" s="2948">
        <v>6650</v>
      </c>
    </row>
    <row r="156" spans="1:7" s="2782" customFormat="1" ht="14.25" customHeight="1">
      <c r="A156" s="2948" t="s">
        <v>29</v>
      </c>
      <c r="B156" s="2948" t="s">
        <v>3071</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3072</v>
      </c>
      <c r="C160" s="2948">
        <v>11180</v>
      </c>
      <c r="D160" s="2948">
        <v>11140</v>
      </c>
      <c r="E160" s="2948">
        <v>14050</v>
      </c>
      <c r="F160" s="2948">
        <v>2270</v>
      </c>
      <c r="G160" s="2948">
        <v>7170</v>
      </c>
    </row>
    <row r="161" spans="1:7" s="2782" customFormat="1" ht="14.25" customHeight="1">
      <c r="A161" s="2948" t="s">
        <v>29</v>
      </c>
      <c r="B161" s="2948" t="s">
        <v>2988</v>
      </c>
      <c r="C161" s="2948">
        <v>11160</v>
      </c>
      <c r="D161" s="2948">
        <v>11120</v>
      </c>
      <c r="E161" s="2948">
        <v>14020</v>
      </c>
      <c r="F161" s="2948">
        <v>2150</v>
      </c>
      <c r="G161" s="2948">
        <v>7160</v>
      </c>
    </row>
    <row r="162" spans="1:7" s="2782" customFormat="1" ht="14.25" customHeight="1">
      <c r="A162" s="2948" t="s">
        <v>29</v>
      </c>
      <c r="B162" s="2948" t="s">
        <v>2993</v>
      </c>
      <c r="C162" s="2948">
        <v>9620</v>
      </c>
      <c r="D162" s="2948">
        <v>9570</v>
      </c>
      <c r="E162" s="2948">
        <v>12320</v>
      </c>
      <c r="F162" s="2948">
        <v>2010</v>
      </c>
      <c r="G162" s="2948">
        <v>6160</v>
      </c>
    </row>
    <row r="163" spans="1:7" s="2782" customFormat="1" ht="14.25" customHeight="1">
      <c r="A163" s="2948" t="s">
        <v>29</v>
      </c>
      <c r="B163" s="2948" t="s">
        <v>2998</v>
      </c>
      <c r="C163" s="2948">
        <v>9320</v>
      </c>
      <c r="D163" s="2948">
        <v>9270</v>
      </c>
      <c r="E163" s="2948">
        <v>11790</v>
      </c>
      <c r="F163" s="2948">
        <v>1920</v>
      </c>
      <c r="G163" s="2948">
        <v>5960</v>
      </c>
    </row>
    <row r="164" spans="1:7" s="2782" customFormat="1" ht="14.25" customHeight="1">
      <c r="A164" s="2948" t="s">
        <v>29</v>
      </c>
      <c r="B164" s="2948" t="s">
        <v>3003</v>
      </c>
      <c r="C164" s="2948"/>
      <c r="D164" s="2948"/>
      <c r="E164" s="2948"/>
      <c r="F164" s="2948">
        <v>1980</v>
      </c>
      <c r="G164" s="2948"/>
    </row>
    <row r="165" spans="1:7" s="2782" customFormat="1" ht="14.25" customHeight="1">
      <c r="A165" s="2948" t="s">
        <v>29</v>
      </c>
      <c r="B165" s="2948" t="s">
        <v>3073</v>
      </c>
      <c r="C165" s="2948">
        <v>11060</v>
      </c>
      <c r="D165" s="2948">
        <v>11030</v>
      </c>
      <c r="E165" s="2948">
        <v>13850</v>
      </c>
      <c r="F165" s="2948">
        <v>2170</v>
      </c>
      <c r="G165" s="2948">
        <v>7090</v>
      </c>
    </row>
    <row r="166" spans="1:7" s="2782" customFormat="1" ht="14.25" customHeight="1">
      <c r="A166" s="2948" t="s">
        <v>29</v>
      </c>
      <c r="B166" s="2948" t="s">
        <v>3013</v>
      </c>
      <c r="C166" s="2948">
        <v>11050</v>
      </c>
      <c r="D166" s="2948">
        <v>11010</v>
      </c>
      <c r="E166" s="2948">
        <v>13920</v>
      </c>
      <c r="F166" s="2948">
        <v>2140</v>
      </c>
      <c r="G166" s="2948">
        <v>7080</v>
      </c>
    </row>
    <row r="167" spans="1:7" s="2782" customFormat="1" ht="14.25" customHeight="1">
      <c r="A167" s="2948" t="s">
        <v>29</v>
      </c>
      <c r="B167" s="2948" t="s">
        <v>3017</v>
      </c>
      <c r="C167" s="2948">
        <v>10930</v>
      </c>
      <c r="D167" s="2948">
        <v>10890</v>
      </c>
      <c r="E167" s="2948">
        <v>13790</v>
      </c>
      <c r="F167" s="2948">
        <v>2010</v>
      </c>
      <c r="G167" s="2948">
        <v>7000</v>
      </c>
    </row>
    <row r="168" spans="1:7" s="2782" customFormat="1" ht="14.25" customHeight="1">
      <c r="A168" s="2948" t="s">
        <v>29</v>
      </c>
      <c r="B168" s="2948" t="s">
        <v>3022</v>
      </c>
      <c r="C168" s="2948">
        <v>9420</v>
      </c>
      <c r="D168" s="2948">
        <v>9380</v>
      </c>
      <c r="E168" s="2948">
        <v>11970</v>
      </c>
      <c r="F168" s="2948"/>
      <c r="G168" s="2948">
        <v>6040</v>
      </c>
    </row>
    <row r="169" spans="1:7" s="2782" customFormat="1" ht="14.25" customHeight="1">
      <c r="A169" s="2948" t="s">
        <v>29</v>
      </c>
      <c r="B169" s="2948" t="s">
        <v>3074</v>
      </c>
      <c r="C169" s="2948"/>
      <c r="D169" s="2948"/>
      <c r="E169" s="2948"/>
      <c r="F169" s="2948">
        <v>2880</v>
      </c>
      <c r="G169" s="2948"/>
    </row>
    <row r="170" spans="1:7" s="2782" customFormat="1" ht="14.25" customHeight="1">
      <c r="A170" s="2948" t="s">
        <v>29</v>
      </c>
      <c r="B170" s="2948" t="s">
        <v>3030</v>
      </c>
      <c r="C170" s="2948"/>
      <c r="D170" s="2948"/>
      <c r="E170" s="2948"/>
      <c r="F170" s="2948">
        <v>2880</v>
      </c>
      <c r="G170" s="2948"/>
    </row>
    <row r="171" spans="1:7" s="2782" customFormat="1" ht="14.25" customHeight="1">
      <c r="A171" s="2948" t="s">
        <v>29</v>
      </c>
      <c r="B171" s="2948" t="s">
        <v>3033</v>
      </c>
      <c r="C171" s="2948"/>
      <c r="D171" s="2948"/>
      <c r="E171" s="2948"/>
      <c r="F171" s="2948">
        <v>2880</v>
      </c>
      <c r="G171" s="2948"/>
    </row>
    <row r="172" spans="1:7" s="2782" customFormat="1" ht="14.25" customHeight="1">
      <c r="A172" s="2948" t="s">
        <v>29</v>
      </c>
      <c r="B172" s="2948" t="s">
        <v>3035</v>
      </c>
      <c r="C172" s="2948"/>
      <c r="D172" s="2948"/>
      <c r="E172" s="2948"/>
      <c r="F172" s="2948">
        <v>2880</v>
      </c>
      <c r="G172" s="2948"/>
    </row>
    <row r="173" spans="1:7" s="2782" customFormat="1" ht="14.25" customHeight="1">
      <c r="A173" s="2948" t="s">
        <v>29</v>
      </c>
      <c r="B173" s="2948" t="s">
        <v>3037</v>
      </c>
      <c r="C173" s="2948"/>
      <c r="D173" s="2948"/>
      <c r="E173" s="2948"/>
      <c r="F173" s="2948">
        <v>2150</v>
      </c>
      <c r="G173" s="2948"/>
    </row>
    <row r="174" spans="1:7" s="2782" customFormat="1" ht="14.25" customHeight="1">
      <c r="A174" s="2948" t="s">
        <v>29</v>
      </c>
      <c r="B174" s="2948" t="s">
        <v>3039</v>
      </c>
      <c r="C174" s="2948"/>
      <c r="D174" s="2948"/>
      <c r="E174" s="2948"/>
      <c r="F174" s="2948">
        <v>2030</v>
      </c>
      <c r="G174" s="2948"/>
    </row>
    <row r="175" spans="1:7" s="2782" customFormat="1" ht="14.25" customHeight="1">
      <c r="A175" s="2948" t="s">
        <v>29</v>
      </c>
      <c r="B175" s="2948" t="s">
        <v>3041</v>
      </c>
      <c r="C175" s="2948"/>
      <c r="D175" s="2948"/>
      <c r="E175" s="2948"/>
      <c r="F175" s="2948">
        <v>2780</v>
      </c>
      <c r="G175" s="2948"/>
    </row>
    <row r="176" spans="1:7" s="2782" customFormat="1" ht="14.25" customHeight="1">
      <c r="A176" s="2948" t="s">
        <v>29</v>
      </c>
      <c r="B176" s="2948" t="s">
        <v>3043</v>
      </c>
      <c r="C176" s="2948"/>
      <c r="D176" s="2948"/>
      <c r="E176" s="2948"/>
      <c r="F176" s="2948">
        <v>2780</v>
      </c>
      <c r="G176" s="2948"/>
    </row>
    <row r="177" spans="1:7" s="2782" customFormat="1" ht="14.25" customHeight="1">
      <c r="A177" s="2948" t="s">
        <v>29</v>
      </c>
      <c r="B177" s="2948" t="s">
        <v>3075</v>
      </c>
      <c r="C177" s="2948"/>
      <c r="D177" s="2948"/>
      <c r="E177" s="2948"/>
      <c r="F177" s="2948">
        <v>2780</v>
      </c>
      <c r="G177" s="2948"/>
    </row>
    <row r="178" spans="1:7" s="2782" customFormat="1" ht="14.25" customHeight="1">
      <c r="A178" s="2948" t="s">
        <v>29</v>
      </c>
      <c r="B178" s="2948" t="s">
        <v>3076</v>
      </c>
      <c r="C178" s="2948"/>
      <c r="D178" s="2948"/>
      <c r="E178" s="2948"/>
      <c r="F178" s="2948">
        <v>2060</v>
      </c>
      <c r="G178" s="2948"/>
    </row>
    <row r="179" spans="1:7" s="2782" customFormat="1" ht="14.25" customHeight="1">
      <c r="A179" s="2948" t="s">
        <v>29</v>
      </c>
      <c r="B179" s="2948" t="s">
        <v>3077</v>
      </c>
      <c r="C179" s="2948"/>
      <c r="D179" s="2948"/>
      <c r="E179" s="2948"/>
      <c r="F179" s="2948">
        <v>2120</v>
      </c>
      <c r="G179" s="2948"/>
    </row>
    <row r="180" spans="1:7" s="2782" customFormat="1" ht="14.25" customHeight="1">
      <c r="A180" s="2948" t="s">
        <v>29</v>
      </c>
      <c r="B180" s="2948" t="s">
        <v>3049</v>
      </c>
      <c r="C180" s="2948"/>
      <c r="D180" s="2948"/>
      <c r="E180" s="2948"/>
      <c r="F180" s="2948">
        <v>2340</v>
      </c>
      <c r="G180" s="2948"/>
    </row>
    <row r="181" spans="1:7" s="2782" customFormat="1" ht="14.25" customHeight="1">
      <c r="A181" s="2948" t="s">
        <v>29</v>
      </c>
      <c r="B181" s="2948" t="s">
        <v>3050</v>
      </c>
      <c r="C181" s="2948"/>
      <c r="D181" s="2948"/>
      <c r="E181" s="2948"/>
      <c r="F181" s="2948">
        <v>2340</v>
      </c>
      <c r="G181" s="2948"/>
    </row>
    <row r="182" spans="1:7" s="2782" customFormat="1" ht="14.25" customHeight="1">
      <c r="A182" s="2948" t="s">
        <v>29</v>
      </c>
      <c r="B182" s="2948" t="s">
        <v>3051</v>
      </c>
      <c r="C182" s="2948"/>
      <c r="D182" s="2948"/>
      <c r="E182" s="2948"/>
      <c r="F182" s="2948">
        <v>2340</v>
      </c>
      <c r="G182" s="2948"/>
    </row>
    <row r="183" spans="1:7" s="2782" customFormat="1" ht="14.25" customHeight="1">
      <c r="A183" s="2948" t="s">
        <v>29</v>
      </c>
      <c r="B183" s="2948" t="s">
        <v>3052</v>
      </c>
      <c r="C183" s="2948"/>
      <c r="D183" s="2948"/>
      <c r="E183" s="2948"/>
      <c r="F183" s="2948">
        <v>2340</v>
      </c>
      <c r="G183" s="2948"/>
    </row>
    <row r="184" spans="1:7" s="2782" customFormat="1" ht="14.25" customHeight="1">
      <c r="A184" s="2948" t="s">
        <v>29</v>
      </c>
      <c r="B184" s="2948" t="s">
        <v>3053</v>
      </c>
      <c r="C184" s="2948"/>
      <c r="D184" s="2948"/>
      <c r="E184" s="2948"/>
      <c r="F184" s="2948">
        <v>2340</v>
      </c>
      <c r="G184" s="2948"/>
    </row>
    <row r="185" spans="1:7" s="2782" customFormat="1" ht="14.25" customHeight="1">
      <c r="A185" s="2948" t="s">
        <v>29</v>
      </c>
      <c r="B185" s="2948" t="s">
        <v>3054</v>
      </c>
      <c r="C185" s="2948"/>
      <c r="D185" s="2948"/>
      <c r="E185" s="2948"/>
      <c r="F185" s="2948">
        <v>2530</v>
      </c>
      <c r="G185" s="2948"/>
    </row>
    <row r="186" spans="1:7" s="2782" customFormat="1" ht="14.25" customHeight="1">
      <c r="A186" s="2948" t="s">
        <v>29</v>
      </c>
      <c r="B186" s="2948" t="s">
        <v>3055</v>
      </c>
      <c r="C186" s="2948"/>
      <c r="D186" s="2948"/>
      <c r="E186" s="2948"/>
      <c r="F186" s="2948">
        <v>2550</v>
      </c>
      <c r="G186" s="2948"/>
    </row>
    <row r="187" spans="1:7" s="2782" customFormat="1" ht="14.25" customHeight="1">
      <c r="A187" s="2948" t="s">
        <v>29</v>
      </c>
      <c r="B187" s="2948" t="s">
        <v>3056</v>
      </c>
      <c r="C187" s="2948"/>
      <c r="D187" s="2948"/>
      <c r="E187" s="2948"/>
      <c r="F187" s="2948">
        <v>2070</v>
      </c>
      <c r="G187" s="2948"/>
    </row>
    <row r="188" spans="1:7" s="2782" customFormat="1" ht="14.25" customHeight="1">
      <c r="A188" s="2948" t="s">
        <v>29</v>
      </c>
      <c r="B188" s="2948" t="s">
        <v>3057</v>
      </c>
      <c r="C188" s="2948"/>
      <c r="D188" s="2948"/>
      <c r="E188" s="2948"/>
      <c r="F188" s="2948">
        <v>2340</v>
      </c>
      <c r="G188" s="2948"/>
    </row>
    <row r="189" spans="1:7" s="2782" customFormat="1" ht="14.25" customHeight="1" thickBot="1">
      <c r="A189" s="2956" t="s">
        <v>29</v>
      </c>
      <c r="B189" s="2959" t="s">
        <v>3058</v>
      </c>
      <c r="C189" s="2959"/>
      <c r="D189" s="2959"/>
      <c r="E189" s="2959"/>
      <c r="F189" s="2959">
        <v>2050</v>
      </c>
      <c r="G189" s="2959"/>
    </row>
    <row r="190" spans="1:7" s="2782" customFormat="1" ht="14.25" customHeight="1">
      <c r="A190" s="2953" t="s">
        <v>304</v>
      </c>
      <c r="B190" s="2944" t="s">
        <v>3078</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3079</v>
      </c>
      <c r="C199" s="2948">
        <v>8690</v>
      </c>
      <c r="D199" s="2948">
        <v>8630</v>
      </c>
      <c r="E199" s="2948">
        <v>11350</v>
      </c>
      <c r="F199" s="2948">
        <v>1600</v>
      </c>
      <c r="G199" s="2961">
        <v>5450</v>
      </c>
    </row>
    <row r="200" spans="1:7" s="2782" customFormat="1" ht="14.25" customHeight="1">
      <c r="A200" s="2948" t="s">
        <v>304</v>
      </c>
      <c r="B200" s="2948" t="s">
        <v>2890</v>
      </c>
      <c r="C200" s="2948"/>
      <c r="D200" s="2948"/>
      <c r="E200" s="2948"/>
      <c r="F200" s="2948">
        <v>1510</v>
      </c>
      <c r="G200" s="2961"/>
    </row>
    <row r="201" spans="1:7" s="2782" customFormat="1" ht="14.25" customHeight="1">
      <c r="A201" s="2948" t="s">
        <v>304</v>
      </c>
      <c r="B201" s="2948" t="s">
        <v>3080</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3081</v>
      </c>
      <c r="C203" s="2948">
        <v>8130</v>
      </c>
      <c r="D203" s="2948">
        <v>8070</v>
      </c>
      <c r="E203" s="2948">
        <v>10820</v>
      </c>
      <c r="F203" s="2948">
        <v>1690</v>
      </c>
      <c r="G203" s="2961">
        <v>5100</v>
      </c>
    </row>
    <row r="204" spans="1:7" s="2782" customFormat="1" ht="14.25" customHeight="1">
      <c r="A204" s="2948" t="s">
        <v>304</v>
      </c>
      <c r="B204" s="2948" t="s">
        <v>2901</v>
      </c>
      <c r="C204" s="2948">
        <v>8350</v>
      </c>
      <c r="D204" s="2948">
        <v>8290</v>
      </c>
      <c r="E204" s="2948">
        <v>11080</v>
      </c>
      <c r="F204" s="2948">
        <v>1450</v>
      </c>
      <c r="G204" s="2961">
        <v>5240</v>
      </c>
    </row>
    <row r="205" spans="1:7" s="2782" customFormat="1" ht="14.25" customHeight="1">
      <c r="A205" s="2948" t="s">
        <v>304</v>
      </c>
      <c r="B205" s="2948" t="s">
        <v>2903</v>
      </c>
      <c r="C205" s="2948">
        <v>7190</v>
      </c>
      <c r="D205" s="2948">
        <v>7130</v>
      </c>
      <c r="E205" s="2948">
        <v>9490</v>
      </c>
      <c r="F205" s="2948">
        <v>1470</v>
      </c>
      <c r="G205" s="2961">
        <v>4510</v>
      </c>
    </row>
    <row r="206" spans="1:7" s="2782" customFormat="1" ht="14.25" customHeight="1">
      <c r="A206" s="2948" t="s">
        <v>304</v>
      </c>
      <c r="B206" s="2948" t="s">
        <v>2906</v>
      </c>
      <c r="C206" s="2948">
        <v>7000</v>
      </c>
      <c r="D206" s="2948">
        <v>6950</v>
      </c>
      <c r="E206" s="2948">
        <v>9170</v>
      </c>
      <c r="F206" s="2948">
        <v>1400</v>
      </c>
      <c r="G206" s="2961">
        <v>4380</v>
      </c>
    </row>
    <row r="207" spans="1:7" s="2782" customFormat="1" ht="14.25" customHeight="1">
      <c r="A207" s="2948" t="s">
        <v>304</v>
      </c>
      <c r="B207" s="2948" t="s">
        <v>2908</v>
      </c>
      <c r="C207" s="2948">
        <v>6950</v>
      </c>
      <c r="D207" s="2948">
        <v>6900</v>
      </c>
      <c r="E207" s="2948">
        <v>9110</v>
      </c>
      <c r="F207" s="2948">
        <v>1790</v>
      </c>
      <c r="G207" s="2961">
        <v>4360</v>
      </c>
    </row>
    <row r="208" spans="1:7" s="2782" customFormat="1" ht="14.25" customHeight="1">
      <c r="A208" s="2948" t="s">
        <v>304</v>
      </c>
      <c r="B208" s="2948" t="s">
        <v>3082</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2918</v>
      </c>
      <c r="C210" s="2948">
        <v>8710</v>
      </c>
      <c r="D210" s="2948">
        <v>8660</v>
      </c>
      <c r="E210" s="2948">
        <v>11440</v>
      </c>
      <c r="F210" s="2948">
        <v>1740</v>
      </c>
      <c r="G210" s="2961">
        <v>5470</v>
      </c>
    </row>
    <row r="211" spans="1:7" s="2782" customFormat="1" ht="14.25" customHeight="1">
      <c r="A211" s="2948" t="s">
        <v>304</v>
      </c>
      <c r="B211" s="2948" t="s">
        <v>3083</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3084</v>
      </c>
      <c r="C214" s="2948">
        <v>8090</v>
      </c>
      <c r="D214" s="2948">
        <v>8030</v>
      </c>
      <c r="E214" s="2948">
        <v>10780</v>
      </c>
      <c r="F214" s="2948">
        <v>1570</v>
      </c>
      <c r="G214" s="2961">
        <v>5070</v>
      </c>
    </row>
    <row r="215" spans="1:7" s="2782" customFormat="1" ht="14.25" customHeight="1">
      <c r="A215" s="2948" t="s">
        <v>304</v>
      </c>
      <c r="B215" s="2948" t="s">
        <v>3085</v>
      </c>
      <c r="C215" s="2948">
        <v>7950</v>
      </c>
      <c r="D215" s="2948">
        <v>7900</v>
      </c>
      <c r="E215" s="2948">
        <v>10560</v>
      </c>
      <c r="F215" s="2948">
        <v>1630</v>
      </c>
      <c r="G215" s="2961">
        <v>4990</v>
      </c>
    </row>
    <row r="216" spans="1:7" s="2782" customFormat="1" ht="14.25" customHeight="1">
      <c r="A216" s="2948" t="s">
        <v>304</v>
      </c>
      <c r="B216" s="2948" t="s">
        <v>3086</v>
      </c>
      <c r="C216" s="2948">
        <v>8490</v>
      </c>
      <c r="D216" s="2948">
        <v>8440</v>
      </c>
      <c r="E216" s="2948">
        <v>11260</v>
      </c>
      <c r="F216" s="2948">
        <v>1690</v>
      </c>
      <c r="G216" s="2961">
        <v>5330</v>
      </c>
    </row>
    <row r="217" spans="1:7" s="2782" customFormat="1" ht="14.25" customHeight="1">
      <c r="A217" s="2948" t="s">
        <v>304</v>
      </c>
      <c r="B217" s="2948" t="s">
        <v>2951</v>
      </c>
      <c r="C217" s="2948">
        <v>8200</v>
      </c>
      <c r="D217" s="2948">
        <v>8150</v>
      </c>
      <c r="E217" s="2948">
        <v>10910</v>
      </c>
      <c r="F217" s="2948">
        <v>1670</v>
      </c>
      <c r="G217" s="2961">
        <v>5150</v>
      </c>
    </row>
    <row r="218" spans="1:7" s="2782" customFormat="1" ht="14.25" customHeight="1">
      <c r="A218" s="2948" t="s">
        <v>304</v>
      </c>
      <c r="B218" s="2948" t="s">
        <v>3087</v>
      </c>
      <c r="C218" s="2948"/>
      <c r="D218" s="2948"/>
      <c r="E218" s="2948"/>
      <c r="F218" s="2948">
        <v>2040</v>
      </c>
      <c r="G218" s="2961"/>
    </row>
    <row r="219" spans="1:7" s="2782" customFormat="1" ht="14.25" customHeight="1">
      <c r="A219" s="2948" t="s">
        <v>304</v>
      </c>
      <c r="B219" s="2948" t="s">
        <v>3088</v>
      </c>
      <c r="C219" s="2948"/>
      <c r="D219" s="2948"/>
      <c r="E219" s="2948"/>
      <c r="F219" s="2948">
        <v>2040</v>
      </c>
      <c r="G219" s="2961"/>
    </row>
    <row r="220" spans="1:7" s="2782" customFormat="1" ht="14.25" customHeight="1">
      <c r="A220" s="2948" t="s">
        <v>304</v>
      </c>
      <c r="B220" s="2948" t="s">
        <v>3089</v>
      </c>
      <c r="C220" s="2948"/>
      <c r="D220" s="2948"/>
      <c r="E220" s="2948"/>
      <c r="F220" s="2948">
        <v>2040</v>
      </c>
      <c r="G220" s="2961"/>
    </row>
    <row r="221" spans="1:7" s="2782" customFormat="1" ht="14.25" customHeight="1">
      <c r="A221" s="2948" t="s">
        <v>304</v>
      </c>
      <c r="B221" s="2948" t="s">
        <v>3090</v>
      </c>
      <c r="C221" s="2948"/>
      <c r="D221" s="2948"/>
      <c r="E221" s="2948"/>
      <c r="F221" s="2948">
        <v>2040</v>
      </c>
      <c r="G221" s="2961"/>
    </row>
    <row r="222" spans="1:7" s="2782" customFormat="1" ht="14.25" customHeight="1">
      <c r="A222" s="2948" t="s">
        <v>304</v>
      </c>
      <c r="B222" s="2948" t="s">
        <v>3091</v>
      </c>
      <c r="C222" s="2948"/>
      <c r="D222" s="2948"/>
      <c r="E222" s="2948"/>
      <c r="F222" s="2948">
        <v>2040</v>
      </c>
      <c r="G222" s="2961"/>
    </row>
    <row r="223" spans="1:7" s="2782" customFormat="1" ht="14.25" customHeight="1">
      <c r="A223" s="2948" t="s">
        <v>304</v>
      </c>
      <c r="B223" s="2948" t="s">
        <v>3092</v>
      </c>
      <c r="C223" s="2948"/>
      <c r="D223" s="2948"/>
      <c r="E223" s="2948"/>
      <c r="F223" s="2948">
        <v>1930</v>
      </c>
      <c r="G223" s="2961"/>
    </row>
    <row r="224" spans="1:7" s="2782" customFormat="1" ht="14.25" customHeight="1">
      <c r="A224" s="2948" t="s">
        <v>304</v>
      </c>
      <c r="B224" s="2948" t="s">
        <v>3093</v>
      </c>
      <c r="C224" s="2948"/>
      <c r="D224" s="2948"/>
      <c r="E224" s="2948"/>
      <c r="F224" s="2948">
        <v>1930</v>
      </c>
      <c r="G224" s="2961"/>
    </row>
    <row r="225" spans="1:7" s="2782" customFormat="1" ht="14.25" customHeight="1">
      <c r="A225" s="2948" t="s">
        <v>304</v>
      </c>
      <c r="B225" s="2948" t="s">
        <v>3094</v>
      </c>
      <c r="C225" s="2948"/>
      <c r="D225" s="2948"/>
      <c r="E225" s="2948"/>
      <c r="F225" s="2948">
        <v>1930</v>
      </c>
      <c r="G225" s="2961"/>
    </row>
    <row r="226" spans="1:7" s="2782" customFormat="1" ht="14.25" customHeight="1">
      <c r="A226" s="2948" t="s">
        <v>304</v>
      </c>
      <c r="B226" s="2948" t="s">
        <v>3095</v>
      </c>
      <c r="C226" s="2948"/>
      <c r="D226" s="2948"/>
      <c r="E226" s="2948"/>
      <c r="F226" s="2948">
        <v>1700</v>
      </c>
      <c r="G226" s="2961"/>
    </row>
    <row r="227" spans="1:7" s="2782" customFormat="1" ht="14.25" customHeight="1">
      <c r="A227" s="2948" t="s">
        <v>304</v>
      </c>
      <c r="B227" s="2948" t="s">
        <v>3096</v>
      </c>
      <c r="C227" s="2948"/>
      <c r="D227" s="2948"/>
      <c r="E227" s="2948"/>
      <c r="F227" s="2948">
        <v>1520</v>
      </c>
      <c r="G227" s="2961"/>
    </row>
    <row r="228" spans="1:7" s="2782" customFormat="1" ht="14.25" customHeight="1">
      <c r="A228" s="2948" t="s">
        <v>304</v>
      </c>
      <c r="B228" s="2948" t="s">
        <v>3097</v>
      </c>
      <c r="C228" s="2948"/>
      <c r="D228" s="2948"/>
      <c r="E228" s="2948"/>
      <c r="F228" s="2948">
        <v>1520</v>
      </c>
      <c r="G228" s="2961"/>
    </row>
    <row r="229" spans="1:7" s="2782" customFormat="1" ht="14.25" customHeight="1">
      <c r="A229" s="2948" t="s">
        <v>304</v>
      </c>
      <c r="B229" s="2948" t="s">
        <v>3014</v>
      </c>
      <c r="C229" s="2948"/>
      <c r="D229" s="2948"/>
      <c r="E229" s="2948"/>
      <c r="F229" s="2948">
        <v>1520</v>
      </c>
      <c r="G229" s="2961"/>
    </row>
    <row r="230" spans="1:7" s="2782" customFormat="1" ht="14.25" customHeight="1">
      <c r="A230" s="2948" t="s">
        <v>304</v>
      </c>
      <c r="B230" s="2948" t="s">
        <v>3098</v>
      </c>
      <c r="C230" s="2948"/>
      <c r="D230" s="2948"/>
      <c r="E230" s="2948"/>
      <c r="F230" s="2948">
        <v>1820</v>
      </c>
      <c r="G230" s="2961"/>
    </row>
    <row r="231" spans="1:7" s="2782" customFormat="1" ht="14.25" customHeight="1">
      <c r="A231" s="2948" t="s">
        <v>304</v>
      </c>
      <c r="B231" s="2948" t="s">
        <v>3099</v>
      </c>
      <c r="C231" s="2948"/>
      <c r="D231" s="2948"/>
      <c r="E231" s="2948"/>
      <c r="F231" s="2948">
        <v>1760</v>
      </c>
      <c r="G231" s="2961"/>
    </row>
    <row r="232" spans="1:7" s="2782" customFormat="1" ht="14.25" customHeight="1">
      <c r="A232" s="2948" t="s">
        <v>304</v>
      </c>
      <c r="B232" s="2948" t="s">
        <v>3100</v>
      </c>
      <c r="C232" s="2948"/>
      <c r="D232" s="2948"/>
      <c r="E232" s="2948"/>
      <c r="F232" s="2948">
        <v>1840</v>
      </c>
      <c r="G232" s="2961"/>
    </row>
    <row r="233" spans="1:7" s="2782" customFormat="1" ht="14.25" customHeight="1" thickBot="1">
      <c r="A233" s="2962" t="s">
        <v>304</v>
      </c>
      <c r="B233" s="2955" t="s">
        <v>3031</v>
      </c>
      <c r="C233" s="2955"/>
      <c r="D233" s="2955"/>
      <c r="E233" s="2955"/>
      <c r="F233" s="2955">
        <v>1770</v>
      </c>
      <c r="G233" s="2963"/>
    </row>
    <row r="234" spans="1:7" s="2782" customFormat="1" ht="14.25" customHeight="1">
      <c r="A234" s="2953" t="s">
        <v>305</v>
      </c>
      <c r="B234" s="2944" t="s">
        <v>3101</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2872</v>
      </c>
      <c r="C238" s="2948">
        <v>6920</v>
      </c>
      <c r="D238" s="2948">
        <v>6890</v>
      </c>
      <c r="E238" s="2948">
        <v>8640</v>
      </c>
      <c r="F238" s="2948">
        <v>1310</v>
      </c>
      <c r="G238" s="2948">
        <v>4230</v>
      </c>
    </row>
    <row r="239" spans="1:7" s="2782" customFormat="1" ht="14.25" customHeight="1">
      <c r="A239" s="2948" t="s">
        <v>305</v>
      </c>
      <c r="B239" s="2948" t="s">
        <v>3102</v>
      </c>
      <c r="C239" s="2948">
        <v>6780</v>
      </c>
      <c r="D239" s="2948">
        <v>6750</v>
      </c>
      <c r="E239" s="2948">
        <v>8440</v>
      </c>
      <c r="F239" s="2948">
        <v>1160</v>
      </c>
      <c r="G239" s="2948">
        <v>4140</v>
      </c>
    </row>
    <row r="240" spans="1:7" s="2782" customFormat="1" ht="14.25" customHeight="1">
      <c r="A240" s="2948" t="s">
        <v>305</v>
      </c>
      <c r="B240" s="2948" t="s">
        <v>3103</v>
      </c>
      <c r="C240" s="2948">
        <v>5420</v>
      </c>
      <c r="D240" s="2948">
        <v>5380</v>
      </c>
      <c r="E240" s="2948">
        <v>6640</v>
      </c>
      <c r="F240" s="2948">
        <v>1020</v>
      </c>
      <c r="G240" s="2948">
        <v>3300</v>
      </c>
    </row>
    <row r="241" spans="1:7" s="2782" customFormat="1" ht="14.25" customHeight="1">
      <c r="A241" s="2948" t="s">
        <v>305</v>
      </c>
      <c r="B241" s="2948" t="s">
        <v>3104</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3105</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3106</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3107</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3108</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3109</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2934</v>
      </c>
      <c r="C258" s="2948">
        <v>6190</v>
      </c>
      <c r="D258" s="2948">
        <v>6160</v>
      </c>
      <c r="E258" s="2948">
        <v>7680</v>
      </c>
      <c r="F258" s="2948">
        <v>1170</v>
      </c>
      <c r="G258" s="2948">
        <v>3780</v>
      </c>
    </row>
    <row r="259" spans="1:7" s="2782" customFormat="1" ht="14.25" customHeight="1">
      <c r="A259" s="2948" t="s">
        <v>305</v>
      </c>
      <c r="B259" s="2948" t="s">
        <v>3110</v>
      </c>
      <c r="C259" s="2948">
        <v>7610</v>
      </c>
      <c r="D259" s="2948">
        <v>7570</v>
      </c>
      <c r="E259" s="2948">
        <v>9350</v>
      </c>
      <c r="F259" s="2948">
        <v>1350</v>
      </c>
      <c r="G259" s="2948">
        <v>4650</v>
      </c>
    </row>
    <row r="260" spans="1:7" s="2782" customFormat="1" ht="14.25" customHeight="1">
      <c r="A260" s="2948" t="s">
        <v>305</v>
      </c>
      <c r="B260" s="2948" t="s">
        <v>3111</v>
      </c>
      <c r="C260" s="2948">
        <v>6920</v>
      </c>
      <c r="D260" s="2948">
        <v>6880</v>
      </c>
      <c r="E260" s="2948">
        <v>8380</v>
      </c>
      <c r="F260" s="2948">
        <v>1160</v>
      </c>
      <c r="G260" s="2948">
        <v>4220</v>
      </c>
    </row>
    <row r="261" spans="1:7" s="2782" customFormat="1" ht="14.25" customHeight="1">
      <c r="A261" s="2948" t="s">
        <v>305</v>
      </c>
      <c r="B261" s="2948" t="s">
        <v>3112</v>
      </c>
      <c r="C261" s="2948">
        <v>6850</v>
      </c>
      <c r="D261" s="2948">
        <v>6810</v>
      </c>
      <c r="E261" s="2948">
        <v>8290</v>
      </c>
      <c r="F261" s="2948">
        <v>1130</v>
      </c>
      <c r="G261" s="2948">
        <v>4180</v>
      </c>
    </row>
    <row r="262" spans="1:7" s="2782" customFormat="1" ht="14.25" customHeight="1">
      <c r="A262" s="2948" t="s">
        <v>305</v>
      </c>
      <c r="B262" s="2948" t="s">
        <v>3113</v>
      </c>
      <c r="C262" s="2948">
        <v>5860</v>
      </c>
      <c r="D262" s="2948">
        <v>5820</v>
      </c>
      <c r="E262" s="2948">
        <v>7640</v>
      </c>
      <c r="F262" s="2948">
        <v>1070</v>
      </c>
      <c r="G262" s="2948">
        <v>3570</v>
      </c>
    </row>
    <row r="263" spans="1:7" s="2782" customFormat="1" ht="14.25" customHeight="1">
      <c r="A263" s="2948" t="s">
        <v>305</v>
      </c>
      <c r="B263" s="2948" t="s">
        <v>3114</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3115</v>
      </c>
      <c r="C265" s="2948"/>
      <c r="D265" s="2948"/>
      <c r="E265" s="2948"/>
      <c r="F265" s="2948">
        <v>1500</v>
      </c>
      <c r="G265" s="2948"/>
    </row>
    <row r="266" spans="1:7" s="2782" customFormat="1" ht="14.25" customHeight="1">
      <c r="A266" s="2948" t="s">
        <v>305</v>
      </c>
      <c r="B266" s="2948" t="s">
        <v>3116</v>
      </c>
      <c r="C266" s="2948"/>
      <c r="D266" s="2948"/>
      <c r="E266" s="2948"/>
      <c r="F266" s="2948">
        <v>1500</v>
      </c>
      <c r="G266" s="2948"/>
    </row>
    <row r="267" spans="1:7" s="2782" customFormat="1" ht="14.25" customHeight="1">
      <c r="A267" s="2948" t="s">
        <v>305</v>
      </c>
      <c r="B267" s="2948" t="s">
        <v>3117</v>
      </c>
      <c r="C267" s="2948"/>
      <c r="D267" s="2948"/>
      <c r="E267" s="2948"/>
      <c r="F267" s="2948">
        <v>1500</v>
      </c>
      <c r="G267" s="2948"/>
    </row>
    <row r="268" spans="1:7" s="2782" customFormat="1" ht="14.25" customHeight="1">
      <c r="A268" s="2948" t="s">
        <v>305</v>
      </c>
      <c r="B268" s="2948" t="s">
        <v>3118</v>
      </c>
      <c r="C268" s="2948"/>
      <c r="D268" s="2948"/>
      <c r="E268" s="2948"/>
      <c r="F268" s="2948">
        <v>1290</v>
      </c>
      <c r="G268" s="2948"/>
    </row>
    <row r="269" spans="1:7" s="2782" customFormat="1" ht="14.25" customHeight="1">
      <c r="A269" s="2948" t="s">
        <v>305</v>
      </c>
      <c r="B269" s="2948" t="s">
        <v>3119</v>
      </c>
      <c r="C269" s="2948"/>
      <c r="D269" s="2948"/>
      <c r="E269" s="2948"/>
      <c r="F269" s="2948">
        <v>1150</v>
      </c>
      <c r="G269" s="2948"/>
    </row>
    <row r="270" spans="1:7" s="2782" customFormat="1" ht="14.25" customHeight="1">
      <c r="A270" s="2948" t="s">
        <v>305</v>
      </c>
      <c r="B270" s="2948" t="s">
        <v>3120</v>
      </c>
      <c r="C270" s="2948"/>
      <c r="D270" s="2948"/>
      <c r="E270" s="2948"/>
      <c r="F270" s="2948">
        <v>1380</v>
      </c>
      <c r="G270" s="2948"/>
    </row>
    <row r="271" spans="1:7" s="2782" customFormat="1" ht="14.25" customHeight="1">
      <c r="A271" s="2948" t="s">
        <v>305</v>
      </c>
      <c r="B271" s="2948" t="s">
        <v>3121</v>
      </c>
      <c r="C271" s="2948"/>
      <c r="D271" s="2948"/>
      <c r="E271" s="2948"/>
      <c r="F271" s="2948">
        <v>1460</v>
      </c>
      <c r="G271" s="2948"/>
    </row>
    <row r="272" spans="1:7" s="2782" customFormat="1" ht="14.25" customHeight="1">
      <c r="A272" s="2948" t="s">
        <v>305</v>
      </c>
      <c r="B272" s="2948" t="s">
        <v>3122</v>
      </c>
      <c r="C272" s="2948"/>
      <c r="D272" s="2948"/>
      <c r="E272" s="2948"/>
      <c r="F272" s="2948">
        <v>1460</v>
      </c>
      <c r="G272" s="2948"/>
    </row>
    <row r="273" spans="1:7" s="2782" customFormat="1" ht="14.25" customHeight="1">
      <c r="A273" s="2948" t="s">
        <v>305</v>
      </c>
      <c r="B273" s="2948" t="s">
        <v>3015</v>
      </c>
      <c r="C273" s="2948"/>
      <c r="D273" s="2948"/>
      <c r="E273" s="2948"/>
      <c r="F273" s="2948">
        <v>1490</v>
      </c>
      <c r="G273" s="2948"/>
    </row>
    <row r="274" spans="1:7" s="2782" customFormat="1" ht="14.25" customHeight="1">
      <c r="A274" s="2948" t="s">
        <v>305</v>
      </c>
      <c r="B274" s="2948" t="s">
        <v>3123</v>
      </c>
      <c r="C274" s="2948"/>
      <c r="D274" s="2948"/>
      <c r="E274" s="2948"/>
      <c r="F274" s="2948">
        <v>1490</v>
      </c>
      <c r="G274" s="2948"/>
    </row>
    <row r="275" spans="1:7" s="2782" customFormat="1" ht="14.25" customHeight="1">
      <c r="A275" s="2948" t="s">
        <v>305</v>
      </c>
      <c r="B275" s="2948" t="s">
        <v>3124</v>
      </c>
      <c r="C275" s="2948"/>
      <c r="D275" s="2948"/>
      <c r="E275" s="2948"/>
      <c r="F275" s="2948">
        <v>1220</v>
      </c>
      <c r="G275" s="2948"/>
    </row>
    <row r="276" spans="1:7" s="2782" customFormat="1" ht="14.25" customHeight="1" thickBot="1">
      <c r="A276" s="2956" t="s">
        <v>305</v>
      </c>
      <c r="B276" s="2958" t="s">
        <v>3125</v>
      </c>
      <c r="C276" s="2959"/>
      <c r="D276" s="2959"/>
      <c r="E276" s="2959"/>
      <c r="F276" s="2959">
        <v>1380</v>
      </c>
      <c r="G276" s="2959"/>
    </row>
    <row r="277" spans="1:7" s="2782" customFormat="1" ht="14.25" customHeight="1">
      <c r="A277" s="2953" t="s">
        <v>306</v>
      </c>
      <c r="B277" s="2944" t="s">
        <v>3126</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3127</v>
      </c>
      <c r="C279" s="2948">
        <v>4760</v>
      </c>
      <c r="D279" s="2948">
        <v>4720</v>
      </c>
      <c r="E279" s="2948">
        <v>5540</v>
      </c>
      <c r="F279" s="2948">
        <v>810</v>
      </c>
      <c r="G279" s="2961">
        <v>2850</v>
      </c>
    </row>
    <row r="280" spans="1:7" s="2782" customFormat="1" ht="14.25" customHeight="1">
      <c r="A280" s="2948" t="s">
        <v>306</v>
      </c>
      <c r="B280" s="2948" t="s">
        <v>3128</v>
      </c>
      <c r="C280" s="2948">
        <v>4010</v>
      </c>
      <c r="D280" s="2948">
        <v>3950</v>
      </c>
      <c r="E280" s="2948">
        <v>4710</v>
      </c>
      <c r="F280" s="2948">
        <v>800</v>
      </c>
      <c r="G280" s="2961">
        <v>2390</v>
      </c>
    </row>
    <row r="281" spans="1:7" s="2782" customFormat="1" ht="14.25" customHeight="1">
      <c r="A281" s="2948" t="s">
        <v>306</v>
      </c>
      <c r="B281" s="2948" t="s">
        <v>3129</v>
      </c>
      <c r="C281" s="2948">
        <v>4480</v>
      </c>
      <c r="D281" s="2948">
        <v>4420</v>
      </c>
      <c r="E281" s="2948">
        <v>5230</v>
      </c>
      <c r="F281" s="2948">
        <v>870</v>
      </c>
      <c r="G281" s="2961">
        <v>2660</v>
      </c>
    </row>
    <row r="282" spans="1:7" s="2782" customFormat="1" ht="14.25" customHeight="1">
      <c r="A282" s="2948" t="s">
        <v>306</v>
      </c>
      <c r="B282" s="2948" t="s">
        <v>3130</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3131</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3132</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2907</v>
      </c>
      <c r="C293" s="2948">
        <v>5320</v>
      </c>
      <c r="D293" s="2948">
        <v>5270</v>
      </c>
      <c r="E293" s="2948">
        <v>6160</v>
      </c>
      <c r="F293" s="2948">
        <v>990</v>
      </c>
      <c r="G293" s="2961">
        <v>3170</v>
      </c>
    </row>
    <row r="294" spans="1:7" s="2782" customFormat="1" ht="14.25" customHeight="1">
      <c r="A294" s="2948" t="s">
        <v>306</v>
      </c>
      <c r="B294" s="2948" t="s">
        <v>3133</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2926</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3134</v>
      </c>
      <c r="C302" s="2948">
        <v>5520</v>
      </c>
      <c r="D302" s="2948">
        <v>5470</v>
      </c>
      <c r="E302" s="2948">
        <v>6410</v>
      </c>
      <c r="F302" s="2948">
        <v>950</v>
      </c>
      <c r="G302" s="2961">
        <v>3300</v>
      </c>
    </row>
    <row r="303" spans="1:7" s="2782" customFormat="1" ht="14.25" customHeight="1">
      <c r="A303" s="2948" t="s">
        <v>306</v>
      </c>
      <c r="B303" s="2948" t="s">
        <v>2946</v>
      </c>
      <c r="C303" s="2948">
        <v>5630</v>
      </c>
      <c r="D303" s="2948">
        <v>5590</v>
      </c>
      <c r="E303" s="2948">
        <v>6550</v>
      </c>
      <c r="F303" s="2948">
        <v>1010</v>
      </c>
      <c r="G303" s="2961">
        <v>3370</v>
      </c>
    </row>
    <row r="304" spans="1:7" s="2782" customFormat="1" ht="14.25" customHeight="1">
      <c r="A304" s="2948" t="s">
        <v>306</v>
      </c>
      <c r="B304" s="2948" t="s">
        <v>2953</v>
      </c>
      <c r="C304" s="2948">
        <v>5680</v>
      </c>
      <c r="D304" s="2948">
        <v>5620</v>
      </c>
      <c r="E304" s="2948">
        <v>6620</v>
      </c>
      <c r="F304" s="2948">
        <v>1050</v>
      </c>
      <c r="G304" s="2961">
        <v>3390</v>
      </c>
    </row>
    <row r="305" spans="1:7" s="2782" customFormat="1" ht="14.25" customHeight="1">
      <c r="A305" s="2948" t="s">
        <v>306</v>
      </c>
      <c r="B305" s="2948" t="s">
        <v>2959</v>
      </c>
      <c r="C305" s="2948">
        <v>5590</v>
      </c>
      <c r="D305" s="2948">
        <v>5530</v>
      </c>
      <c r="E305" s="2948">
        <v>6460</v>
      </c>
      <c r="F305" s="2948">
        <v>900</v>
      </c>
      <c r="G305" s="2961">
        <v>3340</v>
      </c>
    </row>
    <row r="306" spans="1:7" s="2782" customFormat="1" ht="14.25" customHeight="1">
      <c r="A306" s="2948" t="s">
        <v>306</v>
      </c>
      <c r="B306" s="2948" t="s">
        <v>3135</v>
      </c>
      <c r="C306" s="2948">
        <v>5560</v>
      </c>
      <c r="D306" s="2948">
        <v>5510</v>
      </c>
      <c r="E306" s="2948">
        <v>6440</v>
      </c>
      <c r="F306" s="2948">
        <v>900</v>
      </c>
      <c r="G306" s="2961">
        <v>3320</v>
      </c>
    </row>
    <row r="307" spans="1:7" s="2782" customFormat="1" ht="14.25" customHeight="1">
      <c r="A307" s="2948" t="s">
        <v>306</v>
      </c>
      <c r="B307" s="2948" t="s">
        <v>2971</v>
      </c>
      <c r="C307" s="2948">
        <v>5650</v>
      </c>
      <c r="D307" s="2948">
        <v>5600</v>
      </c>
      <c r="E307" s="2948">
        <v>6590</v>
      </c>
      <c r="F307" s="2948">
        <v>930</v>
      </c>
      <c r="G307" s="2961">
        <v>3380</v>
      </c>
    </row>
    <row r="308" spans="1:7" s="2782" customFormat="1" ht="14.25" customHeight="1">
      <c r="A308" s="2948" t="s">
        <v>306</v>
      </c>
      <c r="B308" s="2948" t="s">
        <v>3136</v>
      </c>
      <c r="C308" s="2948">
        <v>5620</v>
      </c>
      <c r="D308" s="2948">
        <v>5580</v>
      </c>
      <c r="E308" s="2948">
        <v>6540</v>
      </c>
      <c r="F308" s="2948">
        <v>910</v>
      </c>
      <c r="G308" s="2961">
        <v>3370</v>
      </c>
    </row>
    <row r="309" spans="1:7" s="2782" customFormat="1" ht="14.25" customHeight="1">
      <c r="A309" s="2948" t="s">
        <v>306</v>
      </c>
      <c r="B309" s="2948" t="s">
        <v>3137</v>
      </c>
      <c r="C309" s="2948">
        <v>5060</v>
      </c>
      <c r="D309" s="2948">
        <v>5020</v>
      </c>
      <c r="E309" s="2948">
        <v>6370</v>
      </c>
      <c r="F309" s="2948">
        <v>800</v>
      </c>
      <c r="G309" s="2961">
        <v>3020</v>
      </c>
    </row>
    <row r="310" spans="1:7" s="2782" customFormat="1" ht="14.25" customHeight="1">
      <c r="A310" s="2948" t="s">
        <v>306</v>
      </c>
      <c r="B310" s="2948" t="s">
        <v>2986</v>
      </c>
      <c r="C310" s="2948">
        <v>5150</v>
      </c>
      <c r="D310" s="2948">
        <v>5110</v>
      </c>
      <c r="E310" s="2948">
        <v>6500</v>
      </c>
      <c r="F310" s="2948">
        <v>880</v>
      </c>
      <c r="G310" s="2961">
        <v>3080</v>
      </c>
    </row>
    <row r="311" spans="1:7" s="2782" customFormat="1" ht="14.25" customHeight="1">
      <c r="A311" s="2948" t="s">
        <v>306</v>
      </c>
      <c r="B311" s="2948" t="s">
        <v>3138</v>
      </c>
      <c r="C311" s="2948">
        <v>4750</v>
      </c>
      <c r="D311" s="2948">
        <v>4710</v>
      </c>
      <c r="E311" s="2948">
        <v>5510</v>
      </c>
      <c r="F311" s="2948">
        <v>880</v>
      </c>
      <c r="G311" s="2961">
        <v>2840</v>
      </c>
    </row>
    <row r="312" spans="1:7" s="2782" customFormat="1" ht="14.25" customHeight="1">
      <c r="A312" s="2948" t="s">
        <v>306</v>
      </c>
      <c r="B312" s="2948" t="s">
        <v>2996</v>
      </c>
      <c r="C312" s="2948">
        <v>4690</v>
      </c>
      <c r="D312" s="2948">
        <v>4640</v>
      </c>
      <c r="E312" s="2948">
        <v>5420</v>
      </c>
      <c r="F312" s="2948">
        <v>800</v>
      </c>
      <c r="G312" s="2961">
        <v>2800</v>
      </c>
    </row>
    <row r="313" spans="1:7" s="2782" customFormat="1" ht="14.25" customHeight="1">
      <c r="A313" s="2948" t="s">
        <v>306</v>
      </c>
      <c r="B313" s="2948" t="s">
        <v>3001</v>
      </c>
      <c r="C313" s="2948">
        <v>4810</v>
      </c>
      <c r="D313" s="2948">
        <v>4760</v>
      </c>
      <c r="E313" s="2948">
        <v>5550</v>
      </c>
      <c r="F313" s="2948">
        <v>920</v>
      </c>
      <c r="G313" s="2961">
        <v>2870</v>
      </c>
    </row>
    <row r="314" spans="1:7" s="2782" customFormat="1" ht="14.25" customHeight="1">
      <c r="A314" s="2948" t="s">
        <v>306</v>
      </c>
      <c r="B314" s="2948" t="s">
        <v>3139</v>
      </c>
      <c r="C314" s="2948"/>
      <c r="D314" s="2948"/>
      <c r="E314" s="2948"/>
      <c r="F314" s="2948">
        <v>1020</v>
      </c>
      <c r="G314" s="2961"/>
    </row>
    <row r="315" spans="1:7" s="2782" customFormat="1" ht="14.25" customHeight="1">
      <c r="A315" s="2948" t="s">
        <v>306</v>
      </c>
      <c r="B315" s="2948" t="s">
        <v>3140</v>
      </c>
      <c r="C315" s="2948"/>
      <c r="D315" s="2948"/>
      <c r="E315" s="2948"/>
      <c r="F315" s="2948">
        <v>1050</v>
      </c>
      <c r="G315" s="2961"/>
    </row>
    <row r="316" spans="1:7" s="2782" customFormat="1" ht="14.25" customHeight="1">
      <c r="A316" s="2948" t="s">
        <v>306</v>
      </c>
      <c r="B316" s="2948" t="s">
        <v>3016</v>
      </c>
      <c r="C316" s="2948"/>
      <c r="D316" s="2948"/>
      <c r="E316" s="2948"/>
      <c r="F316" s="2948">
        <v>900</v>
      </c>
      <c r="G316" s="2961"/>
    </row>
    <row r="317" spans="1:7" s="2782" customFormat="1" ht="14.25" customHeight="1">
      <c r="A317" s="2948" t="s">
        <v>306</v>
      </c>
      <c r="B317" s="2948" t="s">
        <v>3141</v>
      </c>
      <c r="C317" s="2948"/>
      <c r="D317" s="2948"/>
      <c r="E317" s="2948"/>
      <c r="F317" s="2948">
        <v>920</v>
      </c>
      <c r="G317" s="2961"/>
    </row>
    <row r="318" spans="1:7" s="2782" customFormat="1" ht="14.25" customHeight="1">
      <c r="A318" s="2948" t="s">
        <v>306</v>
      </c>
      <c r="B318" s="2948" t="s">
        <v>3142</v>
      </c>
      <c r="C318" s="2948"/>
      <c r="D318" s="2948"/>
      <c r="E318" s="2948"/>
      <c r="F318" s="2948">
        <v>1080</v>
      </c>
      <c r="G318" s="2961"/>
    </row>
    <row r="319" spans="1:7" s="2782" customFormat="1" ht="14.25" customHeight="1">
      <c r="A319" s="2948" t="s">
        <v>306</v>
      </c>
      <c r="B319" s="2948" t="s">
        <v>3029</v>
      </c>
      <c r="C319" s="2948"/>
      <c r="D319" s="2948"/>
      <c r="E319" s="2948"/>
      <c r="F319" s="2948">
        <v>1020</v>
      </c>
      <c r="G319" s="2961"/>
    </row>
    <row r="320" spans="1:7" s="2782" customFormat="1" ht="14.25" customHeight="1">
      <c r="A320" s="2948" t="s">
        <v>306</v>
      </c>
      <c r="B320" s="2948" t="s">
        <v>3032</v>
      </c>
      <c r="C320" s="2948"/>
      <c r="D320" s="2948"/>
      <c r="E320" s="2948"/>
      <c r="F320" s="2948">
        <v>1050</v>
      </c>
      <c r="G320" s="2961"/>
    </row>
    <row r="321" spans="1:7" s="2782" customFormat="1" ht="14.25" customHeight="1">
      <c r="A321" s="2948" t="s">
        <v>306</v>
      </c>
      <c r="B321" s="2948" t="s">
        <v>3034</v>
      </c>
      <c r="C321" s="2948"/>
      <c r="D321" s="2948"/>
      <c r="E321" s="2948"/>
      <c r="F321" s="2948">
        <v>960</v>
      </c>
      <c r="G321" s="2961"/>
    </row>
    <row r="322" spans="1:7" s="2782" customFormat="1" ht="14.25" customHeight="1">
      <c r="A322" s="2948" t="s">
        <v>306</v>
      </c>
      <c r="B322" s="2948" t="s">
        <v>3036</v>
      </c>
      <c r="C322" s="2948"/>
      <c r="D322" s="2948"/>
      <c r="E322" s="2948"/>
      <c r="F322" s="2948">
        <v>960</v>
      </c>
      <c r="G322" s="2961"/>
    </row>
    <row r="323" spans="1:7" s="2782" customFormat="1" ht="14.25" customHeight="1">
      <c r="A323" s="2948" t="s">
        <v>306</v>
      </c>
      <c r="B323" s="2948" t="s">
        <v>3038</v>
      </c>
      <c r="C323" s="2948"/>
      <c r="D323" s="2948"/>
      <c r="E323" s="2948"/>
      <c r="F323" s="2948">
        <v>880</v>
      </c>
      <c r="G323" s="2961"/>
    </row>
    <row r="324" spans="1:7" s="2782" customFormat="1" ht="14.25" customHeight="1">
      <c r="A324" s="2948" t="s">
        <v>306</v>
      </c>
      <c r="B324" s="2948" t="s">
        <v>3040</v>
      </c>
      <c r="C324" s="2948"/>
      <c r="D324" s="2948"/>
      <c r="E324" s="2948"/>
      <c r="F324" s="2948">
        <v>930</v>
      </c>
      <c r="G324" s="2961"/>
    </row>
    <row r="325" spans="1:7" s="2782" customFormat="1" ht="14.25" customHeight="1">
      <c r="A325" s="2948" t="s">
        <v>306</v>
      </c>
      <c r="B325" s="2949" t="s">
        <v>3042</v>
      </c>
      <c r="C325" s="2948"/>
      <c r="D325" s="2948"/>
      <c r="E325" s="2948"/>
      <c r="F325" s="2948">
        <v>900</v>
      </c>
      <c r="G325" s="2961"/>
    </row>
    <row r="326" spans="1:7" s="2782" customFormat="1" ht="14.25" customHeight="1" thickBot="1">
      <c r="A326" s="2962" t="s">
        <v>306</v>
      </c>
      <c r="B326" s="2955" t="s">
        <v>3044</v>
      </c>
      <c r="C326" s="2955"/>
      <c r="D326" s="2955"/>
      <c r="E326" s="2955"/>
      <c r="F326" s="2955">
        <v>790</v>
      </c>
      <c r="G326" s="2963"/>
    </row>
    <row r="327" spans="1:7" s="2782" customFormat="1" ht="14.25" customHeight="1">
      <c r="A327" s="2953" t="s">
        <v>307</v>
      </c>
      <c r="B327" s="2944" t="s">
        <v>3143</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3144</v>
      </c>
      <c r="C329" s="2948">
        <v>2730</v>
      </c>
      <c r="D329" s="2948">
        <v>2690</v>
      </c>
      <c r="E329" s="2948">
        <v>3100</v>
      </c>
      <c r="F329" s="2948">
        <v>660</v>
      </c>
      <c r="G329" s="2948">
        <v>1610</v>
      </c>
    </row>
    <row r="330" spans="1:7" s="2782" customFormat="1" ht="14.25" customHeight="1">
      <c r="A330" s="2948" t="s">
        <v>307</v>
      </c>
      <c r="B330" s="2948" t="s">
        <v>3145</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2878</v>
      </c>
      <c r="C332" s="2948">
        <v>3520</v>
      </c>
      <c r="D332" s="2948">
        <v>3480</v>
      </c>
      <c r="E332" s="2948">
        <v>3830</v>
      </c>
      <c r="F332" s="2948">
        <v>720</v>
      </c>
      <c r="G332" s="2948">
        <v>2090</v>
      </c>
    </row>
    <row r="333" spans="1:7" s="2782" customFormat="1" ht="14.25" customHeight="1">
      <c r="A333" s="2948" t="s">
        <v>307</v>
      </c>
      <c r="B333" s="2948" t="s">
        <v>3146</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2888</v>
      </c>
      <c r="C336" s="2948">
        <v>3570</v>
      </c>
      <c r="D336" s="2948">
        <v>3530</v>
      </c>
      <c r="E336" s="2948">
        <v>3880</v>
      </c>
      <c r="F336" s="2948">
        <v>770</v>
      </c>
      <c r="G336" s="2948">
        <v>2110</v>
      </c>
    </row>
    <row r="337" spans="1:10" s="2782" customFormat="1" ht="14.25" customHeight="1">
      <c r="A337" s="2948" t="s">
        <v>307</v>
      </c>
      <c r="B337" s="2948" t="s">
        <v>3147</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3148</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3149</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2913</v>
      </c>
      <c r="C345" s="2948">
        <v>3190</v>
      </c>
      <c r="D345" s="2948">
        <v>3140</v>
      </c>
      <c r="E345" s="2948">
        <v>3450</v>
      </c>
      <c r="F345" s="2948">
        <v>720</v>
      </c>
      <c r="G345" s="2948">
        <v>1880</v>
      </c>
      <c r="J345" s="2782"/>
    </row>
    <row r="346" spans="1:10">
      <c r="A346" s="2948" t="s">
        <v>307</v>
      </c>
      <c r="B346" s="2948" t="s">
        <v>3150</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2922</v>
      </c>
      <c r="C348" s="2948">
        <v>4000</v>
      </c>
      <c r="D348" s="2948">
        <v>3950</v>
      </c>
      <c r="E348" s="2948">
        <v>4430</v>
      </c>
      <c r="F348" s="2948">
        <v>760</v>
      </c>
      <c r="G348" s="2948">
        <v>2360</v>
      </c>
      <c r="J348" s="2782"/>
    </row>
    <row r="349" spans="1:10">
      <c r="A349" s="2948" t="s">
        <v>307</v>
      </c>
      <c r="B349" s="2948" t="s">
        <v>2927</v>
      </c>
      <c r="C349" s="2948">
        <v>3820</v>
      </c>
      <c r="D349" s="2948">
        <v>3780</v>
      </c>
      <c r="E349" s="2948">
        <v>4170</v>
      </c>
      <c r="F349" s="2948">
        <v>710</v>
      </c>
      <c r="G349" s="2948">
        <v>2260</v>
      </c>
      <c r="J349" s="2782"/>
    </row>
    <row r="350" spans="1:10">
      <c r="A350" s="2948" t="s">
        <v>307</v>
      </c>
      <c r="B350" s="2948" t="s">
        <v>3151</v>
      </c>
      <c r="C350" s="2948">
        <v>3760</v>
      </c>
      <c r="D350" s="2948">
        <v>3730</v>
      </c>
      <c r="E350" s="2948">
        <v>4100</v>
      </c>
      <c r="F350" s="2948">
        <v>800</v>
      </c>
      <c r="G350" s="2948">
        <v>2230</v>
      </c>
      <c r="J350" s="2782"/>
    </row>
    <row r="351" spans="1:10">
      <c r="A351" s="2948" t="s">
        <v>307</v>
      </c>
      <c r="B351" s="2948" t="s">
        <v>2935</v>
      </c>
      <c r="C351" s="2948">
        <v>3610</v>
      </c>
      <c r="D351" s="2948">
        <v>3580</v>
      </c>
      <c r="E351" s="2948">
        <v>3930</v>
      </c>
      <c r="F351" s="2948">
        <v>700</v>
      </c>
      <c r="G351" s="2948">
        <v>2140</v>
      </c>
      <c r="J351" s="2782"/>
    </row>
    <row r="352" spans="1:10">
      <c r="A352" s="2948" t="s">
        <v>307</v>
      </c>
      <c r="B352" s="2948" t="s">
        <v>2940</v>
      </c>
      <c r="C352" s="2948">
        <v>3670</v>
      </c>
      <c r="D352" s="2948">
        <v>3630</v>
      </c>
      <c r="E352" s="2948">
        <v>4000</v>
      </c>
      <c r="F352" s="2948">
        <v>750</v>
      </c>
      <c r="G352" s="2948">
        <v>2180</v>
      </c>
    </row>
    <row r="353" spans="1:7" s="2783" customFormat="1">
      <c r="A353" s="2948" t="s">
        <v>307</v>
      </c>
      <c r="B353" s="2948" t="s">
        <v>3152</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2960</v>
      </c>
      <c r="C355" s="2948">
        <v>3650</v>
      </c>
      <c r="D355" s="2948">
        <v>3610</v>
      </c>
      <c r="E355" s="2948">
        <v>4200</v>
      </c>
      <c r="F355" s="2948">
        <v>640</v>
      </c>
      <c r="G355" s="2948">
        <v>2160</v>
      </c>
    </row>
    <row r="356" spans="1:7" s="2783" customFormat="1">
      <c r="A356" s="2948" t="s">
        <v>307</v>
      </c>
      <c r="B356" s="2948" t="s">
        <v>2967</v>
      </c>
      <c r="C356" s="2948">
        <v>3260</v>
      </c>
      <c r="D356" s="2948">
        <v>3230</v>
      </c>
      <c r="E356" s="2948">
        <v>3740</v>
      </c>
      <c r="F356" s="2948">
        <v>600</v>
      </c>
      <c r="G356" s="2948">
        <v>1930</v>
      </c>
    </row>
    <row r="357" spans="1:7" s="2783" customFormat="1" ht="12" thickBot="1">
      <c r="A357" s="2956" t="s">
        <v>307</v>
      </c>
      <c r="B357" s="2959" t="s">
        <v>3153</v>
      </c>
      <c r="C357" s="2959">
        <v>3690</v>
      </c>
      <c r="D357" s="2959">
        <v>3650</v>
      </c>
      <c r="E357" s="2959">
        <v>4020</v>
      </c>
      <c r="F357" s="2959">
        <v>700</v>
      </c>
      <c r="G357" s="2959">
        <v>2190</v>
      </c>
    </row>
    <row r="358" spans="1:7" s="2783" customFormat="1">
      <c r="A358" s="2953" t="s">
        <v>3154</v>
      </c>
      <c r="B358" s="2944" t="s">
        <v>3155</v>
      </c>
      <c r="C358" s="2944">
        <v>2080</v>
      </c>
      <c r="D358" s="2944">
        <v>2040</v>
      </c>
      <c r="E358" s="2944">
        <v>2010</v>
      </c>
      <c r="F358" s="2944">
        <v>530</v>
      </c>
      <c r="G358" s="2960">
        <v>1230</v>
      </c>
    </row>
    <row r="359" spans="1:7" s="2783" customFormat="1">
      <c r="A359" s="2948" t="s">
        <v>3154</v>
      </c>
      <c r="B359" s="2948" t="s">
        <v>3156</v>
      </c>
      <c r="C359" s="2948">
        <v>1850</v>
      </c>
      <c r="D359" s="2948">
        <v>1820</v>
      </c>
      <c r="E359" s="2948">
        <v>1780</v>
      </c>
      <c r="F359" s="2948">
        <v>520</v>
      </c>
      <c r="G359" s="2961">
        <v>1100</v>
      </c>
    </row>
    <row r="360" spans="1:7" s="2783" customFormat="1">
      <c r="A360" s="2948" t="s">
        <v>3154</v>
      </c>
      <c r="B360" s="2948" t="s">
        <v>3157</v>
      </c>
      <c r="C360" s="2948">
        <v>2020</v>
      </c>
      <c r="D360" s="2948">
        <v>1990</v>
      </c>
      <c r="E360" s="2948">
        <v>1950</v>
      </c>
      <c r="F360" s="2948">
        <v>500</v>
      </c>
      <c r="G360" s="2961">
        <v>1200</v>
      </c>
    </row>
    <row r="361" spans="1:7" s="2783" customFormat="1">
      <c r="A361" s="2948" t="s">
        <v>3154</v>
      </c>
      <c r="B361" s="2948" t="s">
        <v>153</v>
      </c>
      <c r="C361" s="2948">
        <v>2260</v>
      </c>
      <c r="D361" s="2948">
        <v>2220</v>
      </c>
      <c r="E361" s="2948">
        <v>2180</v>
      </c>
      <c r="F361" s="2948">
        <v>580</v>
      </c>
      <c r="G361" s="2961">
        <v>1340</v>
      </c>
    </row>
    <row r="362" spans="1:7" s="2783" customFormat="1">
      <c r="A362" s="2948" t="s">
        <v>3154</v>
      </c>
      <c r="B362" s="2948" t="s">
        <v>3158</v>
      </c>
      <c r="C362" s="2948">
        <v>2650</v>
      </c>
      <c r="D362" s="2948">
        <v>2610</v>
      </c>
      <c r="E362" s="2948">
        <v>2570</v>
      </c>
      <c r="F362" s="2948">
        <v>630</v>
      </c>
      <c r="G362" s="2961">
        <v>1570</v>
      </c>
    </row>
    <row r="363" spans="1:7" s="2783" customFormat="1">
      <c r="A363" s="2948" t="s">
        <v>3154</v>
      </c>
      <c r="B363" s="2948" t="s">
        <v>2879</v>
      </c>
      <c r="C363" s="2948">
        <v>2390</v>
      </c>
      <c r="D363" s="2948">
        <v>2360</v>
      </c>
      <c r="E363" s="2948">
        <v>2320</v>
      </c>
      <c r="F363" s="2948">
        <v>600</v>
      </c>
      <c r="G363" s="2961">
        <v>1420</v>
      </c>
    </row>
    <row r="364" spans="1:7" s="2783" customFormat="1">
      <c r="A364" s="2948" t="s">
        <v>3154</v>
      </c>
      <c r="B364" s="2948" t="s">
        <v>3159</v>
      </c>
      <c r="C364" s="2948">
        <v>2050</v>
      </c>
      <c r="D364" s="2948">
        <v>2030</v>
      </c>
      <c r="E364" s="2948">
        <v>1990</v>
      </c>
      <c r="F364" s="2948">
        <v>550</v>
      </c>
      <c r="G364" s="2961">
        <v>1220</v>
      </c>
    </row>
    <row r="365" spans="1:7" s="2783" customFormat="1">
      <c r="A365" s="2948" t="s">
        <v>3154</v>
      </c>
      <c r="B365" s="2948" t="s">
        <v>200</v>
      </c>
      <c r="C365" s="2948">
        <v>2140</v>
      </c>
      <c r="D365" s="2948">
        <v>2100</v>
      </c>
      <c r="E365" s="2948">
        <v>2060</v>
      </c>
      <c r="F365" s="2948">
        <v>540</v>
      </c>
      <c r="G365" s="2961">
        <v>1270</v>
      </c>
    </row>
    <row r="366" spans="1:7" s="2783" customFormat="1">
      <c r="A366" s="2948" t="s">
        <v>3154</v>
      </c>
      <c r="B366" s="2948" t="s">
        <v>2886</v>
      </c>
      <c r="C366" s="2948">
        <v>2410</v>
      </c>
      <c r="D366" s="2948">
        <v>2370</v>
      </c>
      <c r="E366" s="2948">
        <v>2330</v>
      </c>
      <c r="F366" s="2948">
        <v>570</v>
      </c>
      <c r="G366" s="2961">
        <v>1440</v>
      </c>
    </row>
    <row r="367" spans="1:7" s="2783" customFormat="1">
      <c r="A367" s="2948" t="s">
        <v>3154</v>
      </c>
      <c r="B367" s="2948" t="s">
        <v>3160</v>
      </c>
      <c r="C367" s="2948">
        <v>2300</v>
      </c>
      <c r="D367" s="2948">
        <v>2260</v>
      </c>
      <c r="E367" s="2948">
        <v>2220</v>
      </c>
      <c r="F367" s="2948">
        <v>560</v>
      </c>
      <c r="G367" s="2961">
        <v>1370</v>
      </c>
    </row>
    <row r="368" spans="1:7" s="2783" customFormat="1">
      <c r="A368" s="2948" t="s">
        <v>3154</v>
      </c>
      <c r="B368" s="2948" t="s">
        <v>3161</v>
      </c>
      <c r="C368" s="2948">
        <v>2430</v>
      </c>
      <c r="D368" s="2948">
        <v>2390</v>
      </c>
      <c r="E368" s="2948">
        <v>2350</v>
      </c>
      <c r="F368" s="2948">
        <v>570</v>
      </c>
      <c r="G368" s="2961">
        <v>1450</v>
      </c>
    </row>
    <row r="369" spans="1:7" s="2783" customFormat="1">
      <c r="A369" s="2948" t="s">
        <v>3154</v>
      </c>
      <c r="B369" s="2948" t="s">
        <v>214</v>
      </c>
      <c r="C369" s="2948">
        <v>2320</v>
      </c>
      <c r="D369" s="2948">
        <v>2290</v>
      </c>
      <c r="E369" s="2948">
        <v>2250</v>
      </c>
      <c r="F369" s="2948">
        <v>550</v>
      </c>
      <c r="G369" s="2961">
        <v>1380</v>
      </c>
    </row>
    <row r="370" spans="1:7" s="2783" customFormat="1">
      <c r="A370" s="2948" t="s">
        <v>3154</v>
      </c>
      <c r="B370" s="2948" t="s">
        <v>221</v>
      </c>
      <c r="C370" s="2948">
        <v>2190</v>
      </c>
      <c r="D370" s="2948">
        <v>2170</v>
      </c>
      <c r="E370" s="2948">
        <v>2130</v>
      </c>
      <c r="F370" s="2948">
        <v>530</v>
      </c>
      <c r="G370" s="2961">
        <v>1310</v>
      </c>
    </row>
    <row r="371" spans="1:7" s="2783" customFormat="1">
      <c r="A371" s="2948" t="s">
        <v>3154</v>
      </c>
      <c r="B371" s="2948" t="s">
        <v>229</v>
      </c>
      <c r="C371" s="2948">
        <v>2460</v>
      </c>
      <c r="D371" s="2948">
        <v>2420</v>
      </c>
      <c r="E371" s="2948">
        <v>2370</v>
      </c>
      <c r="F371" s="2948">
        <v>560</v>
      </c>
      <c r="G371" s="2961">
        <v>1470</v>
      </c>
    </row>
    <row r="372" spans="1:7" s="2783" customFormat="1">
      <c r="A372" s="2948" t="s">
        <v>3154</v>
      </c>
      <c r="B372" s="2948" t="s">
        <v>3162</v>
      </c>
      <c r="C372" s="2948">
        <v>2250</v>
      </c>
      <c r="D372" s="2948">
        <v>2210</v>
      </c>
      <c r="E372" s="2948">
        <v>2180</v>
      </c>
      <c r="F372" s="2948">
        <v>550</v>
      </c>
      <c r="G372" s="2961">
        <v>1340</v>
      </c>
    </row>
    <row r="373" spans="1:7" s="2783" customFormat="1">
      <c r="A373" s="2948" t="s">
        <v>3154</v>
      </c>
      <c r="B373" s="2948" t="s">
        <v>258</v>
      </c>
      <c r="C373" s="2948">
        <v>2210</v>
      </c>
      <c r="D373" s="2948">
        <v>2190</v>
      </c>
      <c r="E373" s="2948">
        <v>2150</v>
      </c>
      <c r="F373" s="2948">
        <v>530</v>
      </c>
      <c r="G373" s="2961">
        <v>1320</v>
      </c>
    </row>
    <row r="374" spans="1:7" s="2783" customFormat="1">
      <c r="A374" s="2948" t="s">
        <v>3154</v>
      </c>
      <c r="B374" s="2948" t="s">
        <v>266</v>
      </c>
      <c r="C374" s="2948">
        <v>2320</v>
      </c>
      <c r="D374" s="2948">
        <v>2280</v>
      </c>
      <c r="E374" s="2948">
        <v>2230</v>
      </c>
      <c r="F374" s="2948">
        <v>580</v>
      </c>
      <c r="G374" s="2961">
        <v>1380</v>
      </c>
    </row>
    <row r="375" spans="1:7" s="2783" customFormat="1">
      <c r="A375" s="2948" t="s">
        <v>3154</v>
      </c>
      <c r="B375" s="2948" t="s">
        <v>3163</v>
      </c>
      <c r="C375" s="2948">
        <v>2090</v>
      </c>
      <c r="D375" s="2948">
        <v>2050</v>
      </c>
      <c r="E375" s="2948">
        <v>2020</v>
      </c>
      <c r="F375" s="2948">
        <v>520</v>
      </c>
      <c r="G375" s="2961">
        <v>1240</v>
      </c>
    </row>
    <row r="376" spans="1:7" s="2783" customFormat="1">
      <c r="A376" s="2948" t="s">
        <v>3154</v>
      </c>
      <c r="B376" s="2948" t="s">
        <v>277</v>
      </c>
      <c r="C376" s="2948">
        <v>2010</v>
      </c>
      <c r="D376" s="2948">
        <v>1980</v>
      </c>
      <c r="E376" s="2948">
        <v>1940</v>
      </c>
      <c r="F376" s="2948">
        <v>540</v>
      </c>
      <c r="G376" s="2961">
        <v>1190</v>
      </c>
    </row>
    <row r="377" spans="1:7" s="2783" customFormat="1" ht="12" thickBot="1">
      <c r="A377" s="2956" t="s">
        <v>3154</v>
      </c>
      <c r="B377" s="2959" t="s">
        <v>2916</v>
      </c>
      <c r="C377" s="2959">
        <v>1930</v>
      </c>
      <c r="D377" s="2959">
        <v>1890</v>
      </c>
      <c r="E377" s="2959">
        <v>1860</v>
      </c>
      <c r="F377" s="2959">
        <v>530</v>
      </c>
      <c r="G377" s="2964">
        <v>1150</v>
      </c>
    </row>
    <row r="378" spans="1:7" s="2783" customFormat="1">
      <c r="A378" s="2965" t="s">
        <v>3164</v>
      </c>
      <c r="B378" s="2944" t="s">
        <v>3165</v>
      </c>
      <c r="C378" s="2944">
        <v>1520</v>
      </c>
      <c r="D378" s="2944">
        <v>1490</v>
      </c>
      <c r="E378" s="2944">
        <v>1460</v>
      </c>
      <c r="F378" s="2944">
        <v>460</v>
      </c>
      <c r="G378" s="2960">
        <v>940</v>
      </c>
    </row>
    <row r="379" spans="1:7" s="2783" customFormat="1">
      <c r="A379" s="2966" t="s">
        <v>3164</v>
      </c>
      <c r="B379" s="2948" t="s">
        <v>3166</v>
      </c>
      <c r="C379" s="2948">
        <v>1500</v>
      </c>
      <c r="D379" s="2948">
        <v>1470</v>
      </c>
      <c r="E379" s="2948">
        <v>1430</v>
      </c>
      <c r="F379" s="2948">
        <v>460</v>
      </c>
      <c r="G379" s="2961">
        <v>920</v>
      </c>
    </row>
    <row r="380" spans="1:7" s="2783" customFormat="1">
      <c r="A380" s="2966" t="s">
        <v>3164</v>
      </c>
      <c r="B380" s="2948" t="s">
        <v>3167</v>
      </c>
      <c r="C380" s="2948">
        <v>1620</v>
      </c>
      <c r="D380" s="2948">
        <v>1590</v>
      </c>
      <c r="E380" s="2948">
        <v>1560</v>
      </c>
      <c r="F380" s="2948">
        <v>480</v>
      </c>
      <c r="G380" s="2961">
        <v>1000</v>
      </c>
    </row>
    <row r="381" spans="1:7" s="2783" customFormat="1">
      <c r="A381" s="2966" t="s">
        <v>3164</v>
      </c>
      <c r="B381" s="2948" t="s">
        <v>3168</v>
      </c>
      <c r="C381" s="2948">
        <v>1460</v>
      </c>
      <c r="D381" s="2948">
        <v>1430</v>
      </c>
      <c r="E381" s="2948">
        <v>1390</v>
      </c>
      <c r="F381" s="2948">
        <v>450</v>
      </c>
      <c r="G381" s="2961">
        <v>900</v>
      </c>
    </row>
    <row r="382" spans="1:7" s="2783" customFormat="1">
      <c r="A382" s="2966" t="s">
        <v>3164</v>
      </c>
      <c r="B382" s="2948" t="s">
        <v>3169</v>
      </c>
      <c r="C382" s="2948">
        <v>1310</v>
      </c>
      <c r="D382" s="2948">
        <v>1280</v>
      </c>
      <c r="E382" s="2948">
        <v>1250</v>
      </c>
      <c r="F382" s="2948">
        <v>440</v>
      </c>
      <c r="G382" s="2961">
        <v>800</v>
      </c>
    </row>
    <row r="383" spans="1:7" s="2783" customFormat="1">
      <c r="A383" s="2966" t="s">
        <v>3164</v>
      </c>
      <c r="B383" s="2948" t="s">
        <v>3170</v>
      </c>
      <c r="C383" s="2948">
        <v>1260</v>
      </c>
      <c r="D383" s="2948">
        <v>1230</v>
      </c>
      <c r="E383" s="2948">
        <v>1200</v>
      </c>
      <c r="F383" s="2948">
        <v>420</v>
      </c>
      <c r="G383" s="2961">
        <v>770</v>
      </c>
    </row>
    <row r="384" spans="1:7" s="2783" customFormat="1" ht="12" thickBot="1">
      <c r="A384" s="2967" t="s">
        <v>3164</v>
      </c>
      <c r="B384" s="2955" t="s">
        <v>3171</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78" t="s">
        <v>3172</v>
      </c>
      <c r="B1" s="3478"/>
    </row>
    <row r="2" spans="1:7" ht="14.25" thickBot="1">
      <c r="A2" s="2969"/>
      <c r="B2" s="2969"/>
    </row>
    <row r="3" spans="1:7" ht="14.25" thickBot="1">
      <c r="A3" s="2969"/>
      <c r="B3" s="2969"/>
      <c r="C3" s="2970" t="s">
        <v>2802</v>
      </c>
      <c r="D3" s="2970" t="s">
        <v>2858</v>
      </c>
      <c r="E3" s="2970" t="s">
        <v>2804</v>
      </c>
      <c r="F3" s="2970" t="s">
        <v>2859</v>
      </c>
      <c r="G3" s="2970" t="s">
        <v>2622</v>
      </c>
    </row>
    <row r="4" spans="1:7" ht="14.25" thickBot="1">
      <c r="A4" s="2971" t="s">
        <v>2857</v>
      </c>
      <c r="B4" s="2972" t="s">
        <v>2863</v>
      </c>
      <c r="C4" s="2970"/>
      <c r="D4" s="2970"/>
      <c r="E4" s="2970"/>
      <c r="F4" s="2970"/>
      <c r="G4" s="2970"/>
    </row>
    <row r="5" spans="1:7">
      <c r="A5" s="2973" t="s">
        <v>2831</v>
      </c>
      <c r="B5" s="2974" t="s">
        <v>2845</v>
      </c>
      <c r="C5" s="2975">
        <v>9.8000000000000004E-2</v>
      </c>
      <c r="D5" s="2975">
        <v>8.6999999999999994E-2</v>
      </c>
      <c r="E5" s="2975">
        <v>8.6999999999999994E-2</v>
      </c>
      <c r="F5" s="2975">
        <v>9.8000000000000004E-2</v>
      </c>
      <c r="G5" s="2976">
        <v>9.5000000000000001E-2</v>
      </c>
    </row>
    <row r="6" spans="1:7">
      <c r="A6" s="2977" t="s">
        <v>144</v>
      </c>
      <c r="B6" s="2978" t="s">
        <v>2860</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2846</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2896</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2914</v>
      </c>
      <c r="C29" s="2987"/>
      <c r="D29" s="2983">
        <v>5.1999999999999998E-2</v>
      </c>
      <c r="E29" s="2983">
        <v>7.0000000000000007E-2</v>
      </c>
      <c r="F29" s="2987"/>
      <c r="G29" s="2985">
        <v>7.0999999999999994E-2</v>
      </c>
    </row>
    <row r="30" spans="1:7">
      <c r="A30" s="2988" t="s">
        <v>296</v>
      </c>
      <c r="B30" s="2974" t="s">
        <v>2847</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2833</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2917</v>
      </c>
      <c r="C50" s="2979">
        <v>9.8000000000000004E-2</v>
      </c>
      <c r="D50" s="2979">
        <v>7.2999999999999995E-2</v>
      </c>
      <c r="E50" s="2979">
        <v>7.0999999999999994E-2</v>
      </c>
      <c r="F50" s="2990"/>
      <c r="G50" s="2980">
        <v>7.2999999999999995E-2</v>
      </c>
    </row>
    <row r="51" spans="1:7">
      <c r="A51" s="2989" t="s">
        <v>296</v>
      </c>
      <c r="B51" s="2978" t="s">
        <v>2919</v>
      </c>
      <c r="C51" s="2979">
        <v>9.9000000000000005E-2</v>
      </c>
      <c r="D51" s="2979">
        <v>8.5000000000000006E-2</v>
      </c>
      <c r="E51" s="2979">
        <v>6.3E-2</v>
      </c>
      <c r="F51" s="2990"/>
      <c r="G51" s="2980">
        <v>9.6000000000000002E-2</v>
      </c>
    </row>
    <row r="52" spans="1:7">
      <c r="A52" s="2989" t="s">
        <v>296</v>
      </c>
      <c r="B52" s="2978" t="s">
        <v>2923</v>
      </c>
      <c r="C52" s="2979">
        <v>7.3999999999999996E-2</v>
      </c>
      <c r="D52" s="2979">
        <v>9.6000000000000002E-2</v>
      </c>
      <c r="E52" s="2979">
        <v>0.05</v>
      </c>
      <c r="F52" s="2990"/>
      <c r="G52" s="2980">
        <v>9.8000000000000004E-2</v>
      </c>
    </row>
    <row r="53" spans="1:7">
      <c r="A53" s="2989" t="s">
        <v>296</v>
      </c>
      <c r="B53" s="2978" t="s">
        <v>2928</v>
      </c>
      <c r="C53" s="2979">
        <v>8.5999999999999993E-2</v>
      </c>
      <c r="D53" s="2990"/>
      <c r="E53" s="2979">
        <v>9.1999999999999998E-2</v>
      </c>
      <c r="F53" s="2990"/>
      <c r="G53" s="2991"/>
    </row>
    <row r="54" spans="1:7" ht="14.25" thickBot="1">
      <c r="A54" s="2992" t="s">
        <v>296</v>
      </c>
      <c r="B54" s="2982" t="s">
        <v>2931</v>
      </c>
      <c r="C54" s="2983">
        <v>9.6000000000000002E-2</v>
      </c>
      <c r="D54" s="2984"/>
      <c r="E54" s="2993"/>
      <c r="F54" s="2984"/>
      <c r="G54" s="2994"/>
    </row>
    <row r="55" spans="1:7">
      <c r="A55" s="2988" t="s">
        <v>110</v>
      </c>
      <c r="B55" s="2974" t="s">
        <v>2848</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2929</v>
      </c>
      <c r="C78" s="2979">
        <v>0.1</v>
      </c>
      <c r="D78" s="2979">
        <v>8.5000000000000006E-2</v>
      </c>
      <c r="E78" s="2979">
        <v>9.6000000000000002E-2</v>
      </c>
      <c r="F78" s="2990"/>
      <c r="G78" s="2980">
        <v>9.6000000000000002E-2</v>
      </c>
    </row>
    <row r="79" spans="1:7">
      <c r="A79" s="2989" t="s">
        <v>110</v>
      </c>
      <c r="B79" s="2978" t="s">
        <v>2932</v>
      </c>
      <c r="C79" s="2979">
        <v>0.05</v>
      </c>
      <c r="D79" s="2979">
        <v>9.6000000000000002E-2</v>
      </c>
      <c r="E79" s="2979">
        <v>9.5000000000000001E-2</v>
      </c>
      <c r="F79" s="2990"/>
      <c r="G79" s="2980">
        <v>9.8000000000000004E-2</v>
      </c>
    </row>
    <row r="80" spans="1:7">
      <c r="A80" s="2989" t="s">
        <v>110</v>
      </c>
      <c r="B80" s="2978" t="s">
        <v>2936</v>
      </c>
      <c r="C80" s="2979">
        <v>8.5999999999999993E-2</v>
      </c>
      <c r="D80" s="2995"/>
      <c r="E80" s="2979">
        <v>0.1</v>
      </c>
      <c r="F80" s="2990"/>
      <c r="G80" s="2991"/>
    </row>
    <row r="81" spans="1:7">
      <c r="A81" s="2989" t="s">
        <v>110</v>
      </c>
      <c r="B81" s="2978" t="s">
        <v>2941</v>
      </c>
      <c r="C81" s="2979">
        <v>9.6000000000000002E-2</v>
      </c>
      <c r="D81" s="2990"/>
      <c r="E81" s="2979">
        <v>9.8000000000000004E-2</v>
      </c>
      <c r="F81" s="2990"/>
      <c r="G81" s="2991"/>
    </row>
    <row r="82" spans="1:7">
      <c r="A82" s="2989" t="s">
        <v>110</v>
      </c>
      <c r="B82" s="2978" t="s">
        <v>2948</v>
      </c>
      <c r="C82" s="2995"/>
      <c r="D82" s="2990"/>
      <c r="E82" s="2979">
        <v>7.6999999999999999E-2</v>
      </c>
      <c r="F82" s="2990"/>
      <c r="G82" s="2991"/>
    </row>
    <row r="83" spans="1:7">
      <c r="A83" s="2989" t="s">
        <v>110</v>
      </c>
      <c r="B83" s="2978" t="s">
        <v>2954</v>
      </c>
      <c r="C83" s="2990"/>
      <c r="D83" s="2990"/>
      <c r="E83" s="2990"/>
      <c r="F83" s="2979">
        <v>0.1</v>
      </c>
      <c r="G83" s="2996"/>
    </row>
    <row r="84" spans="1:7">
      <c r="A84" s="2989" t="s">
        <v>110</v>
      </c>
      <c r="B84" s="2978" t="s">
        <v>2961</v>
      </c>
      <c r="C84" s="2990"/>
      <c r="D84" s="2990"/>
      <c r="E84" s="2990"/>
      <c r="F84" s="2979">
        <v>0.1</v>
      </c>
      <c r="G84" s="2996"/>
    </row>
    <row r="85" spans="1:7">
      <c r="A85" s="2989" t="s">
        <v>110</v>
      </c>
      <c r="B85" s="2978" t="s">
        <v>2968</v>
      </c>
      <c r="C85" s="2990"/>
      <c r="D85" s="2990"/>
      <c r="E85" s="2990"/>
      <c r="F85" s="2979">
        <v>0.1</v>
      </c>
      <c r="G85" s="2996"/>
    </row>
    <row r="86" spans="1:7" ht="14.25" thickBot="1">
      <c r="A86" s="2992" t="s">
        <v>110</v>
      </c>
      <c r="B86" s="2982" t="s">
        <v>2973</v>
      </c>
      <c r="C86" s="2983">
        <v>9.8000000000000004E-2</v>
      </c>
      <c r="D86" s="2983">
        <v>9.8000000000000004E-2</v>
      </c>
      <c r="E86" s="2983">
        <v>9.6000000000000002E-2</v>
      </c>
      <c r="F86" s="2993"/>
      <c r="G86" s="2985">
        <v>0.1</v>
      </c>
    </row>
    <row r="87" spans="1:7">
      <c r="A87" s="2988" t="s">
        <v>303</v>
      </c>
      <c r="B87" s="2974" t="s">
        <v>2849</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2942</v>
      </c>
      <c r="C113" s="2979">
        <v>0.1</v>
      </c>
      <c r="D113" s="2979">
        <v>0.1</v>
      </c>
      <c r="E113" s="2990"/>
      <c r="F113" s="2990"/>
      <c r="G113" s="2980">
        <v>0.1</v>
      </c>
    </row>
    <row r="114" spans="1:7">
      <c r="A114" s="2989" t="s">
        <v>303</v>
      </c>
      <c r="B114" s="2978" t="s">
        <v>2949</v>
      </c>
      <c r="C114" s="2979">
        <v>9.7000000000000003E-2</v>
      </c>
      <c r="D114" s="2979">
        <v>9.7000000000000003E-2</v>
      </c>
      <c r="E114" s="2990"/>
      <c r="F114" s="2990"/>
      <c r="G114" s="2980">
        <v>9.9000000000000005E-2</v>
      </c>
    </row>
    <row r="115" spans="1:7">
      <c r="A115" s="2989" t="s">
        <v>303</v>
      </c>
      <c r="B115" s="2978" t="s">
        <v>2955</v>
      </c>
      <c r="C115" s="2979">
        <v>0.1</v>
      </c>
      <c r="D115" s="2979">
        <v>0.1</v>
      </c>
      <c r="E115" s="2990"/>
      <c r="F115" s="2990"/>
      <c r="G115" s="2980">
        <v>0.1</v>
      </c>
    </row>
    <row r="116" spans="1:7">
      <c r="A116" s="2989" t="s">
        <v>303</v>
      </c>
      <c r="B116" s="2978" t="s">
        <v>2962</v>
      </c>
      <c r="C116" s="2979">
        <v>0.1</v>
      </c>
      <c r="D116" s="2979">
        <v>0.1</v>
      </c>
      <c r="E116" s="2990"/>
      <c r="F116" s="2990"/>
      <c r="G116" s="2980">
        <v>0.1</v>
      </c>
    </row>
    <row r="117" spans="1:7">
      <c r="A117" s="2989" t="s">
        <v>303</v>
      </c>
      <c r="B117" s="2978" t="s">
        <v>2969</v>
      </c>
      <c r="C117" s="2979">
        <v>9.7000000000000003E-2</v>
      </c>
      <c r="D117" s="2979">
        <v>9.7000000000000003E-2</v>
      </c>
      <c r="E117" s="2990"/>
      <c r="F117" s="2990"/>
      <c r="G117" s="2980">
        <v>9.7000000000000003E-2</v>
      </c>
    </row>
    <row r="118" spans="1:7">
      <c r="A118" s="2989" t="s">
        <v>303</v>
      </c>
      <c r="B118" s="2978" t="s">
        <v>2974</v>
      </c>
      <c r="C118" s="2979">
        <v>0.1</v>
      </c>
      <c r="D118" s="2979">
        <v>0.1</v>
      </c>
      <c r="E118" s="2990"/>
      <c r="F118" s="2990"/>
      <c r="G118" s="2980">
        <v>0.1</v>
      </c>
    </row>
    <row r="119" spans="1:7">
      <c r="A119" s="2989" t="s">
        <v>303</v>
      </c>
      <c r="B119" s="2978" t="s">
        <v>2978</v>
      </c>
      <c r="C119" s="2979">
        <v>5.0999999999999997E-2</v>
      </c>
      <c r="D119" s="2979">
        <v>5.1999999999999998E-2</v>
      </c>
      <c r="E119" s="2990"/>
      <c r="F119" s="2995"/>
      <c r="G119" s="2980">
        <v>0.06</v>
      </c>
    </row>
    <row r="120" spans="1:7">
      <c r="A120" s="2989" t="s">
        <v>303</v>
      </c>
      <c r="B120" s="2978" t="s">
        <v>2982</v>
      </c>
      <c r="C120" s="2990"/>
      <c r="D120" s="2990"/>
      <c r="E120" s="2990"/>
      <c r="F120" s="2979">
        <v>0.1</v>
      </c>
      <c r="G120" s="2996"/>
    </row>
    <row r="121" spans="1:7">
      <c r="A121" s="2989" t="s">
        <v>303</v>
      </c>
      <c r="B121" s="2978" t="s">
        <v>2987</v>
      </c>
      <c r="C121" s="2990"/>
      <c r="D121" s="2990"/>
      <c r="E121" s="2990"/>
      <c r="F121" s="2979">
        <v>0.1</v>
      </c>
      <c r="G121" s="2996"/>
    </row>
    <row r="122" spans="1:7">
      <c r="A122" s="2989" t="s">
        <v>303</v>
      </c>
      <c r="B122" s="2978" t="s">
        <v>2992</v>
      </c>
      <c r="C122" s="2979">
        <v>0.1</v>
      </c>
      <c r="D122" s="2979">
        <v>0.1</v>
      </c>
      <c r="E122" s="2979">
        <v>9.8000000000000004E-2</v>
      </c>
      <c r="F122" s="2979">
        <v>0.1</v>
      </c>
      <c r="G122" s="2980">
        <v>0.1</v>
      </c>
    </row>
    <row r="123" spans="1:7">
      <c r="A123" s="2989" t="s">
        <v>303</v>
      </c>
      <c r="B123" s="2978" t="s">
        <v>2997</v>
      </c>
      <c r="C123" s="2979">
        <v>0.1</v>
      </c>
      <c r="D123" s="2979">
        <v>0.1</v>
      </c>
      <c r="E123" s="2979">
        <v>9.8000000000000004E-2</v>
      </c>
      <c r="F123" s="2979">
        <v>0.1</v>
      </c>
      <c r="G123" s="2980">
        <v>0.1</v>
      </c>
    </row>
    <row r="124" spans="1:7">
      <c r="A124" s="2989" t="s">
        <v>303</v>
      </c>
      <c r="B124" s="2978" t="s">
        <v>3002</v>
      </c>
      <c r="C124" s="2979">
        <v>0.1</v>
      </c>
      <c r="D124" s="2979">
        <v>0.1</v>
      </c>
      <c r="E124" s="2979">
        <v>9.8000000000000004E-2</v>
      </c>
      <c r="F124" s="2995"/>
      <c r="G124" s="2980">
        <v>0.1</v>
      </c>
    </row>
    <row r="125" spans="1:7">
      <c r="A125" s="2989" t="s">
        <v>303</v>
      </c>
      <c r="B125" s="2978" t="s">
        <v>3007</v>
      </c>
      <c r="C125" s="2979">
        <v>9.8000000000000004E-2</v>
      </c>
      <c r="D125" s="2979">
        <v>9.8000000000000004E-2</v>
      </c>
      <c r="E125" s="2979">
        <v>9.6000000000000002E-2</v>
      </c>
      <c r="F125" s="2995"/>
      <c r="G125" s="2980">
        <v>0.1</v>
      </c>
    </row>
    <row r="126" spans="1:7" ht="14.25" thickBot="1">
      <c r="A126" s="2992" t="s">
        <v>303</v>
      </c>
      <c r="B126" s="2982" t="s">
        <v>3173</v>
      </c>
      <c r="C126" s="2983">
        <v>0.1</v>
      </c>
      <c r="D126" s="2983">
        <v>0.1</v>
      </c>
      <c r="E126" s="2983">
        <v>9.8000000000000004E-2</v>
      </c>
      <c r="F126" s="2983">
        <v>0.1</v>
      </c>
      <c r="G126" s="2985">
        <v>0.1</v>
      </c>
    </row>
    <row r="127" spans="1:7">
      <c r="A127" s="2988" t="s">
        <v>29</v>
      </c>
      <c r="B127" s="2974" t="s">
        <v>2850</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2920</v>
      </c>
      <c r="C148" s="2979">
        <v>0.13</v>
      </c>
      <c r="D148" s="2979">
        <v>0.13</v>
      </c>
      <c r="E148" s="2979">
        <v>0.13</v>
      </c>
      <c r="F148" s="2990"/>
      <c r="G148" s="2980">
        <v>0.13</v>
      </c>
    </row>
    <row r="149" spans="1:7">
      <c r="A149" s="2989" t="s">
        <v>29</v>
      </c>
      <c r="B149" s="2978" t="s">
        <v>2924</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2943</v>
      </c>
      <c r="C153" s="2979">
        <v>0.13</v>
      </c>
      <c r="D153" s="2979">
        <v>0.13</v>
      </c>
      <c r="E153" s="2979">
        <v>0.13</v>
      </c>
      <c r="F153" s="2979">
        <v>0.13</v>
      </c>
      <c r="G153" s="2980">
        <v>0.13</v>
      </c>
    </row>
    <row r="154" spans="1:7">
      <c r="A154" s="2989" t="s">
        <v>29</v>
      </c>
      <c r="B154" s="2978" t="s">
        <v>2950</v>
      </c>
      <c r="C154" s="2979">
        <v>0.121</v>
      </c>
      <c r="D154" s="2979">
        <v>0.121</v>
      </c>
      <c r="E154" s="2979">
        <v>0.105</v>
      </c>
      <c r="F154" s="2979">
        <v>0.121</v>
      </c>
      <c r="G154" s="2980">
        <v>0.123</v>
      </c>
    </row>
    <row r="155" spans="1:7">
      <c r="A155" s="2989" t="s">
        <v>29</v>
      </c>
      <c r="B155" s="2978" t="s">
        <v>2956</v>
      </c>
      <c r="C155" s="2979">
        <v>0.1</v>
      </c>
      <c r="D155" s="2979">
        <v>0.1</v>
      </c>
      <c r="E155" s="2979">
        <v>0.1</v>
      </c>
      <c r="F155" s="2979">
        <v>0.1</v>
      </c>
      <c r="G155" s="2980">
        <v>0.1</v>
      </c>
    </row>
    <row r="156" spans="1:7">
      <c r="A156" s="2989" t="s">
        <v>29</v>
      </c>
      <c r="B156" s="2978" t="s">
        <v>2963</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2983</v>
      </c>
      <c r="C160" s="2979">
        <v>0.13</v>
      </c>
      <c r="D160" s="2979">
        <v>0.13</v>
      </c>
      <c r="E160" s="2979">
        <v>0.124</v>
      </c>
      <c r="F160" s="2979">
        <v>0.126</v>
      </c>
      <c r="G160" s="2980">
        <v>0.13</v>
      </c>
    </row>
    <row r="161" spans="1:7">
      <c r="A161" s="2989" t="s">
        <v>29</v>
      </c>
      <c r="B161" s="2978" t="s">
        <v>2988</v>
      </c>
      <c r="C161" s="2979">
        <v>0.13</v>
      </c>
      <c r="D161" s="2979">
        <v>0.13</v>
      </c>
      <c r="E161" s="2979">
        <v>0.124</v>
      </c>
      <c r="F161" s="2979">
        <v>0.127</v>
      </c>
      <c r="G161" s="2980">
        <v>0.13</v>
      </c>
    </row>
    <row r="162" spans="1:7">
      <c r="A162" s="2989" t="s">
        <v>29</v>
      </c>
      <c r="B162" s="2978" t="s">
        <v>2993</v>
      </c>
      <c r="C162" s="2979">
        <v>0.1</v>
      </c>
      <c r="D162" s="2979">
        <v>0.1</v>
      </c>
      <c r="E162" s="2979">
        <v>0.1</v>
      </c>
      <c r="F162" s="2979">
        <v>0.121</v>
      </c>
      <c r="G162" s="2980">
        <v>0.105</v>
      </c>
    </row>
    <row r="163" spans="1:7">
      <c r="A163" s="2989" t="s">
        <v>29</v>
      </c>
      <c r="B163" s="2978" t="s">
        <v>2998</v>
      </c>
      <c r="C163" s="2979">
        <v>0.1</v>
      </c>
      <c r="D163" s="2979">
        <v>0.1</v>
      </c>
      <c r="E163" s="2979">
        <v>0.1</v>
      </c>
      <c r="F163" s="2979">
        <v>0.1</v>
      </c>
      <c r="G163" s="2980">
        <v>0.1</v>
      </c>
    </row>
    <row r="164" spans="1:7">
      <c r="A164" s="2989" t="s">
        <v>29</v>
      </c>
      <c r="B164" s="2978" t="s">
        <v>3003</v>
      </c>
      <c r="C164" s="2995"/>
      <c r="D164" s="2995"/>
      <c r="E164" s="2995"/>
      <c r="F164" s="2979">
        <v>0.1</v>
      </c>
      <c r="G164" s="2991"/>
    </row>
    <row r="165" spans="1:7">
      <c r="A165" s="2989" t="s">
        <v>29</v>
      </c>
      <c r="B165" s="2978" t="s">
        <v>3174</v>
      </c>
      <c r="C165" s="2979">
        <v>0.126</v>
      </c>
      <c r="D165" s="2979">
        <v>0.126</v>
      </c>
      <c r="E165" s="2979">
        <v>0.11899999999999999</v>
      </c>
      <c r="F165" s="2979">
        <v>0.13</v>
      </c>
      <c r="G165" s="2980">
        <v>0.128</v>
      </c>
    </row>
    <row r="166" spans="1:7">
      <c r="A166" s="2989" t="s">
        <v>29</v>
      </c>
      <c r="B166" s="2978" t="s">
        <v>3013</v>
      </c>
      <c r="C166" s="2979">
        <v>0.129</v>
      </c>
      <c r="D166" s="2979">
        <v>0.129</v>
      </c>
      <c r="E166" s="2979">
        <v>0.123</v>
      </c>
      <c r="F166" s="2979">
        <v>0.128</v>
      </c>
      <c r="G166" s="2980">
        <v>0.13</v>
      </c>
    </row>
    <row r="167" spans="1:7">
      <c r="A167" s="2989" t="s">
        <v>29</v>
      </c>
      <c r="B167" s="2978" t="s">
        <v>3017</v>
      </c>
      <c r="C167" s="2979">
        <v>0.125</v>
      </c>
      <c r="D167" s="2979">
        <v>0.125</v>
      </c>
      <c r="E167" s="2979">
        <v>0.11700000000000001</v>
      </c>
      <c r="F167" s="2979">
        <v>0.13</v>
      </c>
      <c r="G167" s="2980">
        <v>0.126</v>
      </c>
    </row>
    <row r="168" spans="1:7">
      <c r="A168" s="2989" t="s">
        <v>29</v>
      </c>
      <c r="B168" s="2978" t="s">
        <v>3022</v>
      </c>
      <c r="C168" s="2979">
        <v>0.128</v>
      </c>
      <c r="D168" s="2979">
        <v>0.128</v>
      </c>
      <c r="E168" s="2979">
        <v>0.123</v>
      </c>
      <c r="F168" s="2990"/>
      <c r="G168" s="2980">
        <v>0.13</v>
      </c>
    </row>
    <row r="169" spans="1:7">
      <c r="A169" s="2989" t="s">
        <v>29</v>
      </c>
      <c r="B169" s="2978" t="s">
        <v>3175</v>
      </c>
      <c r="C169" s="2995"/>
      <c r="D169" s="2995"/>
      <c r="E169" s="2995"/>
      <c r="F169" s="2979">
        <v>0.05</v>
      </c>
      <c r="G169" s="2991"/>
    </row>
    <row r="170" spans="1:7">
      <c r="A170" s="2989" t="s">
        <v>29</v>
      </c>
      <c r="B170" s="2978" t="s">
        <v>3176</v>
      </c>
      <c r="C170" s="2995"/>
      <c r="D170" s="2995"/>
      <c r="E170" s="2995"/>
      <c r="F170" s="2979">
        <v>0.05</v>
      </c>
      <c r="G170" s="2991"/>
    </row>
    <row r="171" spans="1:7">
      <c r="A171" s="2989" t="s">
        <v>29</v>
      </c>
      <c r="B171" s="2978" t="s">
        <v>3177</v>
      </c>
      <c r="C171" s="2995"/>
      <c r="D171" s="2995"/>
      <c r="E171" s="2995"/>
      <c r="F171" s="2979">
        <v>0.05</v>
      </c>
      <c r="G171" s="2996"/>
    </row>
    <row r="172" spans="1:7">
      <c r="A172" s="2989" t="s">
        <v>29</v>
      </c>
      <c r="B172" s="2978" t="s">
        <v>3178</v>
      </c>
      <c r="C172" s="2995"/>
      <c r="D172" s="2995"/>
      <c r="E172" s="2995"/>
      <c r="F172" s="2979">
        <v>0.05</v>
      </c>
      <c r="G172" s="2996"/>
    </row>
    <row r="173" spans="1:7">
      <c r="A173" s="2989" t="s">
        <v>29</v>
      </c>
      <c r="B173" s="2978" t="s">
        <v>3179</v>
      </c>
      <c r="C173" s="2995"/>
      <c r="D173" s="2995"/>
      <c r="E173" s="2995"/>
      <c r="F173" s="2979">
        <v>0.05</v>
      </c>
      <c r="G173" s="2991"/>
    </row>
    <row r="174" spans="1:7">
      <c r="A174" s="2989" t="s">
        <v>29</v>
      </c>
      <c r="B174" s="2978" t="s">
        <v>3180</v>
      </c>
      <c r="C174" s="2995"/>
      <c r="D174" s="2995"/>
      <c r="E174" s="2995"/>
      <c r="F174" s="2979">
        <v>0.05</v>
      </c>
      <c r="G174" s="2991"/>
    </row>
    <row r="175" spans="1:7">
      <c r="A175" s="2989" t="s">
        <v>29</v>
      </c>
      <c r="B175" s="2978" t="s">
        <v>3181</v>
      </c>
      <c r="C175" s="2995"/>
      <c r="D175" s="2995"/>
      <c r="E175" s="2995"/>
      <c r="F175" s="2979">
        <v>0.05</v>
      </c>
      <c r="G175" s="2991"/>
    </row>
    <row r="176" spans="1:7">
      <c r="A176" s="2989" t="s">
        <v>29</v>
      </c>
      <c r="B176" s="2978" t="s">
        <v>3182</v>
      </c>
      <c r="C176" s="2995"/>
      <c r="D176" s="2995"/>
      <c r="E176" s="2995"/>
      <c r="F176" s="2979">
        <v>0.05</v>
      </c>
      <c r="G176" s="2991"/>
    </row>
    <row r="177" spans="1:7">
      <c r="A177" s="2989" t="s">
        <v>29</v>
      </c>
      <c r="B177" s="2978" t="s">
        <v>3183</v>
      </c>
      <c r="C177" s="2990"/>
      <c r="D177" s="2990"/>
      <c r="E177" s="2990"/>
      <c r="F177" s="2979">
        <v>0.05</v>
      </c>
      <c r="G177" s="2996"/>
    </row>
    <row r="178" spans="1:7">
      <c r="A178" s="2989" t="s">
        <v>29</v>
      </c>
      <c r="B178" s="2978" t="s">
        <v>3184</v>
      </c>
      <c r="C178" s="2990"/>
      <c r="D178" s="2990"/>
      <c r="E178" s="2990"/>
      <c r="F178" s="2979">
        <v>0.05</v>
      </c>
      <c r="G178" s="2996"/>
    </row>
    <row r="179" spans="1:7">
      <c r="A179" s="2989" t="s">
        <v>29</v>
      </c>
      <c r="B179" s="2978" t="s">
        <v>3185</v>
      </c>
      <c r="C179" s="2990"/>
      <c r="D179" s="2990"/>
      <c r="E179" s="2990"/>
      <c r="F179" s="2979">
        <v>0.05</v>
      </c>
      <c r="G179" s="2996"/>
    </row>
    <row r="180" spans="1:7">
      <c r="A180" s="2989" t="s">
        <v>29</v>
      </c>
      <c r="B180" s="2978" t="s">
        <v>3186</v>
      </c>
      <c r="C180" s="2990"/>
      <c r="D180" s="2990"/>
      <c r="E180" s="2990"/>
      <c r="F180" s="2979">
        <v>0.05</v>
      </c>
      <c r="G180" s="2996"/>
    </row>
    <row r="181" spans="1:7">
      <c r="A181" s="2989" t="s">
        <v>29</v>
      </c>
      <c r="B181" s="2978" t="s">
        <v>3187</v>
      </c>
      <c r="C181" s="2990"/>
      <c r="D181" s="2990"/>
      <c r="E181" s="2990"/>
      <c r="F181" s="2979">
        <v>0.05</v>
      </c>
      <c r="G181" s="2996"/>
    </row>
    <row r="182" spans="1:7">
      <c r="A182" s="2989" t="s">
        <v>29</v>
      </c>
      <c r="B182" s="2978" t="s">
        <v>3188</v>
      </c>
      <c r="C182" s="2990"/>
      <c r="D182" s="2990"/>
      <c r="E182" s="2990"/>
      <c r="F182" s="2979">
        <v>0.05</v>
      </c>
      <c r="G182" s="2996"/>
    </row>
    <row r="183" spans="1:7">
      <c r="A183" s="2989" t="s">
        <v>29</v>
      </c>
      <c r="B183" s="2978" t="s">
        <v>3189</v>
      </c>
      <c r="C183" s="2990"/>
      <c r="D183" s="2990"/>
      <c r="E183" s="2990"/>
      <c r="F183" s="2979">
        <v>0.05</v>
      </c>
      <c r="G183" s="2996"/>
    </row>
    <row r="184" spans="1:7">
      <c r="A184" s="2989" t="s">
        <v>29</v>
      </c>
      <c r="B184" s="2978" t="s">
        <v>3190</v>
      </c>
      <c r="C184" s="2990"/>
      <c r="D184" s="2990"/>
      <c r="E184" s="2990"/>
      <c r="F184" s="2979">
        <v>0.05</v>
      </c>
      <c r="G184" s="2996"/>
    </row>
    <row r="185" spans="1:7">
      <c r="A185" s="2989" t="s">
        <v>29</v>
      </c>
      <c r="B185" s="2978" t="s">
        <v>3191</v>
      </c>
      <c r="C185" s="2990"/>
      <c r="D185" s="2990"/>
      <c r="E185" s="2990"/>
      <c r="F185" s="2979">
        <v>0.05</v>
      </c>
      <c r="G185" s="2996"/>
    </row>
    <row r="186" spans="1:7">
      <c r="A186" s="2989" t="s">
        <v>29</v>
      </c>
      <c r="B186" s="2978" t="s">
        <v>3192</v>
      </c>
      <c r="C186" s="2990"/>
      <c r="D186" s="2990"/>
      <c r="E186" s="2990"/>
      <c r="F186" s="2979">
        <v>0.05</v>
      </c>
      <c r="G186" s="2996"/>
    </row>
    <row r="187" spans="1:7">
      <c r="A187" s="2989" t="s">
        <v>29</v>
      </c>
      <c r="B187" s="2978" t="s">
        <v>3193</v>
      </c>
      <c r="C187" s="2990"/>
      <c r="D187" s="2990"/>
      <c r="E187" s="2990"/>
      <c r="F187" s="2979">
        <v>0.05</v>
      </c>
      <c r="G187" s="2996"/>
    </row>
    <row r="188" spans="1:7">
      <c r="A188" s="2989" t="s">
        <v>29</v>
      </c>
      <c r="B188" s="2978" t="s">
        <v>3194</v>
      </c>
      <c r="C188" s="2990"/>
      <c r="D188" s="2990"/>
      <c r="E188" s="2990"/>
      <c r="F188" s="2979">
        <v>0.05</v>
      </c>
      <c r="G188" s="2996"/>
    </row>
    <row r="189" spans="1:7" ht="14.25" thickBot="1">
      <c r="A189" s="2992" t="s">
        <v>29</v>
      </c>
      <c r="B189" s="2982" t="s">
        <v>3195</v>
      </c>
      <c r="C189" s="2984"/>
      <c r="D189" s="2984"/>
      <c r="E189" s="2984"/>
      <c r="F189" s="2983">
        <v>0.05</v>
      </c>
      <c r="G189" s="2997"/>
    </row>
    <row r="190" spans="1:7">
      <c r="A190" s="2988" t="s">
        <v>304</v>
      </c>
      <c r="B190" s="2974" t="s">
        <v>2851</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2887</v>
      </c>
      <c r="C199" s="2979">
        <v>0.13</v>
      </c>
      <c r="D199" s="2979">
        <v>0.13</v>
      </c>
      <c r="E199" s="2979">
        <v>0.13</v>
      </c>
      <c r="F199" s="2979">
        <v>0.13</v>
      </c>
      <c r="G199" s="2980">
        <v>0.13</v>
      </c>
    </row>
    <row r="200" spans="1:7">
      <c r="A200" s="2989" t="s">
        <v>304</v>
      </c>
      <c r="B200" s="2978" t="s">
        <v>2890</v>
      </c>
      <c r="C200" s="2995"/>
      <c r="D200" s="2995"/>
      <c r="E200" s="2995"/>
      <c r="F200" s="2979">
        <v>0.13</v>
      </c>
      <c r="G200" s="2991"/>
    </row>
    <row r="201" spans="1:7">
      <c r="A201" s="2989" t="s">
        <v>304</v>
      </c>
      <c r="B201" s="2978" t="s">
        <v>2895</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2898</v>
      </c>
      <c r="C203" s="2979">
        <v>0.129</v>
      </c>
      <c r="D203" s="2979">
        <v>0.129</v>
      </c>
      <c r="E203" s="2979">
        <v>0.13</v>
      </c>
      <c r="F203" s="2979">
        <v>0.13</v>
      </c>
      <c r="G203" s="2980">
        <v>0.13</v>
      </c>
    </row>
    <row r="204" spans="1:7">
      <c r="A204" s="2989" t="s">
        <v>304</v>
      </c>
      <c r="B204" s="2978" t="s">
        <v>2901</v>
      </c>
      <c r="C204" s="2979">
        <v>0.129</v>
      </c>
      <c r="D204" s="2979">
        <v>0.129</v>
      </c>
      <c r="E204" s="2979">
        <v>0.123</v>
      </c>
      <c r="F204" s="2979">
        <v>0.13</v>
      </c>
      <c r="G204" s="2980">
        <v>0.13</v>
      </c>
    </row>
    <row r="205" spans="1:7">
      <c r="A205" s="2989" t="s">
        <v>304</v>
      </c>
      <c r="B205" s="2978" t="s">
        <v>2903</v>
      </c>
      <c r="C205" s="2979">
        <v>0.13</v>
      </c>
      <c r="D205" s="2979">
        <v>0.13</v>
      </c>
      <c r="E205" s="2979">
        <v>0.13</v>
      </c>
      <c r="F205" s="2979">
        <v>0.13</v>
      </c>
      <c r="G205" s="2980">
        <v>0.13</v>
      </c>
    </row>
    <row r="206" spans="1:7">
      <c r="A206" s="2989" t="s">
        <v>304</v>
      </c>
      <c r="B206" s="2978" t="s">
        <v>2906</v>
      </c>
      <c r="C206" s="2979">
        <v>0.13</v>
      </c>
      <c r="D206" s="2979">
        <v>0.13</v>
      </c>
      <c r="E206" s="2979">
        <v>0.13</v>
      </c>
      <c r="F206" s="2979">
        <v>0.128</v>
      </c>
      <c r="G206" s="2980">
        <v>0.13</v>
      </c>
    </row>
    <row r="207" spans="1:7">
      <c r="A207" s="2989" t="s">
        <v>304</v>
      </c>
      <c r="B207" s="2978" t="s">
        <v>2908</v>
      </c>
      <c r="C207" s="2979">
        <v>0.13</v>
      </c>
      <c r="D207" s="2979">
        <v>0.13</v>
      </c>
      <c r="E207" s="2979">
        <v>0.13</v>
      </c>
      <c r="F207" s="2979">
        <v>0.13</v>
      </c>
      <c r="G207" s="2980">
        <v>0.13</v>
      </c>
    </row>
    <row r="208" spans="1:7">
      <c r="A208" s="2989" t="s">
        <v>304</v>
      </c>
      <c r="B208" s="2978" t="s">
        <v>2911</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2918</v>
      </c>
      <c r="C210" s="2979">
        <v>0.121</v>
      </c>
      <c r="D210" s="2979">
        <v>0.121</v>
      </c>
      <c r="E210" s="2979">
        <v>0.125</v>
      </c>
      <c r="F210" s="2979">
        <v>0.13</v>
      </c>
      <c r="G210" s="2980">
        <v>0.123</v>
      </c>
    </row>
    <row r="211" spans="1:7">
      <c r="A211" s="2989" t="s">
        <v>304</v>
      </c>
      <c r="B211" s="2978" t="s">
        <v>2921</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2933</v>
      </c>
      <c r="C214" s="2979">
        <v>0.128</v>
      </c>
      <c r="D214" s="2979">
        <v>0.128</v>
      </c>
      <c r="E214" s="2979">
        <v>0.13</v>
      </c>
      <c r="F214" s="2979">
        <v>0.13</v>
      </c>
      <c r="G214" s="2980">
        <v>0.13</v>
      </c>
    </row>
    <row r="215" spans="1:7">
      <c r="A215" s="2989" t="s">
        <v>304</v>
      </c>
      <c r="B215" s="2978" t="s">
        <v>2937</v>
      </c>
      <c r="C215" s="2979">
        <v>0.13</v>
      </c>
      <c r="D215" s="2979">
        <v>0.13</v>
      </c>
      <c r="E215" s="2979">
        <v>0.13</v>
      </c>
      <c r="F215" s="2979">
        <v>0.129</v>
      </c>
      <c r="G215" s="2980">
        <v>0.13</v>
      </c>
    </row>
    <row r="216" spans="1:7">
      <c r="A216" s="2989" t="s">
        <v>304</v>
      </c>
      <c r="B216" s="2978" t="s">
        <v>2944</v>
      </c>
      <c r="C216" s="2979">
        <v>0.13</v>
      </c>
      <c r="D216" s="2979">
        <v>0.13</v>
      </c>
      <c r="E216" s="2979">
        <v>0.13</v>
      </c>
      <c r="F216" s="2979">
        <v>0.13</v>
      </c>
      <c r="G216" s="2980">
        <v>0.13</v>
      </c>
    </row>
    <row r="217" spans="1:7">
      <c r="A217" s="2989" t="s">
        <v>304</v>
      </c>
      <c r="B217" s="2978" t="s">
        <v>2951</v>
      </c>
      <c r="C217" s="2979">
        <v>0.129</v>
      </c>
      <c r="D217" s="2979">
        <v>0.129</v>
      </c>
      <c r="E217" s="2979">
        <v>0.13</v>
      </c>
      <c r="F217" s="2979">
        <v>0.13</v>
      </c>
      <c r="G217" s="2980">
        <v>0.13</v>
      </c>
    </row>
    <row r="218" spans="1:7">
      <c r="A218" s="2989" t="s">
        <v>304</v>
      </c>
      <c r="B218" s="2978" t="s">
        <v>2957</v>
      </c>
      <c r="C218" s="2990"/>
      <c r="D218" s="2990"/>
      <c r="E218" s="2990"/>
      <c r="F218" s="2979">
        <v>0.05</v>
      </c>
      <c r="G218" s="2996"/>
    </row>
    <row r="219" spans="1:7">
      <c r="A219" s="2989" t="s">
        <v>304</v>
      </c>
      <c r="B219" s="2978" t="s">
        <v>2964</v>
      </c>
      <c r="C219" s="2990"/>
      <c r="D219" s="2990"/>
      <c r="E219" s="2990"/>
      <c r="F219" s="2979">
        <v>0.05</v>
      </c>
      <c r="G219" s="2996"/>
    </row>
    <row r="220" spans="1:7">
      <c r="A220" s="2989" t="s">
        <v>304</v>
      </c>
      <c r="B220" s="2978" t="s">
        <v>2970</v>
      </c>
      <c r="C220" s="2990"/>
      <c r="D220" s="2990"/>
      <c r="E220" s="2990"/>
      <c r="F220" s="2979">
        <v>0.05</v>
      </c>
      <c r="G220" s="2996"/>
    </row>
    <row r="221" spans="1:7">
      <c r="A221" s="2989" t="s">
        <v>304</v>
      </c>
      <c r="B221" s="2978" t="s">
        <v>2975</v>
      </c>
      <c r="C221" s="2990"/>
      <c r="D221" s="2990"/>
      <c r="E221" s="2990"/>
      <c r="F221" s="2979">
        <v>0.05</v>
      </c>
      <c r="G221" s="2996"/>
    </row>
    <row r="222" spans="1:7">
      <c r="A222" s="2989" t="s">
        <v>304</v>
      </c>
      <c r="B222" s="2978" t="s">
        <v>2979</v>
      </c>
      <c r="C222" s="2990"/>
      <c r="D222" s="2990"/>
      <c r="E222" s="2990"/>
      <c r="F222" s="2979">
        <v>0.05</v>
      </c>
      <c r="G222" s="2996"/>
    </row>
    <row r="223" spans="1:7">
      <c r="A223" s="2989" t="s">
        <v>304</v>
      </c>
      <c r="B223" s="2978" t="s">
        <v>2984</v>
      </c>
      <c r="C223" s="2990"/>
      <c r="D223" s="2990"/>
      <c r="E223" s="2990"/>
      <c r="F223" s="2979">
        <v>0.05</v>
      </c>
      <c r="G223" s="2996"/>
    </row>
    <row r="224" spans="1:7">
      <c r="A224" s="2989" t="s">
        <v>304</v>
      </c>
      <c r="B224" s="2978" t="s">
        <v>2989</v>
      </c>
      <c r="C224" s="2990"/>
      <c r="D224" s="2990"/>
      <c r="E224" s="2990"/>
      <c r="F224" s="2979">
        <v>0.05</v>
      </c>
      <c r="G224" s="2996"/>
    </row>
    <row r="225" spans="1:7">
      <c r="A225" s="2989" t="s">
        <v>304</v>
      </c>
      <c r="B225" s="2978" t="s">
        <v>2994</v>
      </c>
      <c r="C225" s="2990"/>
      <c r="D225" s="2990"/>
      <c r="E225" s="2990"/>
      <c r="F225" s="2979">
        <v>0.05</v>
      </c>
      <c r="G225" s="2996"/>
    </row>
    <row r="226" spans="1:7">
      <c r="A226" s="2989" t="s">
        <v>304</v>
      </c>
      <c r="B226" s="2978" t="s">
        <v>3196</v>
      </c>
      <c r="C226" s="2990"/>
      <c r="D226" s="2990"/>
      <c r="E226" s="2990"/>
      <c r="F226" s="2979">
        <v>0.05</v>
      </c>
      <c r="G226" s="2996"/>
    </row>
    <row r="227" spans="1:7">
      <c r="A227" s="2989" t="s">
        <v>304</v>
      </c>
      <c r="B227" s="2978" t="s">
        <v>3197</v>
      </c>
      <c r="C227" s="2990"/>
      <c r="D227" s="2990"/>
      <c r="E227" s="2990"/>
      <c r="F227" s="2979">
        <v>0.05</v>
      </c>
      <c r="G227" s="2996"/>
    </row>
    <row r="228" spans="1:7">
      <c r="A228" s="2989" t="s">
        <v>304</v>
      </c>
      <c r="B228" s="2978" t="s">
        <v>3198</v>
      </c>
      <c r="C228" s="2990"/>
      <c r="D228" s="2990"/>
      <c r="E228" s="2990"/>
      <c r="F228" s="2979">
        <v>0.05</v>
      </c>
      <c r="G228" s="2996"/>
    </row>
    <row r="229" spans="1:7">
      <c r="A229" s="2989" t="s">
        <v>304</v>
      </c>
      <c r="B229" s="2978" t="s">
        <v>3199</v>
      </c>
      <c r="C229" s="2990"/>
      <c r="D229" s="2990"/>
      <c r="E229" s="2990"/>
      <c r="F229" s="2979">
        <v>0.05</v>
      </c>
      <c r="G229" s="2996"/>
    </row>
    <row r="230" spans="1:7">
      <c r="A230" s="2989" t="s">
        <v>304</v>
      </c>
      <c r="B230" s="2978" t="s">
        <v>3200</v>
      </c>
      <c r="C230" s="2990"/>
      <c r="D230" s="2990"/>
      <c r="E230" s="2990"/>
      <c r="F230" s="2979">
        <v>0.05</v>
      </c>
      <c r="G230" s="2996"/>
    </row>
    <row r="231" spans="1:7">
      <c r="A231" s="2989" t="s">
        <v>304</v>
      </c>
      <c r="B231" s="2978" t="s">
        <v>3201</v>
      </c>
      <c r="C231" s="2990"/>
      <c r="D231" s="2990"/>
      <c r="E231" s="2990"/>
      <c r="F231" s="2979">
        <v>0.05</v>
      </c>
      <c r="G231" s="2996"/>
    </row>
    <row r="232" spans="1:7">
      <c r="A232" s="2989" t="s">
        <v>304</v>
      </c>
      <c r="B232" s="2978" t="s">
        <v>3202</v>
      </c>
      <c r="C232" s="2990"/>
      <c r="D232" s="2990"/>
      <c r="E232" s="2990"/>
      <c r="F232" s="2979">
        <v>0.05</v>
      </c>
      <c r="G232" s="2996"/>
    </row>
    <row r="233" spans="1:7" ht="14.25" thickBot="1">
      <c r="A233" s="2992" t="s">
        <v>304</v>
      </c>
      <c r="B233" s="2982" t="s">
        <v>3203</v>
      </c>
      <c r="C233" s="2984"/>
      <c r="D233" s="2984"/>
      <c r="E233" s="2984"/>
      <c r="F233" s="2983">
        <v>0.05</v>
      </c>
      <c r="G233" s="2997"/>
    </row>
    <row r="234" spans="1:7">
      <c r="A234" s="2988" t="s">
        <v>305</v>
      </c>
      <c r="B234" s="2974" t="s">
        <v>2852</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2872</v>
      </c>
      <c r="C238" s="2979">
        <v>0.14899999999999999</v>
      </c>
      <c r="D238" s="2979">
        <v>0.14899999999999999</v>
      </c>
      <c r="E238" s="2979">
        <v>0.15</v>
      </c>
      <c r="F238" s="2979">
        <v>0.15</v>
      </c>
      <c r="G238" s="2980">
        <v>0.15</v>
      </c>
    </row>
    <row r="239" spans="1:7">
      <c r="A239" s="2989" t="s">
        <v>305</v>
      </c>
      <c r="B239" s="2978" t="s">
        <v>2876</v>
      </c>
      <c r="C239" s="2979">
        <v>0.15</v>
      </c>
      <c r="D239" s="2979">
        <v>0.15</v>
      </c>
      <c r="E239" s="2979">
        <v>0.15</v>
      </c>
      <c r="F239" s="2979">
        <v>0.15</v>
      </c>
      <c r="G239" s="2980">
        <v>0.15</v>
      </c>
    </row>
    <row r="240" spans="1:7">
      <c r="A240" s="2989" t="s">
        <v>305</v>
      </c>
      <c r="B240" s="2978" t="s">
        <v>2881</v>
      </c>
      <c r="C240" s="2979">
        <v>0.15</v>
      </c>
      <c r="D240" s="2979">
        <v>0.15</v>
      </c>
      <c r="E240" s="2979">
        <v>0.15</v>
      </c>
      <c r="F240" s="2979">
        <v>0.15</v>
      </c>
      <c r="G240" s="2980">
        <v>0.15</v>
      </c>
    </row>
    <row r="241" spans="1:7">
      <c r="A241" s="2989" t="s">
        <v>305</v>
      </c>
      <c r="B241" s="2978" t="s">
        <v>2885</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2891</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2899</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2904</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2912</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2925</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2934</v>
      </c>
      <c r="C258" s="2979">
        <v>0.14299999999999999</v>
      </c>
      <c r="D258" s="2979">
        <v>0.14299999999999999</v>
      </c>
      <c r="E258" s="2979">
        <v>0.15</v>
      </c>
      <c r="F258" s="2979">
        <v>0.14799999999999999</v>
      </c>
      <c r="G258" s="2980">
        <v>0.14599999999999999</v>
      </c>
    </row>
    <row r="259" spans="1:7">
      <c r="A259" s="2989" t="s">
        <v>305</v>
      </c>
      <c r="B259" s="2978" t="s">
        <v>2938</v>
      </c>
      <c r="C259" s="2979">
        <v>0.14399999999999999</v>
      </c>
      <c r="D259" s="2979">
        <v>0.14399999999999999</v>
      </c>
      <c r="E259" s="2979">
        <v>0.14899999999999999</v>
      </c>
      <c r="F259" s="2979">
        <v>0.14699999999999999</v>
      </c>
      <c r="G259" s="2980">
        <v>0.14599999999999999</v>
      </c>
    </row>
    <row r="260" spans="1:7">
      <c r="A260" s="2989" t="s">
        <v>305</v>
      </c>
      <c r="B260" s="2978" t="s">
        <v>2945</v>
      </c>
      <c r="C260" s="2979">
        <v>0.109</v>
      </c>
      <c r="D260" s="2979">
        <v>0.111</v>
      </c>
      <c r="E260" s="2979">
        <v>0.13100000000000001</v>
      </c>
      <c r="F260" s="2979">
        <v>0.126</v>
      </c>
      <c r="G260" s="2980">
        <v>0.11899999999999999</v>
      </c>
    </row>
    <row r="261" spans="1:7">
      <c r="A261" s="2989" t="s">
        <v>305</v>
      </c>
      <c r="B261" s="2978" t="s">
        <v>2952</v>
      </c>
      <c r="C261" s="2979">
        <v>0.1</v>
      </c>
      <c r="D261" s="2979">
        <v>0.1</v>
      </c>
      <c r="E261" s="2979">
        <v>0.11799999999999999</v>
      </c>
      <c r="F261" s="2979">
        <v>0.108</v>
      </c>
      <c r="G261" s="2980">
        <v>0.107</v>
      </c>
    </row>
    <row r="262" spans="1:7">
      <c r="A262" s="2989" t="s">
        <v>305</v>
      </c>
      <c r="B262" s="2978" t="s">
        <v>2958</v>
      </c>
      <c r="C262" s="2979">
        <v>0.1</v>
      </c>
      <c r="D262" s="2979">
        <v>0.1</v>
      </c>
      <c r="E262" s="2979">
        <v>0.1</v>
      </c>
      <c r="F262" s="2979">
        <v>0.14099999999999999</v>
      </c>
      <c r="G262" s="2980">
        <v>0.1</v>
      </c>
    </row>
    <row r="263" spans="1:7">
      <c r="A263" s="2989" t="s">
        <v>305</v>
      </c>
      <c r="B263" s="2978" t="s">
        <v>2965</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2976</v>
      </c>
      <c r="C265" s="2990"/>
      <c r="D265" s="2990"/>
      <c r="E265" s="2990"/>
      <c r="F265" s="2979">
        <v>0.05</v>
      </c>
      <c r="G265" s="2996"/>
    </row>
    <row r="266" spans="1:7">
      <c r="A266" s="2989" t="s">
        <v>305</v>
      </c>
      <c r="B266" s="2978" t="s">
        <v>2980</v>
      </c>
      <c r="C266" s="2990"/>
      <c r="D266" s="2990"/>
      <c r="E266" s="2990"/>
      <c r="F266" s="2979">
        <v>0.05</v>
      </c>
      <c r="G266" s="2996"/>
    </row>
    <row r="267" spans="1:7">
      <c r="A267" s="2989" t="s">
        <v>305</v>
      </c>
      <c r="B267" s="2978" t="s">
        <v>2985</v>
      </c>
      <c r="C267" s="2990"/>
      <c r="D267" s="2990"/>
      <c r="E267" s="2990"/>
      <c r="F267" s="2979">
        <v>0.05</v>
      </c>
      <c r="G267" s="2996"/>
    </row>
    <row r="268" spans="1:7">
      <c r="A268" s="2989" t="s">
        <v>305</v>
      </c>
      <c r="B268" s="2978" t="s">
        <v>2990</v>
      </c>
      <c r="C268" s="2990"/>
      <c r="D268" s="2990"/>
      <c r="E268" s="2990"/>
      <c r="F268" s="2979">
        <v>0.05</v>
      </c>
      <c r="G268" s="2996"/>
    </row>
    <row r="269" spans="1:7">
      <c r="A269" s="2989" t="s">
        <v>305</v>
      </c>
      <c r="B269" s="2978" t="s">
        <v>2995</v>
      </c>
      <c r="C269" s="2990"/>
      <c r="D269" s="2990"/>
      <c r="E269" s="2990"/>
      <c r="F269" s="2979">
        <v>0.05</v>
      </c>
      <c r="G269" s="2996"/>
    </row>
    <row r="270" spans="1:7">
      <c r="A270" s="2989" t="s">
        <v>305</v>
      </c>
      <c r="B270" s="2978" t="s">
        <v>3000</v>
      </c>
      <c r="C270" s="2990"/>
      <c r="D270" s="2990"/>
      <c r="E270" s="2990"/>
      <c r="F270" s="2979">
        <v>0.05</v>
      </c>
      <c r="G270" s="2996"/>
    </row>
    <row r="271" spans="1:7">
      <c r="A271" s="2989" t="s">
        <v>305</v>
      </c>
      <c r="B271" s="2978" t="s">
        <v>3204</v>
      </c>
      <c r="C271" s="2990"/>
      <c r="D271" s="2990"/>
      <c r="E271" s="2990"/>
      <c r="F271" s="2979">
        <v>0.05</v>
      </c>
      <c r="G271" s="2996"/>
    </row>
    <row r="272" spans="1:7">
      <c r="A272" s="2989" t="s">
        <v>305</v>
      </c>
      <c r="B272" s="2978" t="s">
        <v>3205</v>
      </c>
      <c r="C272" s="2990"/>
      <c r="D272" s="2990"/>
      <c r="E272" s="2990"/>
      <c r="F272" s="2979">
        <v>0.05</v>
      </c>
      <c r="G272" s="2996"/>
    </row>
    <row r="273" spans="1:7">
      <c r="A273" s="2989" t="s">
        <v>305</v>
      </c>
      <c r="B273" s="2978" t="s">
        <v>3206</v>
      </c>
      <c r="C273" s="2990"/>
      <c r="D273" s="2990"/>
      <c r="E273" s="2990"/>
      <c r="F273" s="2979">
        <v>0.05</v>
      </c>
      <c r="G273" s="2996"/>
    </row>
    <row r="274" spans="1:7">
      <c r="A274" s="2989" t="s">
        <v>305</v>
      </c>
      <c r="B274" s="2978" t="s">
        <v>3207</v>
      </c>
      <c r="C274" s="2990"/>
      <c r="D274" s="2990"/>
      <c r="E274" s="2990"/>
      <c r="F274" s="2979">
        <v>0.05</v>
      </c>
      <c r="G274" s="2996"/>
    </row>
    <row r="275" spans="1:7">
      <c r="A275" s="2989" t="s">
        <v>305</v>
      </c>
      <c r="B275" s="2978" t="s">
        <v>3208</v>
      </c>
      <c r="C275" s="2990"/>
      <c r="D275" s="2990"/>
      <c r="E275" s="2990"/>
      <c r="F275" s="2979">
        <v>0.05</v>
      </c>
      <c r="G275" s="2996"/>
    </row>
    <row r="276" spans="1:7" ht="14.25" thickBot="1">
      <c r="A276" s="2992" t="s">
        <v>305</v>
      </c>
      <c r="B276" s="2982" t="s">
        <v>3209</v>
      </c>
      <c r="C276" s="2984"/>
      <c r="D276" s="2984"/>
      <c r="E276" s="2984"/>
      <c r="F276" s="2983">
        <v>0.05</v>
      </c>
      <c r="G276" s="2997"/>
    </row>
    <row r="277" spans="1:7">
      <c r="A277" s="2988" t="s">
        <v>306</v>
      </c>
      <c r="B277" s="2974" t="s">
        <v>2853</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2865</v>
      </c>
      <c r="C279" s="2979">
        <v>0.15</v>
      </c>
      <c r="D279" s="2979">
        <v>0.15</v>
      </c>
      <c r="E279" s="2979">
        <v>0.15</v>
      </c>
      <c r="F279" s="2979">
        <v>0.15</v>
      </c>
      <c r="G279" s="2980">
        <v>0.15</v>
      </c>
    </row>
    <row r="280" spans="1:7">
      <c r="A280" s="2989" t="s">
        <v>306</v>
      </c>
      <c r="B280" s="2978" t="s">
        <v>2869</v>
      </c>
      <c r="C280" s="2979">
        <v>0.15</v>
      </c>
      <c r="D280" s="2979">
        <v>0.15</v>
      </c>
      <c r="E280" s="2979">
        <v>0.15</v>
      </c>
      <c r="F280" s="2979">
        <v>0.15</v>
      </c>
      <c r="G280" s="2980">
        <v>0.15</v>
      </c>
    </row>
    <row r="281" spans="1:7">
      <c r="A281" s="2989" t="s">
        <v>306</v>
      </c>
      <c r="B281" s="2978" t="s">
        <v>2873</v>
      </c>
      <c r="C281" s="2979">
        <v>0.15</v>
      </c>
      <c r="D281" s="2979">
        <v>0.15</v>
      </c>
      <c r="E281" s="2979">
        <v>0.15</v>
      </c>
      <c r="F281" s="2979">
        <v>0.15</v>
      </c>
      <c r="G281" s="2980">
        <v>0.15</v>
      </c>
    </row>
    <row r="282" spans="1:7">
      <c r="A282" s="2989" t="s">
        <v>306</v>
      </c>
      <c r="B282" s="2978" t="s">
        <v>2877</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2892</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2897</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2907</v>
      </c>
      <c r="C293" s="2979">
        <v>0.15</v>
      </c>
      <c r="D293" s="2979">
        <v>0.15</v>
      </c>
      <c r="E293" s="2979">
        <v>0.15</v>
      </c>
      <c r="F293" s="2979">
        <v>0.14499999999999999</v>
      </c>
      <c r="G293" s="2980">
        <v>0.15</v>
      </c>
    </row>
    <row r="294" spans="1:7">
      <c r="A294" s="2989" t="s">
        <v>306</v>
      </c>
      <c r="B294" s="2978" t="s">
        <v>2909</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2926</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2939</v>
      </c>
      <c r="C302" s="2979">
        <v>0.15</v>
      </c>
      <c r="D302" s="2979">
        <v>0.15</v>
      </c>
      <c r="E302" s="2979">
        <v>0.15</v>
      </c>
      <c r="F302" s="2979">
        <v>0.14699999999999999</v>
      </c>
      <c r="G302" s="2980">
        <v>0.15</v>
      </c>
    </row>
    <row r="303" spans="1:7">
      <c r="A303" s="2989" t="s">
        <v>306</v>
      </c>
      <c r="B303" s="2978" t="s">
        <v>2946</v>
      </c>
      <c r="C303" s="2979">
        <v>0.15</v>
      </c>
      <c r="D303" s="2979">
        <v>0.15</v>
      </c>
      <c r="E303" s="2979">
        <v>0.15</v>
      </c>
      <c r="F303" s="2979">
        <v>0.14199999999999999</v>
      </c>
      <c r="G303" s="2980">
        <v>0.15</v>
      </c>
    </row>
    <row r="304" spans="1:7">
      <c r="A304" s="2989" t="s">
        <v>306</v>
      </c>
      <c r="B304" s="2978" t="s">
        <v>2953</v>
      </c>
      <c r="C304" s="2979">
        <v>0.15</v>
      </c>
      <c r="D304" s="2979">
        <v>0.15</v>
      </c>
      <c r="E304" s="2979">
        <v>0.15</v>
      </c>
      <c r="F304" s="2979">
        <v>0.14499999999999999</v>
      </c>
      <c r="G304" s="2980">
        <v>0.15</v>
      </c>
    </row>
    <row r="305" spans="1:7">
      <c r="A305" s="2989" t="s">
        <v>306</v>
      </c>
      <c r="B305" s="2978" t="s">
        <v>2959</v>
      </c>
      <c r="C305" s="2979">
        <v>0.15</v>
      </c>
      <c r="D305" s="2979">
        <v>0.15</v>
      </c>
      <c r="E305" s="2979">
        <v>0.15</v>
      </c>
      <c r="F305" s="2979">
        <v>0.111</v>
      </c>
      <c r="G305" s="2980">
        <v>0.15</v>
      </c>
    </row>
    <row r="306" spans="1:7">
      <c r="A306" s="2989" t="s">
        <v>306</v>
      </c>
      <c r="B306" s="2978" t="s">
        <v>2966</v>
      </c>
      <c r="C306" s="2979">
        <v>0.15</v>
      </c>
      <c r="D306" s="2979">
        <v>0.15</v>
      </c>
      <c r="E306" s="2979">
        <v>0.15</v>
      </c>
      <c r="F306" s="2979">
        <v>0.126</v>
      </c>
      <c r="G306" s="2980">
        <v>0.15</v>
      </c>
    </row>
    <row r="307" spans="1:7">
      <c r="A307" s="2989" t="s">
        <v>306</v>
      </c>
      <c r="B307" s="2978" t="s">
        <v>2971</v>
      </c>
      <c r="C307" s="2979">
        <v>0.15</v>
      </c>
      <c r="D307" s="2979">
        <v>0.15</v>
      </c>
      <c r="E307" s="2979">
        <v>0.15</v>
      </c>
      <c r="F307" s="2979">
        <v>0.12</v>
      </c>
      <c r="G307" s="2980">
        <v>0.15</v>
      </c>
    </row>
    <row r="308" spans="1:7">
      <c r="A308" s="2989" t="s">
        <v>306</v>
      </c>
      <c r="B308" s="2978" t="s">
        <v>2977</v>
      </c>
      <c r="C308" s="2979">
        <v>0.15</v>
      </c>
      <c r="D308" s="2979">
        <v>0.15</v>
      </c>
      <c r="E308" s="2979">
        <v>0.15</v>
      </c>
      <c r="F308" s="2979">
        <v>0.13</v>
      </c>
      <c r="G308" s="2980">
        <v>0.15</v>
      </c>
    </row>
    <row r="309" spans="1:7">
      <c r="A309" s="2989" t="s">
        <v>306</v>
      </c>
      <c r="B309" s="2978" t="s">
        <v>2981</v>
      </c>
      <c r="C309" s="2979">
        <v>0.15</v>
      </c>
      <c r="D309" s="2979">
        <v>0.15</v>
      </c>
      <c r="E309" s="2979">
        <v>0.15</v>
      </c>
      <c r="F309" s="2979">
        <v>0.14099999999999999</v>
      </c>
      <c r="G309" s="2980">
        <v>0.15</v>
      </c>
    </row>
    <row r="310" spans="1:7">
      <c r="A310" s="2989" t="s">
        <v>306</v>
      </c>
      <c r="B310" s="2978" t="s">
        <v>2986</v>
      </c>
      <c r="C310" s="2979">
        <v>0.15</v>
      </c>
      <c r="D310" s="2979">
        <v>0.15</v>
      </c>
      <c r="E310" s="2979">
        <v>0.15</v>
      </c>
      <c r="F310" s="2979">
        <v>0.15</v>
      </c>
      <c r="G310" s="2980">
        <v>0.15</v>
      </c>
    </row>
    <row r="311" spans="1:7">
      <c r="A311" s="2989" t="s">
        <v>306</v>
      </c>
      <c r="B311" s="2978" t="s">
        <v>2991</v>
      </c>
      <c r="C311" s="2979">
        <v>0.13200000000000001</v>
      </c>
      <c r="D311" s="2979">
        <v>0.13300000000000001</v>
      </c>
      <c r="E311" s="2979">
        <v>0.14499999999999999</v>
      </c>
      <c r="F311" s="2979">
        <v>0.14199999999999999</v>
      </c>
      <c r="G311" s="2980">
        <v>0.14000000000000001</v>
      </c>
    </row>
    <row r="312" spans="1:7">
      <c r="A312" s="2989" t="s">
        <v>306</v>
      </c>
      <c r="B312" s="2978" t="s">
        <v>2996</v>
      </c>
      <c r="C312" s="2979">
        <v>0.13800000000000001</v>
      </c>
      <c r="D312" s="2979">
        <v>0.14000000000000001</v>
      </c>
      <c r="E312" s="2979">
        <v>0.14599999999999999</v>
      </c>
      <c r="F312" s="2979">
        <v>0.14899999999999999</v>
      </c>
      <c r="G312" s="2980">
        <v>0.14199999999999999</v>
      </c>
    </row>
    <row r="313" spans="1:7">
      <c r="A313" s="2989" t="s">
        <v>306</v>
      </c>
      <c r="B313" s="2978" t="s">
        <v>3001</v>
      </c>
      <c r="C313" s="2979">
        <v>0.125</v>
      </c>
      <c r="D313" s="2979">
        <v>0.127</v>
      </c>
      <c r="E313" s="2979">
        <v>0.14399999999999999</v>
      </c>
      <c r="F313" s="2979">
        <v>0.115</v>
      </c>
      <c r="G313" s="2980">
        <v>0.13600000000000001</v>
      </c>
    </row>
    <row r="314" spans="1:7">
      <c r="A314" s="2989" t="s">
        <v>306</v>
      </c>
      <c r="B314" s="2978" t="s">
        <v>3210</v>
      </c>
      <c r="C314" s="2995"/>
      <c r="D314" s="2995"/>
      <c r="E314" s="2995"/>
      <c r="F314" s="2979">
        <v>0.05</v>
      </c>
      <c r="G314" s="2996"/>
    </row>
    <row r="315" spans="1:7">
      <c r="A315" s="2989" t="s">
        <v>306</v>
      </c>
      <c r="B315" s="2978" t="s">
        <v>3211</v>
      </c>
      <c r="C315" s="2995"/>
      <c r="D315" s="2995"/>
      <c r="E315" s="2995"/>
      <c r="F315" s="2979">
        <v>0.05</v>
      </c>
      <c r="G315" s="2996"/>
    </row>
    <row r="316" spans="1:7">
      <c r="A316" s="2989" t="s">
        <v>306</v>
      </c>
      <c r="B316" s="2978" t="s">
        <v>3212</v>
      </c>
      <c r="C316" s="2990"/>
      <c r="D316" s="2990"/>
      <c r="E316" s="2990"/>
      <c r="F316" s="2979">
        <v>0.05</v>
      </c>
      <c r="G316" s="2996"/>
    </row>
    <row r="317" spans="1:7">
      <c r="A317" s="2989" t="s">
        <v>306</v>
      </c>
      <c r="B317" s="2978" t="s">
        <v>3213</v>
      </c>
      <c r="C317" s="2990"/>
      <c r="D317" s="2990"/>
      <c r="E317" s="2990"/>
      <c r="F317" s="2979">
        <v>0.05</v>
      </c>
      <c r="G317" s="2996"/>
    </row>
    <row r="318" spans="1:7">
      <c r="A318" s="2989" t="s">
        <v>306</v>
      </c>
      <c r="B318" s="2978" t="s">
        <v>3214</v>
      </c>
      <c r="C318" s="2990"/>
      <c r="D318" s="2990"/>
      <c r="E318" s="2990"/>
      <c r="F318" s="2979">
        <v>0.05</v>
      </c>
      <c r="G318" s="2996"/>
    </row>
    <row r="319" spans="1:7">
      <c r="A319" s="2989" t="s">
        <v>306</v>
      </c>
      <c r="B319" s="2978" t="s">
        <v>3215</v>
      </c>
      <c r="C319" s="2990"/>
      <c r="D319" s="2990"/>
      <c r="E319" s="2990"/>
      <c r="F319" s="2979">
        <v>0.05</v>
      </c>
      <c r="G319" s="2996"/>
    </row>
    <row r="320" spans="1:7">
      <c r="A320" s="2989" t="s">
        <v>306</v>
      </c>
      <c r="B320" s="2978" t="s">
        <v>3216</v>
      </c>
      <c r="C320" s="2990"/>
      <c r="D320" s="2990"/>
      <c r="E320" s="2990"/>
      <c r="F320" s="2979">
        <v>0.05</v>
      </c>
      <c r="G320" s="2996"/>
    </row>
    <row r="321" spans="1:7">
      <c r="A321" s="2989" t="s">
        <v>306</v>
      </c>
      <c r="B321" s="2978" t="s">
        <v>3217</v>
      </c>
      <c r="C321" s="2990"/>
      <c r="D321" s="2990"/>
      <c r="E321" s="2990"/>
      <c r="F321" s="2979">
        <v>0.05</v>
      </c>
      <c r="G321" s="2996"/>
    </row>
    <row r="322" spans="1:7">
      <c r="A322" s="2989" t="s">
        <v>306</v>
      </c>
      <c r="B322" s="2978" t="s">
        <v>3218</v>
      </c>
      <c r="C322" s="2990"/>
      <c r="D322" s="2990"/>
      <c r="E322" s="2990"/>
      <c r="F322" s="2979">
        <v>0.05</v>
      </c>
      <c r="G322" s="2996"/>
    </row>
    <row r="323" spans="1:7">
      <c r="A323" s="2989" t="s">
        <v>306</v>
      </c>
      <c r="B323" s="2978" t="s">
        <v>3219</v>
      </c>
      <c r="C323" s="2990"/>
      <c r="D323" s="2990"/>
      <c r="E323" s="2990"/>
      <c r="F323" s="2979">
        <v>0.05</v>
      </c>
      <c r="G323" s="2996"/>
    </row>
    <row r="324" spans="1:7">
      <c r="A324" s="2989" t="s">
        <v>306</v>
      </c>
      <c r="B324" s="2978" t="s">
        <v>3220</v>
      </c>
      <c r="C324" s="2990"/>
      <c r="D324" s="2990"/>
      <c r="E324" s="2990"/>
      <c r="F324" s="2979">
        <v>0.05</v>
      </c>
      <c r="G324" s="2996"/>
    </row>
    <row r="325" spans="1:7">
      <c r="A325" s="2989" t="s">
        <v>306</v>
      </c>
      <c r="B325" s="2978" t="s">
        <v>3221</v>
      </c>
      <c r="C325" s="2990"/>
      <c r="D325" s="2990"/>
      <c r="E325" s="2990"/>
      <c r="F325" s="2979">
        <v>0.05</v>
      </c>
      <c r="G325" s="2996"/>
    </row>
    <row r="326" spans="1:7" ht="14.25" thickBot="1">
      <c r="A326" s="2992" t="s">
        <v>306</v>
      </c>
      <c r="B326" s="2982" t="s">
        <v>3222</v>
      </c>
      <c r="C326" s="2984"/>
      <c r="D326" s="2984"/>
      <c r="E326" s="2984"/>
      <c r="F326" s="2983">
        <v>0.05</v>
      </c>
      <c r="G326" s="2997"/>
    </row>
    <row r="327" spans="1:7">
      <c r="A327" s="2988" t="s">
        <v>307</v>
      </c>
      <c r="B327" s="2974" t="s">
        <v>2854</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2866</v>
      </c>
      <c r="C329" s="2979">
        <v>0.15</v>
      </c>
      <c r="D329" s="2979">
        <v>0.15</v>
      </c>
      <c r="E329" s="2979">
        <v>0.15</v>
      </c>
      <c r="F329" s="2979">
        <v>0.15</v>
      </c>
      <c r="G329" s="2980">
        <v>0.15</v>
      </c>
    </row>
    <row r="330" spans="1:7">
      <c r="A330" s="2989" t="s">
        <v>307</v>
      </c>
      <c r="B330" s="2978" t="s">
        <v>2870</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2878</v>
      </c>
      <c r="C332" s="2979">
        <v>0.15</v>
      </c>
      <c r="D332" s="2979">
        <v>0.15</v>
      </c>
      <c r="E332" s="2979">
        <v>0.15</v>
      </c>
      <c r="F332" s="2979">
        <v>0.15</v>
      </c>
      <c r="G332" s="2980">
        <v>0.15</v>
      </c>
    </row>
    <row r="333" spans="1:7">
      <c r="A333" s="2989" t="s">
        <v>307</v>
      </c>
      <c r="B333" s="2978" t="s">
        <v>2882</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2888</v>
      </c>
      <c r="C336" s="2979">
        <v>0.15</v>
      </c>
      <c r="D336" s="2979">
        <v>0.15</v>
      </c>
      <c r="E336" s="2979">
        <v>0.15</v>
      </c>
      <c r="F336" s="2979">
        <v>0.14199999999999999</v>
      </c>
      <c r="G336" s="2980">
        <v>0.15</v>
      </c>
    </row>
    <row r="337" spans="1:7">
      <c r="A337" s="2989" t="s">
        <v>307</v>
      </c>
      <c r="B337" s="2978" t="s">
        <v>2893</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2900</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2905</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2913</v>
      </c>
      <c r="C345" s="2979">
        <v>0.15</v>
      </c>
      <c r="D345" s="2979">
        <v>0.15</v>
      </c>
      <c r="E345" s="2979">
        <v>0.15</v>
      </c>
      <c r="F345" s="2979">
        <v>0.13800000000000001</v>
      </c>
      <c r="G345" s="2980">
        <v>0.15</v>
      </c>
    </row>
    <row r="346" spans="1:7">
      <c r="A346" s="2989" t="s">
        <v>307</v>
      </c>
      <c r="B346" s="2978" t="s">
        <v>2915</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2922</v>
      </c>
      <c r="C348" s="2979">
        <v>0.15</v>
      </c>
      <c r="D348" s="2979">
        <v>0.15</v>
      </c>
      <c r="E348" s="2979">
        <v>0.15</v>
      </c>
      <c r="F348" s="2979">
        <v>0.14399999999999999</v>
      </c>
      <c r="G348" s="2980">
        <v>0.15</v>
      </c>
    </row>
    <row r="349" spans="1:7">
      <c r="A349" s="2989" t="s">
        <v>307</v>
      </c>
      <c r="B349" s="2978" t="s">
        <v>2927</v>
      </c>
      <c r="C349" s="2979">
        <v>0.15</v>
      </c>
      <c r="D349" s="2979">
        <v>0.15</v>
      </c>
      <c r="E349" s="2979">
        <v>0.15</v>
      </c>
      <c r="F349" s="2979">
        <v>0.15</v>
      </c>
      <c r="G349" s="2980">
        <v>0.15</v>
      </c>
    </row>
    <row r="350" spans="1:7">
      <c r="A350" s="2989" t="s">
        <v>307</v>
      </c>
      <c r="B350" s="2978" t="s">
        <v>2930</v>
      </c>
      <c r="C350" s="2979">
        <v>0.15</v>
      </c>
      <c r="D350" s="2979">
        <v>0.15</v>
      </c>
      <c r="E350" s="2979">
        <v>0.15</v>
      </c>
      <c r="F350" s="2979">
        <v>0.14699999999999999</v>
      </c>
      <c r="G350" s="2980">
        <v>0.15</v>
      </c>
    </row>
    <row r="351" spans="1:7">
      <c r="A351" s="2989" t="s">
        <v>307</v>
      </c>
      <c r="B351" s="2978" t="s">
        <v>2935</v>
      </c>
      <c r="C351" s="2979">
        <v>0.15</v>
      </c>
      <c r="D351" s="2979">
        <v>0.15</v>
      </c>
      <c r="E351" s="2979">
        <v>0.15</v>
      </c>
      <c r="F351" s="2979">
        <v>0.13</v>
      </c>
      <c r="G351" s="2980">
        <v>0.15</v>
      </c>
    </row>
    <row r="352" spans="1:7">
      <c r="A352" s="2989" t="s">
        <v>307</v>
      </c>
      <c r="B352" s="2978" t="s">
        <v>2940</v>
      </c>
      <c r="C352" s="2979">
        <v>0.15</v>
      </c>
      <c r="D352" s="2979">
        <v>0.15</v>
      </c>
      <c r="E352" s="2979">
        <v>0.15</v>
      </c>
      <c r="F352" s="2979">
        <v>0.14599999999999999</v>
      </c>
      <c r="G352" s="2980">
        <v>0.15</v>
      </c>
    </row>
    <row r="353" spans="1:7">
      <c r="A353" s="2989" t="s">
        <v>307</v>
      </c>
      <c r="B353" s="2978" t="s">
        <v>2947</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2960</v>
      </c>
      <c r="C355" s="2979">
        <v>0.15</v>
      </c>
      <c r="D355" s="2979">
        <v>0.15</v>
      </c>
      <c r="E355" s="2979">
        <v>0.15</v>
      </c>
      <c r="F355" s="2979">
        <v>0.15</v>
      </c>
      <c r="G355" s="2980">
        <v>0.15</v>
      </c>
    </row>
    <row r="356" spans="1:7">
      <c r="A356" s="2989" t="s">
        <v>307</v>
      </c>
      <c r="B356" s="2978" t="s">
        <v>2967</v>
      </c>
      <c r="C356" s="2979">
        <v>0.15</v>
      </c>
      <c r="D356" s="2979">
        <v>0.15</v>
      </c>
      <c r="E356" s="2979">
        <v>0.15</v>
      </c>
      <c r="F356" s="2979">
        <v>0.15</v>
      </c>
      <c r="G356" s="2980">
        <v>0.15</v>
      </c>
    </row>
    <row r="357" spans="1:7" ht="14.25" thickBot="1">
      <c r="A357" s="2992" t="s">
        <v>307</v>
      </c>
      <c r="B357" s="2982" t="s">
        <v>2972</v>
      </c>
      <c r="C357" s="2983">
        <v>0.126</v>
      </c>
      <c r="D357" s="2983">
        <v>0.127</v>
      </c>
      <c r="E357" s="2983">
        <v>0.14299999999999999</v>
      </c>
      <c r="F357" s="2983">
        <v>0.125</v>
      </c>
      <c r="G357" s="2985">
        <v>0.129</v>
      </c>
    </row>
    <row r="358" spans="1:7">
      <c r="A358" s="2988" t="s">
        <v>2841</v>
      </c>
      <c r="B358" s="2974" t="s">
        <v>2855</v>
      </c>
      <c r="C358" s="2975">
        <v>0.15</v>
      </c>
      <c r="D358" s="2975">
        <v>0.15</v>
      </c>
      <c r="E358" s="2975">
        <v>0.15</v>
      </c>
      <c r="F358" s="2975">
        <v>0.15</v>
      </c>
      <c r="G358" s="2976">
        <v>0.15</v>
      </c>
    </row>
    <row r="359" spans="1:7">
      <c r="A359" s="2989" t="s">
        <v>2841</v>
      </c>
      <c r="B359" s="2978" t="s">
        <v>2861</v>
      </c>
      <c r="C359" s="2979">
        <v>0.1</v>
      </c>
      <c r="D359" s="2979">
        <v>0.1</v>
      </c>
      <c r="E359" s="2979">
        <v>0.1</v>
      </c>
      <c r="F359" s="2979">
        <v>0.1</v>
      </c>
      <c r="G359" s="2980">
        <v>0.1</v>
      </c>
    </row>
    <row r="360" spans="1:7">
      <c r="A360" s="2989" t="s">
        <v>2841</v>
      </c>
      <c r="B360" s="2978" t="s">
        <v>2867</v>
      </c>
      <c r="C360" s="2979">
        <v>0.15</v>
      </c>
      <c r="D360" s="2979">
        <v>0.15</v>
      </c>
      <c r="E360" s="2979">
        <v>0.15</v>
      </c>
      <c r="F360" s="2979">
        <v>0.14899999999999999</v>
      </c>
      <c r="G360" s="2980">
        <v>0.15</v>
      </c>
    </row>
    <row r="361" spans="1:7">
      <c r="A361" s="2989" t="s">
        <v>2841</v>
      </c>
      <c r="B361" s="2978" t="s">
        <v>153</v>
      </c>
      <c r="C361" s="2979">
        <v>0.15</v>
      </c>
      <c r="D361" s="2979">
        <v>0.15</v>
      </c>
      <c r="E361" s="2979">
        <v>0.15</v>
      </c>
      <c r="F361" s="2979">
        <v>0.115</v>
      </c>
      <c r="G361" s="2980">
        <v>0.15</v>
      </c>
    </row>
    <row r="362" spans="1:7">
      <c r="A362" s="2989" t="s">
        <v>2841</v>
      </c>
      <c r="B362" s="2978" t="s">
        <v>2874</v>
      </c>
      <c r="C362" s="2979">
        <v>0.15</v>
      </c>
      <c r="D362" s="2979">
        <v>0.15</v>
      </c>
      <c r="E362" s="2979">
        <v>0.15</v>
      </c>
      <c r="F362" s="2979">
        <v>0.106</v>
      </c>
      <c r="G362" s="2980">
        <v>0.15</v>
      </c>
    </row>
    <row r="363" spans="1:7">
      <c r="A363" s="2989" t="s">
        <v>2841</v>
      </c>
      <c r="B363" s="2978" t="s">
        <v>2879</v>
      </c>
      <c r="C363" s="2979">
        <v>0.15</v>
      </c>
      <c r="D363" s="2979">
        <v>0.15</v>
      </c>
      <c r="E363" s="2979">
        <v>0.15</v>
      </c>
      <c r="F363" s="2979">
        <v>0.14699999999999999</v>
      </c>
      <c r="G363" s="2980">
        <v>0.15</v>
      </c>
    </row>
    <row r="364" spans="1:7">
      <c r="A364" s="2989" t="s">
        <v>2841</v>
      </c>
      <c r="B364" s="2978" t="s">
        <v>2883</v>
      </c>
      <c r="C364" s="2979">
        <v>0.15</v>
      </c>
      <c r="D364" s="2979">
        <v>0.15</v>
      </c>
      <c r="E364" s="2979">
        <v>0.15</v>
      </c>
      <c r="F364" s="2979">
        <v>0.14799999999999999</v>
      </c>
      <c r="G364" s="2980">
        <v>0.15</v>
      </c>
    </row>
    <row r="365" spans="1:7">
      <c r="A365" s="2989" t="s">
        <v>2841</v>
      </c>
      <c r="B365" s="2978" t="s">
        <v>200</v>
      </c>
      <c r="C365" s="2979">
        <v>0.15</v>
      </c>
      <c r="D365" s="2979">
        <v>0.15</v>
      </c>
      <c r="E365" s="2979">
        <v>0.15</v>
      </c>
      <c r="F365" s="2979">
        <v>0.15</v>
      </c>
      <c r="G365" s="2980">
        <v>0.15</v>
      </c>
    </row>
    <row r="366" spans="1:7">
      <c r="A366" s="2989" t="s">
        <v>2841</v>
      </c>
      <c r="B366" s="2978" t="s">
        <v>2886</v>
      </c>
      <c r="C366" s="2979">
        <v>0.15</v>
      </c>
      <c r="D366" s="2979">
        <v>0.15</v>
      </c>
      <c r="E366" s="2979">
        <v>0.15</v>
      </c>
      <c r="F366" s="2979">
        <v>0.15</v>
      </c>
      <c r="G366" s="2980">
        <v>0.15</v>
      </c>
    </row>
    <row r="367" spans="1:7">
      <c r="A367" s="2989" t="s">
        <v>2841</v>
      </c>
      <c r="B367" s="2978" t="s">
        <v>2889</v>
      </c>
      <c r="C367" s="2979">
        <v>0.15</v>
      </c>
      <c r="D367" s="2979">
        <v>0.15</v>
      </c>
      <c r="E367" s="2979">
        <v>0.15</v>
      </c>
      <c r="F367" s="2979">
        <v>0.14699999999999999</v>
      </c>
      <c r="G367" s="2980">
        <v>0.15</v>
      </c>
    </row>
    <row r="368" spans="1:7">
      <c r="A368" s="2989" t="s">
        <v>2841</v>
      </c>
      <c r="B368" s="2978" t="s">
        <v>2894</v>
      </c>
      <c r="C368" s="2979">
        <v>0.15</v>
      </c>
      <c r="D368" s="2979">
        <v>0.15</v>
      </c>
      <c r="E368" s="2979">
        <v>0.15</v>
      </c>
      <c r="F368" s="2979">
        <v>0.13600000000000001</v>
      </c>
      <c r="G368" s="2980">
        <v>0.15</v>
      </c>
    </row>
    <row r="369" spans="1:7">
      <c r="A369" s="2989" t="s">
        <v>2841</v>
      </c>
      <c r="B369" s="2978" t="s">
        <v>214</v>
      </c>
      <c r="C369" s="2979">
        <v>0.15</v>
      </c>
      <c r="D369" s="2979">
        <v>0.15</v>
      </c>
      <c r="E369" s="2979">
        <v>0.15</v>
      </c>
      <c r="F369" s="2979">
        <v>0.14399999999999999</v>
      </c>
      <c r="G369" s="2980">
        <v>0.15</v>
      </c>
    </row>
    <row r="370" spans="1:7">
      <c r="A370" s="2989" t="s">
        <v>2841</v>
      </c>
      <c r="B370" s="2978" t="s">
        <v>221</v>
      </c>
      <c r="C370" s="2979">
        <v>0.15</v>
      </c>
      <c r="D370" s="2979">
        <v>0.15</v>
      </c>
      <c r="E370" s="2979">
        <v>0.15</v>
      </c>
      <c r="F370" s="2979">
        <v>0.14599999999999999</v>
      </c>
      <c r="G370" s="2980">
        <v>0.15</v>
      </c>
    </row>
    <row r="371" spans="1:7">
      <c r="A371" s="2989" t="s">
        <v>2841</v>
      </c>
      <c r="B371" s="2978" t="s">
        <v>229</v>
      </c>
      <c r="C371" s="2979">
        <v>0.15</v>
      </c>
      <c r="D371" s="2979">
        <v>0.15</v>
      </c>
      <c r="E371" s="2979">
        <v>0.15</v>
      </c>
      <c r="F371" s="2979">
        <v>0.12</v>
      </c>
      <c r="G371" s="2980">
        <v>0.15</v>
      </c>
    </row>
    <row r="372" spans="1:7">
      <c r="A372" s="2989" t="s">
        <v>2841</v>
      </c>
      <c r="B372" s="2978" t="s">
        <v>2902</v>
      </c>
      <c r="C372" s="2979">
        <v>0.15</v>
      </c>
      <c r="D372" s="2979">
        <v>0.15</v>
      </c>
      <c r="E372" s="2979">
        <v>0.15</v>
      </c>
      <c r="F372" s="2979">
        <v>0.14299999999999999</v>
      </c>
      <c r="G372" s="2980">
        <v>0.15</v>
      </c>
    </row>
    <row r="373" spans="1:7">
      <c r="A373" s="2989" t="s">
        <v>2841</v>
      </c>
      <c r="B373" s="2978" t="s">
        <v>258</v>
      </c>
      <c r="C373" s="2979">
        <v>0.15</v>
      </c>
      <c r="D373" s="2979">
        <v>0.15</v>
      </c>
      <c r="E373" s="2979">
        <v>0.15</v>
      </c>
      <c r="F373" s="2979">
        <v>0.14599999999999999</v>
      </c>
      <c r="G373" s="2980">
        <v>0.15</v>
      </c>
    </row>
    <row r="374" spans="1:7">
      <c r="A374" s="2989" t="s">
        <v>2841</v>
      </c>
      <c r="B374" s="2978" t="s">
        <v>266</v>
      </c>
      <c r="C374" s="2979">
        <v>0.15</v>
      </c>
      <c r="D374" s="2979">
        <v>0.15</v>
      </c>
      <c r="E374" s="2979">
        <v>0.15</v>
      </c>
      <c r="F374" s="2979">
        <v>0.14399999999999999</v>
      </c>
      <c r="G374" s="2980">
        <v>0.15</v>
      </c>
    </row>
    <row r="375" spans="1:7">
      <c r="A375" s="2989" t="s">
        <v>2841</v>
      </c>
      <c r="B375" s="2978" t="s">
        <v>2910</v>
      </c>
      <c r="C375" s="2979">
        <v>0.15</v>
      </c>
      <c r="D375" s="2979">
        <v>0.15</v>
      </c>
      <c r="E375" s="2979">
        <v>0.15</v>
      </c>
      <c r="F375" s="2979">
        <v>0.13</v>
      </c>
      <c r="G375" s="2980">
        <v>0.15</v>
      </c>
    </row>
    <row r="376" spans="1:7">
      <c r="A376" s="2989" t="s">
        <v>2841</v>
      </c>
      <c r="B376" s="2978" t="s">
        <v>277</v>
      </c>
      <c r="C376" s="2979">
        <v>0.15</v>
      </c>
      <c r="D376" s="2979">
        <v>0.15</v>
      </c>
      <c r="E376" s="2979">
        <v>0.15</v>
      </c>
      <c r="F376" s="2979">
        <v>0.14199999999999999</v>
      </c>
      <c r="G376" s="2980">
        <v>0.15</v>
      </c>
    </row>
    <row r="377" spans="1:7" ht="14.25" thickBot="1">
      <c r="A377" s="2992" t="s">
        <v>2841</v>
      </c>
      <c r="B377" s="2982" t="s">
        <v>2916</v>
      </c>
      <c r="C377" s="2983">
        <v>0.15</v>
      </c>
      <c r="D377" s="2983">
        <v>0.15</v>
      </c>
      <c r="E377" s="2983">
        <v>0.15</v>
      </c>
      <c r="F377" s="2983">
        <v>0.14000000000000001</v>
      </c>
      <c r="G377" s="2985">
        <v>0.15</v>
      </c>
    </row>
    <row r="378" spans="1:7">
      <c r="A378" s="2988" t="s">
        <v>2842</v>
      </c>
      <c r="B378" s="2974" t="s">
        <v>2856</v>
      </c>
      <c r="C378" s="2975">
        <v>0.15</v>
      </c>
      <c r="D378" s="2975">
        <v>0.15</v>
      </c>
      <c r="E378" s="2975">
        <v>0.15</v>
      </c>
      <c r="F378" s="2975">
        <v>0.107</v>
      </c>
      <c r="G378" s="2976">
        <v>0.15</v>
      </c>
    </row>
    <row r="379" spans="1:7">
      <c r="A379" s="2989" t="s">
        <v>2842</v>
      </c>
      <c r="B379" s="2978" t="s">
        <v>2862</v>
      </c>
      <c r="C379" s="2979">
        <v>0.15</v>
      </c>
      <c r="D379" s="2979">
        <v>0.15</v>
      </c>
      <c r="E379" s="2979">
        <v>0.15</v>
      </c>
      <c r="F379" s="2979">
        <v>0.115</v>
      </c>
      <c r="G379" s="2980">
        <v>0.14899999999999999</v>
      </c>
    </row>
    <row r="380" spans="1:7">
      <c r="A380" s="2989" t="s">
        <v>2842</v>
      </c>
      <c r="B380" s="2978" t="s">
        <v>2868</v>
      </c>
      <c r="C380" s="2979">
        <v>0.15</v>
      </c>
      <c r="D380" s="2979">
        <v>0.15</v>
      </c>
      <c r="E380" s="2979">
        <v>0.15</v>
      </c>
      <c r="F380" s="2979">
        <v>0.1</v>
      </c>
      <c r="G380" s="2980">
        <v>0.14799999999999999</v>
      </c>
    </row>
    <row r="381" spans="1:7">
      <c r="A381" s="2989" t="s">
        <v>2842</v>
      </c>
      <c r="B381" s="2978" t="s">
        <v>2871</v>
      </c>
      <c r="C381" s="2979">
        <v>0.15</v>
      </c>
      <c r="D381" s="2979">
        <v>0.15</v>
      </c>
      <c r="E381" s="2979">
        <v>0.15</v>
      </c>
      <c r="F381" s="2979">
        <v>0.126</v>
      </c>
      <c r="G381" s="2980">
        <v>0.15</v>
      </c>
    </row>
    <row r="382" spans="1:7">
      <c r="A382" s="2989" t="s">
        <v>2842</v>
      </c>
      <c r="B382" s="2978" t="s">
        <v>2875</v>
      </c>
      <c r="C382" s="2979">
        <v>0.15</v>
      </c>
      <c r="D382" s="2979">
        <v>0.15</v>
      </c>
      <c r="E382" s="2979">
        <v>0.15</v>
      </c>
      <c r="F382" s="2979">
        <v>0.15</v>
      </c>
      <c r="G382" s="2980">
        <v>0.15</v>
      </c>
    </row>
    <row r="383" spans="1:7">
      <c r="A383" s="2989" t="s">
        <v>2842</v>
      </c>
      <c r="B383" s="2978" t="s">
        <v>2880</v>
      </c>
      <c r="C383" s="2979">
        <v>0.15</v>
      </c>
      <c r="D383" s="2979">
        <v>0.15</v>
      </c>
      <c r="E383" s="2979">
        <v>0.15</v>
      </c>
      <c r="F383" s="2979">
        <v>0.14699999999999999</v>
      </c>
      <c r="G383" s="2980">
        <v>0.15</v>
      </c>
    </row>
    <row r="384" spans="1:7" ht="14.25" thickBot="1">
      <c r="A384" s="2999" t="s">
        <v>2842</v>
      </c>
      <c r="B384" s="3000" t="s">
        <v>2884</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5" defaultRowHeight="13.5"/>
  <cols>
    <col min="1" max="16384" width="13.25" style="2814"/>
  </cols>
  <sheetData>
    <row r="1" spans="1:6">
      <c r="A1" s="3479" t="s">
        <v>3223</v>
      </c>
      <c r="B1" s="3479"/>
      <c r="C1" s="3479"/>
      <c r="D1" s="3479"/>
      <c r="E1" s="3479"/>
      <c r="F1" s="3480"/>
    </row>
    <row r="2" spans="1:6">
      <c r="A2" s="3003" t="s">
        <v>3224</v>
      </c>
    </row>
    <row r="3" spans="1:6">
      <c r="A3" s="3003" t="s">
        <v>3225</v>
      </c>
      <c r="F3" s="3004" t="s">
        <v>3226</v>
      </c>
    </row>
    <row r="4" spans="1:6">
      <c r="A4" s="3005" t="s">
        <v>672</v>
      </c>
      <c r="B4" s="3005" t="s">
        <v>673</v>
      </c>
      <c r="C4" s="3005" t="s">
        <v>21</v>
      </c>
      <c r="D4" s="3005" t="s">
        <v>674</v>
      </c>
      <c r="E4" s="3005" t="s">
        <v>3</v>
      </c>
      <c r="F4" s="3005" t="s">
        <v>3227</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5718-192A-41DF-AB31-7EB566B0EBEC}">
  <dimension ref="A1"/>
  <sheetViews>
    <sheetView zoomScale="85" zoomScaleNormal="85" workbookViewId="0">
      <selection activeCell="Q27" sqref="Q27"/>
    </sheetView>
  </sheetViews>
  <sheetFormatPr defaultRowHeight="13.5"/>
  <sheetData/>
  <phoneticPr fontId="134"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48"/>
  <sheetViews>
    <sheetView zoomScale="90" zoomScaleNormal="90" workbookViewId="0">
      <selection activeCell="T33" sqref="T33"/>
    </sheetView>
  </sheetViews>
  <sheetFormatPr defaultRowHeight="13.5"/>
  <cols>
    <col min="1" max="1" width="13.875" customWidth="1"/>
    <col min="11" max="17" width="0" hidden="1" customWidth="1"/>
    <col min="25" max="30" width="0" hidden="1" customWidth="1"/>
  </cols>
  <sheetData>
    <row r="1" spans="1:30">
      <c r="A1" s="2938">
        <f>基准地价修正!G23</f>
        <v>45632</v>
      </c>
      <c r="B1" s="2930" t="s">
        <v>3373</v>
      </c>
      <c r="C1" s="2931"/>
      <c r="D1" s="2931"/>
      <c r="E1" s="2931"/>
      <c r="F1" s="2931"/>
      <c r="G1" s="2931"/>
      <c r="H1" s="2931"/>
      <c r="I1" s="2931"/>
      <c r="J1" s="2897"/>
      <c r="K1" s="2931" t="s">
        <v>454</v>
      </c>
      <c r="L1" s="2931"/>
      <c r="M1" s="2931"/>
      <c r="N1" s="2931"/>
      <c r="O1" s="2931"/>
      <c r="P1" s="2931"/>
      <c r="Q1" s="2897"/>
      <c r="R1" s="3481" t="s">
        <v>456</v>
      </c>
      <c r="S1" s="3482"/>
      <c r="T1" s="3482"/>
      <c r="U1" s="3482"/>
      <c r="V1" s="3482"/>
      <c r="W1" s="3482"/>
      <c r="X1" s="2897"/>
      <c r="Y1" s="3481" t="s">
        <v>457</v>
      </c>
      <c r="Z1" s="3482"/>
      <c r="AA1" s="3482"/>
      <c r="AB1" s="3482"/>
      <c r="AC1" s="3482"/>
      <c r="AD1" s="3482"/>
    </row>
    <row r="2" spans="1:30" s="2010" customFormat="1" ht="14.25" thickBot="1">
      <c r="B2" s="2882"/>
      <c r="C2" s="2883"/>
      <c r="D2" s="2011" t="s">
        <v>2801</v>
      </c>
      <c r="E2" s="2012" t="s">
        <v>2802</v>
      </c>
      <c r="F2" s="2012" t="s">
        <v>2803</v>
      </c>
      <c r="G2" s="2012" t="s">
        <v>2804</v>
      </c>
      <c r="H2" s="2012" t="s">
        <v>2805</v>
      </c>
      <c r="I2" s="2012" t="s">
        <v>2622</v>
      </c>
      <c r="J2" s="2884"/>
      <c r="K2" s="2011" t="s">
        <v>2801</v>
      </c>
      <c r="L2" s="2012" t="s">
        <v>2802</v>
      </c>
      <c r="M2" s="2012" t="s">
        <v>2803</v>
      </c>
      <c r="N2" s="2012" t="s">
        <v>2804</v>
      </c>
      <c r="O2" s="2012" t="s">
        <v>2806</v>
      </c>
      <c r="P2" s="2012" t="s">
        <v>2622</v>
      </c>
      <c r="Q2" s="2884"/>
      <c r="R2" s="2011" t="s">
        <v>2801</v>
      </c>
      <c r="S2" s="2012" t="s">
        <v>2802</v>
      </c>
      <c r="T2" s="2012" t="s">
        <v>2803</v>
      </c>
      <c r="U2" s="2012" t="s">
        <v>2807</v>
      </c>
      <c r="V2" s="2012" t="s">
        <v>2808</v>
      </c>
      <c r="W2" s="2012" t="s">
        <v>2622</v>
      </c>
      <c r="X2" s="2884"/>
      <c r="Y2" s="2011" t="s">
        <v>2801</v>
      </c>
      <c r="Z2" s="2012" t="s">
        <v>2802</v>
      </c>
      <c r="AA2" s="2012" t="s">
        <v>2803</v>
      </c>
      <c r="AB2" s="2012" t="s">
        <v>2809</v>
      </c>
      <c r="AC2" s="2012" t="s">
        <v>2808</v>
      </c>
      <c r="AD2" s="2012" t="s">
        <v>2622</v>
      </c>
    </row>
    <row r="3" spans="1:30" s="2887" customFormat="1" ht="12.75">
      <c r="A3" s="2885" t="s">
        <v>2810</v>
      </c>
      <c r="B3" s="2886"/>
      <c r="D3" s="2887">
        <f>ROUND(AVERAGEIF(D4:D21,"&lt;&gt;0"),2)</f>
        <v>0.47</v>
      </c>
      <c r="E3" s="2887">
        <f t="shared" ref="E3:H3" si="0">ROUND(AVERAGEIF(E4:E21,"&lt;&gt;0"),2)</f>
        <v>0.3</v>
      </c>
      <c r="F3" s="2887">
        <f t="shared" si="0"/>
        <v>0.04</v>
      </c>
      <c r="G3" s="2887">
        <f t="shared" si="0"/>
        <v>0.51</v>
      </c>
      <c r="H3" s="2887">
        <f t="shared" si="0"/>
        <v>0.55000000000000004</v>
      </c>
      <c r="I3" s="2887">
        <f>F3</f>
        <v>0.04</v>
      </c>
      <c r="J3" s="2888"/>
      <c r="K3" s="2889">
        <f>ROUND(AVERAGEIF(K4:K21,"&lt;&gt;0"),4)</f>
        <v>4.7000000000000002E-3</v>
      </c>
      <c r="L3" s="2890">
        <f t="shared" ref="L3:O3" si="1">ROUND(AVERAGEIF(L4:L21,"&lt;&gt;0"),4)</f>
        <v>3.0000000000000001E-3</v>
      </c>
      <c r="M3" s="2890">
        <f t="shared" si="1"/>
        <v>4.0000000000000002E-4</v>
      </c>
      <c r="N3" s="2890">
        <f t="shared" si="1"/>
        <v>5.1000000000000004E-3</v>
      </c>
      <c r="O3" s="2890">
        <f t="shared" si="1"/>
        <v>5.4999999999999997E-3</v>
      </c>
      <c r="P3" s="2890">
        <f>M3</f>
        <v>4.0000000000000002E-4</v>
      </c>
      <c r="Q3" s="2888"/>
      <c r="R3" s="2891">
        <f>ROUND(SUMPRODUCT(PRODUCT(1+K4:K21)),4)</f>
        <v>1.0723</v>
      </c>
      <c r="S3" s="2892">
        <f t="shared" ref="S3:V3" si="2">ROUND(SUMPRODUCT(PRODUCT(1+L4:L21)),4)</f>
        <v>1.0465</v>
      </c>
      <c r="T3" s="2892">
        <f t="shared" si="2"/>
        <v>1.0054000000000001</v>
      </c>
      <c r="U3" s="2892">
        <f t="shared" si="2"/>
        <v>1.0790999999999999</v>
      </c>
      <c r="V3" s="2892">
        <f t="shared" si="2"/>
        <v>1.0857000000000001</v>
      </c>
      <c r="W3" s="2891">
        <f>T3</f>
        <v>1.0054000000000001</v>
      </c>
      <c r="X3" s="2888"/>
      <c r="Y3" s="2893">
        <f>ROUND(AVERAGEIF(Y8:Y21,"&lt;&gt;0"),4)</f>
        <v>8.3999999999999995E-3</v>
      </c>
      <c r="Z3" s="2894">
        <f t="shared" ref="Z3:AC3" si="3">ROUND(AVERAGEIF(Z8:Z21,"&lt;&gt;0"),4)</f>
        <v>3.5000000000000001E-3</v>
      </c>
      <c r="AA3" s="2895">
        <f t="shared" si="3"/>
        <v>8.0000000000000004E-4</v>
      </c>
      <c r="AB3" s="2893">
        <f t="shared" si="3"/>
        <v>9.1000000000000004E-3</v>
      </c>
      <c r="AC3" s="2896">
        <f t="shared" si="3"/>
        <v>6.1000000000000004E-3</v>
      </c>
      <c r="AD3" s="2893">
        <f>AA3</f>
        <v>8.0000000000000004E-4</v>
      </c>
    </row>
    <row r="4" spans="1:30"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30" s="2045" customFormat="1" ht="12.75">
      <c r="A5" s="2040" t="s">
        <v>3369</v>
      </c>
      <c r="B5" s="2031">
        <v>2025</v>
      </c>
      <c r="C5" s="2042">
        <v>1</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M5</f>
        <v>0</v>
      </c>
      <c r="Q5" s="2907"/>
      <c r="R5" s="2027">
        <f>ROUND(IF(项目基本情况!$B$8="出让",SUMPRODUCT(PRODUCT(1+K5:$K$21)),SUMPRODUCT(PRODUCT(1+K5:$K$20))),4)</f>
        <v>1.0620000000000001</v>
      </c>
      <c r="S5" s="2027">
        <f>ROUND(IF(项目基本情况!$B$8="出让",SUMPRODUCT(PRODUCT(1+L5:$L$21)),SUMPRODUCT(PRODUCT(1+L5:$L$20))),4)</f>
        <v>1.0448</v>
      </c>
      <c r="T5" s="2027">
        <f>ROUND(IF(项目基本情况!$B$8="出让",SUMPRODUCT(PRODUCT(1+M5:$M$21)),SUMPRODUCT(PRODUCT(1+M5:$M$20))),4)</f>
        <v>1.0079</v>
      </c>
      <c r="U5" s="2027">
        <f>ROUND(IF(项目基本情况!$B$8="出让",SUMPRODUCT(PRODUCT(1+N5:$N$21)),SUMPRODUCT(PRODUCT(1+N5:$N$20))),4)</f>
        <v>1.0672999999999999</v>
      </c>
      <c r="V5" s="2027">
        <f>ROUND(IF(项目基本情况!$B$8="出让",SUMPRODUCT(PRODUCT(1+O5:$O$21)),SUMPRODUCT(PRODUCT(1+O5:$O$20))),4)</f>
        <v>1.0818000000000001</v>
      </c>
      <c r="W5" s="2027">
        <f>T5</f>
        <v>1.0079</v>
      </c>
      <c r="X5" s="2907"/>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7" customFormat="1" ht="12.75">
      <c r="A6" s="2908" t="s">
        <v>3378</v>
      </c>
      <c r="B6" s="2909">
        <v>2024</v>
      </c>
      <c r="C6" s="2910">
        <v>4</v>
      </c>
      <c r="D6" s="2911">
        <v>0</v>
      </c>
      <c r="E6" s="2911">
        <v>0</v>
      </c>
      <c r="F6" s="2911">
        <v>0</v>
      </c>
      <c r="G6" s="2911">
        <v>0</v>
      </c>
      <c r="H6" s="2912">
        <v>0</v>
      </c>
      <c r="I6" s="2913">
        <f t="shared" ref="I6" si="15">F6</f>
        <v>0</v>
      </c>
      <c r="J6" s="2914"/>
      <c r="K6" s="2915">
        <f t="shared" ref="K6" si="16">D6/100</f>
        <v>0</v>
      </c>
      <c r="L6" s="2916">
        <f t="shared" ref="L6" si="17">E6/100</f>
        <v>0</v>
      </c>
      <c r="M6" s="2916">
        <f t="shared" ref="M6" si="18">F6/100</f>
        <v>0</v>
      </c>
      <c r="N6" s="2916">
        <f t="shared" ref="N6" si="19">G6/100</f>
        <v>0</v>
      </c>
      <c r="O6" s="2916">
        <f t="shared" ref="O6" si="20">H6/100</f>
        <v>0</v>
      </c>
      <c r="P6" s="2916">
        <f>M6</f>
        <v>0</v>
      </c>
      <c r="Q6" s="2914"/>
      <c r="R6" s="2914">
        <f>ROUND(IF(项目基本情况!$B$8="出让",SUMPRODUCT(PRODUCT(1+K6:$K$21)),SUMPRODUCT(PRODUCT(1+K6:$K$20))),4)</f>
        <v>1.0620000000000001</v>
      </c>
      <c r="S6" s="2914">
        <f>ROUND(IF(项目基本情况!$B$8="出让",SUMPRODUCT(PRODUCT(1+L6:$L$21)),SUMPRODUCT(PRODUCT(1+L6:$L$20))),4)</f>
        <v>1.0448</v>
      </c>
      <c r="T6" s="2914">
        <f>ROUND(IF(项目基本情况!$B$8="出让",SUMPRODUCT(PRODUCT(1+M6:$M$21)),SUMPRODUCT(PRODUCT(1+M6:$M$20))),4)</f>
        <v>1.0079</v>
      </c>
      <c r="U6" s="2914">
        <f>ROUND(IF(项目基本情况!$B$8="出让",SUMPRODUCT(PRODUCT(1+N6:$N$21)),SUMPRODUCT(PRODUCT(1+N6:$N$20))),4)</f>
        <v>1.0672999999999999</v>
      </c>
      <c r="V6" s="2914">
        <f>ROUND(IF(项目基本情况!$B$8="出让",SUMPRODUCT(PRODUCT(1+O6:$O$21)),SUMPRODUCT(PRODUCT(1+O6:$O$20))),4)</f>
        <v>1.0818000000000001</v>
      </c>
      <c r="W6" s="2914">
        <f>T6</f>
        <v>1.0079</v>
      </c>
      <c r="X6" s="2914"/>
      <c r="Y6" s="2916">
        <f>IF(D6=0,0,ROUND(AVERAGE(D6:D19)/100,4))</f>
        <v>0</v>
      </c>
      <c r="Z6" s="2916">
        <f t="shared" ref="Z6" si="21">IF(E6=0,0,ROUND(AVERAGE(E6:E19)/100,4))</f>
        <v>0</v>
      </c>
      <c r="AA6" s="2916">
        <f t="shared" ref="AA6" si="22">IF(F6=0,0,ROUND(AVERAGE(F6:F19)/100,4))</f>
        <v>0</v>
      </c>
      <c r="AB6" s="2916">
        <f t="shared" ref="AB6" si="23">IF(G6=0,0,ROUND(AVERAGE(G6:G19)/100,4))</f>
        <v>0</v>
      </c>
      <c r="AC6" s="2916">
        <f t="shared" ref="AC6" si="24">IF(H6=0,0,ROUND(AVERAGE(H6:H19)/100,4))</f>
        <v>0</v>
      </c>
      <c r="AD6" s="2916">
        <f t="shared" ref="AD6" si="25">AA6</f>
        <v>0</v>
      </c>
    </row>
    <row r="7" spans="1:30" s="2045" customFormat="1" ht="12.75">
      <c r="A7" s="2040" t="s">
        <v>3377</v>
      </c>
      <c r="B7" s="2031">
        <v>2024</v>
      </c>
      <c r="C7" s="2042">
        <v>3</v>
      </c>
      <c r="D7" s="2007">
        <v>-1.19</v>
      </c>
      <c r="E7" s="2007">
        <v>-0.47</v>
      </c>
      <c r="F7" s="2007">
        <v>-0.28999999999999998</v>
      </c>
      <c r="G7" s="2007">
        <v>-0.74</v>
      </c>
      <c r="H7" s="2007">
        <v>-0.21</v>
      </c>
      <c r="I7" s="2008">
        <f t="shared" ref="I7" si="26">F7</f>
        <v>-0.28999999999999998</v>
      </c>
      <c r="J7" s="2907"/>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7"/>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7"/>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2.75">
      <c r="A8" s="2906" t="s">
        <v>3370</v>
      </c>
      <c r="B8" s="2031">
        <v>2024</v>
      </c>
      <c r="C8" s="2042">
        <v>2</v>
      </c>
      <c r="D8" s="2007">
        <v>-0.59</v>
      </c>
      <c r="E8" s="2007">
        <v>-0.21</v>
      </c>
      <c r="F8" s="2007">
        <v>-1.38</v>
      </c>
      <c r="G8" s="2007">
        <v>-1.24</v>
      </c>
      <c r="H8" s="2918">
        <v>0.34</v>
      </c>
      <c r="I8" s="2008">
        <f t="shared" ref="I8:I21" si="37">F8</f>
        <v>-1.38</v>
      </c>
      <c r="J8" s="2907"/>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7"/>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7"/>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2.75">
      <c r="A9" s="2906" t="s">
        <v>3366</v>
      </c>
      <c r="B9" s="2031">
        <v>2024</v>
      </c>
      <c r="C9" s="2042">
        <v>1</v>
      </c>
      <c r="D9" s="2007">
        <v>0.08</v>
      </c>
      <c r="E9" s="2007">
        <v>0.46</v>
      </c>
      <c r="F9" s="2007">
        <v>-0.16</v>
      </c>
      <c r="G9" s="2007">
        <v>0.26</v>
      </c>
      <c r="H9" s="2918">
        <v>0.59</v>
      </c>
      <c r="I9" s="2008">
        <v>0</v>
      </c>
      <c r="J9" s="2907"/>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7"/>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7"/>
      <c r="Y9" s="2028"/>
      <c r="Z9" s="2028"/>
      <c r="AA9" s="2028"/>
      <c r="AB9" s="2028"/>
      <c r="AC9" s="2028"/>
      <c r="AD9" s="2028"/>
    </row>
    <row r="10" spans="1:30" s="2045" customFormat="1" ht="12.75">
      <c r="A10" s="2906" t="s">
        <v>3362</v>
      </c>
      <c r="B10" s="2031">
        <v>2023</v>
      </c>
      <c r="C10" s="2042">
        <v>4</v>
      </c>
      <c r="D10" s="2007">
        <v>0.19</v>
      </c>
      <c r="E10" s="2007">
        <v>0.24</v>
      </c>
      <c r="F10" s="2007">
        <v>-0.16</v>
      </c>
      <c r="G10" s="2007">
        <v>0.17</v>
      </c>
      <c r="H10" s="2918">
        <v>0.61</v>
      </c>
      <c r="I10" s="2008">
        <f>F10</f>
        <v>-0.16</v>
      </c>
      <c r="J10" s="2907"/>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7"/>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7"/>
      <c r="Y10" s="2028"/>
      <c r="Z10" s="2028"/>
      <c r="AA10" s="2028"/>
      <c r="AB10" s="2028"/>
      <c r="AC10" s="2028"/>
      <c r="AD10" s="2028"/>
    </row>
    <row r="11" spans="1:30" s="2045" customFormat="1" ht="12.75">
      <c r="A11" s="2906" t="s">
        <v>3361</v>
      </c>
      <c r="B11" s="2031">
        <v>2023</v>
      </c>
      <c r="C11" s="2042">
        <v>3</v>
      </c>
      <c r="D11" s="2007">
        <v>0.25</v>
      </c>
      <c r="E11" s="2007">
        <v>0.5</v>
      </c>
      <c r="F11" s="2007">
        <v>0.31</v>
      </c>
      <c r="G11" s="2007">
        <v>0.21</v>
      </c>
      <c r="H11" s="2918">
        <v>0.43</v>
      </c>
      <c r="I11" s="2008">
        <f t="shared" si="37"/>
        <v>0.31</v>
      </c>
      <c r="J11" s="2907"/>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7"/>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7"/>
      <c r="Y11" s="2028"/>
      <c r="Z11" s="2028"/>
      <c r="AA11" s="2028"/>
      <c r="AB11" s="2028"/>
      <c r="AC11" s="2028"/>
      <c r="AD11" s="2028"/>
    </row>
    <row r="12" spans="1:30" s="2045" customFormat="1" ht="12.75">
      <c r="A12" s="2906" t="s">
        <v>3359</v>
      </c>
      <c r="B12" s="2031">
        <v>2023</v>
      </c>
      <c r="C12" s="2042">
        <v>2</v>
      </c>
      <c r="D12" s="2007">
        <v>0.91</v>
      </c>
      <c r="E12" s="2007">
        <v>0.66</v>
      </c>
      <c r="F12" s="2007">
        <v>0.47</v>
      </c>
      <c r="G12" s="2007">
        <v>0.96</v>
      </c>
      <c r="H12" s="2918">
        <v>0.71</v>
      </c>
      <c r="I12" s="2008">
        <f t="shared" si="37"/>
        <v>0.47</v>
      </c>
      <c r="J12" s="2907"/>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7"/>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7"/>
      <c r="Y12" s="2028"/>
      <c r="Z12" s="2028"/>
      <c r="AA12" s="2028"/>
      <c r="AB12" s="2028"/>
      <c r="AC12" s="2028"/>
      <c r="AD12" s="2028"/>
    </row>
    <row r="13" spans="1:30" s="2045" customFormat="1" ht="12.75">
      <c r="A13" s="2906" t="s">
        <v>3358</v>
      </c>
      <c r="B13" s="2031">
        <v>2023</v>
      </c>
      <c r="C13" s="2042">
        <v>1</v>
      </c>
      <c r="D13" s="2007">
        <v>0.89</v>
      </c>
      <c r="E13" s="2007">
        <v>0.74</v>
      </c>
      <c r="F13" s="2007">
        <v>0.56999999999999995</v>
      </c>
      <c r="G13" s="2007">
        <v>0.92</v>
      </c>
      <c r="H13" s="2918">
        <v>0.5</v>
      </c>
      <c r="I13" s="2008">
        <f t="shared" si="37"/>
        <v>0.56999999999999995</v>
      </c>
      <c r="J13" s="2907"/>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7"/>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7"/>
      <c r="Y13" s="2028"/>
      <c r="Z13" s="2028"/>
      <c r="AA13" s="2028"/>
      <c r="AB13" s="2028"/>
      <c r="AC13" s="2028"/>
      <c r="AD13" s="2028"/>
    </row>
    <row r="14" spans="1:30" s="2045" customFormat="1" ht="12.75">
      <c r="A14" s="2906" t="s">
        <v>3357</v>
      </c>
      <c r="B14" s="2031">
        <v>2022</v>
      </c>
      <c r="C14" s="2042">
        <v>4</v>
      </c>
      <c r="D14" s="2007">
        <v>0.62</v>
      </c>
      <c r="E14" s="2007">
        <v>0.2</v>
      </c>
      <c r="F14" s="2007">
        <v>0.11</v>
      </c>
      <c r="G14" s="2007">
        <v>0.69</v>
      </c>
      <c r="H14" s="2918">
        <v>0.53</v>
      </c>
      <c r="I14" s="2008">
        <f t="shared" si="37"/>
        <v>0.11</v>
      </c>
      <c r="J14" s="2907"/>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7"/>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7"/>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2.75">
      <c r="A15" s="2906" t="s">
        <v>3355</v>
      </c>
      <c r="B15" s="2031">
        <v>2022</v>
      </c>
      <c r="C15" s="2042">
        <v>3</v>
      </c>
      <c r="D15" s="2007">
        <v>0.66</v>
      </c>
      <c r="E15" s="2007">
        <v>0.32</v>
      </c>
      <c r="F15" s="2007">
        <v>0.23</v>
      </c>
      <c r="G15" s="2007">
        <v>0.72</v>
      </c>
      <c r="H15" s="2918">
        <v>0.63</v>
      </c>
      <c r="I15" s="2008">
        <f t="shared" si="37"/>
        <v>0.23</v>
      </c>
      <c r="J15" s="2907"/>
      <c r="K15" s="2043">
        <f t="shared" si="38"/>
        <v>6.6E-3</v>
      </c>
      <c r="L15" s="2028">
        <f t="shared" si="38"/>
        <v>3.2000000000000002E-3</v>
      </c>
      <c r="M15" s="2028">
        <f t="shared" si="38"/>
        <v>2.3E-3</v>
      </c>
      <c r="N15" s="2028">
        <f t="shared" si="38"/>
        <v>7.1999999999999998E-3</v>
      </c>
      <c r="O15" s="2028">
        <f t="shared" si="38"/>
        <v>6.3E-3</v>
      </c>
      <c r="P15" s="2028">
        <f t="shared" si="58"/>
        <v>2.3E-3</v>
      </c>
      <c r="Q15" s="2907"/>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7"/>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2.75">
      <c r="A16" s="2906" t="s">
        <v>3346</v>
      </c>
      <c r="B16" s="2031">
        <v>2022</v>
      </c>
      <c r="C16" s="2042">
        <v>2</v>
      </c>
      <c r="D16" s="2007">
        <v>0.93</v>
      </c>
      <c r="E16" s="2007">
        <v>0.15</v>
      </c>
      <c r="F16" s="2007">
        <v>0.01</v>
      </c>
      <c r="G16" s="2007">
        <v>1.05</v>
      </c>
      <c r="H16" s="2918">
        <v>1.08</v>
      </c>
      <c r="I16" s="2008">
        <f t="shared" si="37"/>
        <v>0.01</v>
      </c>
      <c r="J16" s="2907"/>
      <c r="K16" s="2043">
        <f t="shared" si="38"/>
        <v>9.300000000000001E-3</v>
      </c>
      <c r="L16" s="2028">
        <f t="shared" si="38"/>
        <v>1.5E-3</v>
      </c>
      <c r="M16" s="2028">
        <f t="shared" si="38"/>
        <v>1E-4</v>
      </c>
      <c r="N16" s="2028">
        <f t="shared" si="38"/>
        <v>1.0500000000000001E-2</v>
      </c>
      <c r="O16" s="2028">
        <f t="shared" si="38"/>
        <v>1.0800000000000001E-2</v>
      </c>
      <c r="P16" s="2028">
        <f t="shared" si="58"/>
        <v>1E-4</v>
      </c>
      <c r="Q16" s="2907"/>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7"/>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2.75">
      <c r="A17" s="2906" t="s">
        <v>2811</v>
      </c>
      <c r="B17" s="2031">
        <v>2022</v>
      </c>
      <c r="C17" s="2042">
        <v>1</v>
      </c>
      <c r="D17" s="2007">
        <v>0.89</v>
      </c>
      <c r="E17" s="2007">
        <v>0.44</v>
      </c>
      <c r="F17" s="2007">
        <v>0.37</v>
      </c>
      <c r="G17" s="2007">
        <v>0.96</v>
      </c>
      <c r="H17" s="2918">
        <v>0.64</v>
      </c>
      <c r="I17" s="2008">
        <f t="shared" si="37"/>
        <v>0.37</v>
      </c>
      <c r="J17" s="2907"/>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7"/>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7"/>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2.75">
      <c r="A18" s="2906" t="s">
        <v>2812</v>
      </c>
      <c r="B18" s="2031">
        <v>2021</v>
      </c>
      <c r="C18" s="2042">
        <v>4</v>
      </c>
      <c r="D18" s="2007">
        <v>1.03</v>
      </c>
      <c r="E18" s="2007">
        <v>0.24</v>
      </c>
      <c r="F18" s="2007">
        <v>7.0000000000000007E-2</v>
      </c>
      <c r="G18" s="2007">
        <v>1.17</v>
      </c>
      <c r="H18" s="2918">
        <v>0.55000000000000004</v>
      </c>
      <c r="I18" s="2008">
        <f t="shared" si="37"/>
        <v>7.0000000000000007E-2</v>
      </c>
      <c r="J18" s="2907"/>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7"/>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7"/>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2.75">
      <c r="A19" s="2906" t="s">
        <v>2813</v>
      </c>
      <c r="B19" s="2031">
        <v>2021</v>
      </c>
      <c r="C19" s="2042">
        <v>3</v>
      </c>
      <c r="D19" s="2007">
        <v>0.47</v>
      </c>
      <c r="E19" s="2007">
        <v>0.41</v>
      </c>
      <c r="F19" s="2007">
        <v>0.24</v>
      </c>
      <c r="G19" s="2007">
        <v>0.48</v>
      </c>
      <c r="H19" s="2918">
        <v>0.48</v>
      </c>
      <c r="I19" s="2008">
        <f t="shared" si="37"/>
        <v>0.24</v>
      </c>
      <c r="J19" s="2907"/>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7"/>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7"/>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2.75">
      <c r="A20" s="2906" t="s">
        <v>2814</v>
      </c>
      <c r="B20" s="2031">
        <v>2021</v>
      </c>
      <c r="C20" s="2042">
        <v>2</v>
      </c>
      <c r="D20" s="2007">
        <v>0.92</v>
      </c>
      <c r="E20" s="2007">
        <v>0.72</v>
      </c>
      <c r="F20" s="2007">
        <v>0.41</v>
      </c>
      <c r="G20" s="2007">
        <v>0.95</v>
      </c>
      <c r="H20" s="2918">
        <v>1.01</v>
      </c>
      <c r="I20" s="2008">
        <f t="shared" si="37"/>
        <v>0.41</v>
      </c>
      <c r="J20" s="2907"/>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7"/>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7"/>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9" customFormat="1" thickBot="1">
      <c r="A21" s="2919" t="s">
        <v>2815</v>
      </c>
      <c r="B21" s="2920">
        <v>2021</v>
      </c>
      <c r="C21" s="2921">
        <v>1</v>
      </c>
      <c r="D21" s="2922">
        <v>0.97</v>
      </c>
      <c r="E21" s="2922">
        <v>0.16</v>
      </c>
      <c r="F21" s="2922">
        <v>-0.25</v>
      </c>
      <c r="G21" s="2922">
        <v>1.1100000000000001</v>
      </c>
      <c r="H21" s="2923">
        <v>0.36</v>
      </c>
      <c r="I21" s="2924">
        <f t="shared" si="37"/>
        <v>-0.25</v>
      </c>
      <c r="J21" s="2925"/>
      <c r="K21" s="2926">
        <f t="shared" si="38"/>
        <v>9.7000000000000003E-3</v>
      </c>
      <c r="L21" s="2927">
        <f t="shared" si="38"/>
        <v>1.6000000000000001E-3</v>
      </c>
      <c r="M21" s="2927">
        <f>F21/100</f>
        <v>-2.5000000000000001E-3</v>
      </c>
      <c r="N21" s="2927">
        <f t="shared" si="38"/>
        <v>1.11E-2</v>
      </c>
      <c r="O21" s="2927">
        <f t="shared" si="38"/>
        <v>3.5999999999999999E-3</v>
      </c>
      <c r="P21" s="2927">
        <f t="shared" si="58"/>
        <v>-2.5000000000000001E-3</v>
      </c>
      <c r="Q21" s="2925"/>
      <c r="R21" s="2928">
        <v>1</v>
      </c>
      <c r="S21" s="2928">
        <v>1</v>
      </c>
      <c r="T21" s="2928">
        <v>1</v>
      </c>
      <c r="U21" s="2928">
        <v>1</v>
      </c>
      <c r="V21" s="2928">
        <v>1</v>
      </c>
      <c r="W21" s="2928">
        <f t="shared" ref="W21" si="64">T21</f>
        <v>1</v>
      </c>
      <c r="X21" s="2925"/>
      <c r="Y21" s="2927">
        <f>IF(D21=0,0,ROUND(AVERAGE(D21:D21)/100,4))</f>
        <v>9.7000000000000003E-3</v>
      </c>
      <c r="Z21" s="2927">
        <f>IF(E21=0,0,ROUND(AVERAGE(E21:E21)/100,4))</f>
        <v>1.6000000000000001E-3</v>
      </c>
      <c r="AA21" s="2927">
        <f>IF(F21=0,0,ROUND(AVERAGE(F21:F21)/100,4))</f>
        <v>-2.5000000000000001E-3</v>
      </c>
      <c r="AB21" s="2927">
        <f>IF(G21=0,0,ROUND(AVERAGE(G21:G21)/100,4))</f>
        <v>1.11E-2</v>
      </c>
      <c r="AC21" s="2927">
        <f>IF(H21=0,0,ROUND(AVERAGE(H21:H21)/100,4))</f>
        <v>3.5999999999999999E-3</v>
      </c>
      <c r="AD21" s="2927">
        <f>AA21</f>
        <v>-2.5000000000000001E-3</v>
      </c>
    </row>
    <row r="22" spans="1:30" ht="14.25" thickTop="1"/>
    <row r="23" spans="1:30">
      <c r="A23" s="3144" t="s">
        <v>3376</v>
      </c>
    </row>
    <row r="24" spans="1:30">
      <c r="I24" s="1405" t="s">
        <v>2816</v>
      </c>
    </row>
    <row r="26" spans="1:30" s="2009" customFormat="1" ht="12.75">
      <c r="B26" s="2930" t="s">
        <v>3374</v>
      </c>
      <c r="C26" s="2931"/>
      <c r="D26" s="2931"/>
      <c r="E26" s="2931"/>
      <c r="F26" s="2931"/>
      <c r="G26" s="2931"/>
      <c r="H26" s="2931"/>
      <c r="I26" s="2931"/>
      <c r="J26" s="2897"/>
      <c r="K26" s="2931" t="s">
        <v>2817</v>
      </c>
      <c r="L26" s="2931"/>
      <c r="M26" s="2931"/>
      <c r="N26" s="2931"/>
      <c r="O26" s="2931"/>
      <c r="P26" s="2931"/>
      <c r="Q26" s="2897"/>
      <c r="R26" s="3481" t="s">
        <v>2818</v>
      </c>
      <c r="S26" s="3482"/>
      <c r="T26" s="3482"/>
      <c r="U26" s="3482"/>
      <c r="V26" s="3482"/>
      <c r="W26" s="3482"/>
      <c r="X26" s="2897"/>
      <c r="Y26" s="3481" t="s">
        <v>2819</v>
      </c>
      <c r="Z26" s="3482"/>
      <c r="AA26" s="3482"/>
      <c r="AB26" s="3482"/>
      <c r="AC26" s="3482"/>
      <c r="AD26" s="3482"/>
    </row>
    <row r="27" spans="1:30" s="2010" customFormat="1" ht="14.25" thickBot="1">
      <c r="B27" s="2882"/>
      <c r="C27" s="2883"/>
      <c r="D27" s="2011" t="s">
        <v>2820</v>
      </c>
      <c r="E27" s="2012" t="s">
        <v>2821</v>
      </c>
      <c r="F27" s="2012" t="s">
        <v>2822</v>
      </c>
      <c r="G27" s="2012" t="s">
        <v>2823</v>
      </c>
      <c r="H27" s="2012"/>
      <c r="I27" s="2012" t="s">
        <v>2824</v>
      </c>
      <c r="J27" s="2884"/>
      <c r="K27" s="2011" t="s">
        <v>2820</v>
      </c>
      <c r="L27" s="2012" t="s">
        <v>2821</v>
      </c>
      <c r="M27" s="2012" t="s">
        <v>2822</v>
      </c>
      <c r="N27" s="2012" t="s">
        <v>2823</v>
      </c>
      <c r="O27" s="2012"/>
      <c r="P27" s="2012" t="s">
        <v>2824</v>
      </c>
      <c r="Q27" s="2884"/>
      <c r="R27" s="2011" t="s">
        <v>2820</v>
      </c>
      <c r="S27" s="2012" t="s">
        <v>2821</v>
      </c>
      <c r="T27" s="2012" t="s">
        <v>2822</v>
      </c>
      <c r="U27" s="2012" t="s">
        <v>2823</v>
      </c>
      <c r="V27" s="2012"/>
      <c r="W27" s="2012" t="s">
        <v>2824</v>
      </c>
      <c r="X27" s="2884"/>
      <c r="Y27" s="2011" t="s">
        <v>2820</v>
      </c>
      <c r="Z27" s="2012" t="s">
        <v>2821</v>
      </c>
      <c r="AA27" s="2012" t="s">
        <v>2822</v>
      </c>
      <c r="AB27" s="2012" t="s">
        <v>2823</v>
      </c>
      <c r="AC27" s="2012"/>
      <c r="AD27" s="2012" t="s">
        <v>2824</v>
      </c>
    </row>
    <row r="28" spans="1:30" s="2887" customFormat="1" ht="12.75">
      <c r="A28" s="2885" t="s">
        <v>2825</v>
      </c>
      <c r="B28" s="2886"/>
      <c r="E28" s="2887">
        <f t="shared" ref="E28:G28" si="65">ROUND(AVERAGEIF(E29:E46,"&lt;&gt;0"),2)</f>
        <v>0.26</v>
      </c>
      <c r="F28" s="2887">
        <f t="shared" si="65"/>
        <v>0.19</v>
      </c>
      <c r="G28" s="2887">
        <f t="shared" si="65"/>
        <v>0.38</v>
      </c>
      <c r="I28" s="2887">
        <f>F28</f>
        <v>0.19</v>
      </c>
      <c r="J28" s="2888"/>
      <c r="K28" s="2889"/>
      <c r="L28" s="2890">
        <f t="shared" ref="L28:N28" si="66">ROUND(AVERAGEIF(L29:L46,"&lt;&gt;0"),4)</f>
        <v>2.5999999999999999E-3</v>
      </c>
      <c r="M28" s="2890">
        <f t="shared" si="66"/>
        <v>1.9E-3</v>
      </c>
      <c r="N28" s="2890">
        <f t="shared" si="66"/>
        <v>3.8E-3</v>
      </c>
      <c r="O28" s="2890"/>
      <c r="P28" s="2890">
        <f>M28</f>
        <v>1.9E-3</v>
      </c>
      <c r="Q28" s="2888"/>
      <c r="R28" s="2891"/>
      <c r="S28" s="2892">
        <f>ROUND(SUMPRODUCT(PRODUCT(1+L29:L46)),4)</f>
        <v>1.04</v>
      </c>
      <c r="T28" s="2892">
        <f t="shared" ref="T28:U28" si="67">ROUND(SUMPRODUCT(PRODUCT(1+M29:M46)),4)</f>
        <v>1.0293000000000001</v>
      </c>
      <c r="U28" s="2892">
        <f t="shared" si="67"/>
        <v>1.0583</v>
      </c>
      <c r="V28" s="2892"/>
      <c r="W28" s="2891">
        <f>T28</f>
        <v>1.0293000000000001</v>
      </c>
      <c r="X28" s="2888"/>
      <c r="Y28" s="2893"/>
      <c r="Z28" s="2894">
        <f t="shared" ref="Z28:AB28" si="68">ROUND(AVERAGEIF(Z29:Z46,"&lt;&gt;0"),4)</f>
        <v>4.1000000000000003E-3</v>
      </c>
      <c r="AA28" s="2895">
        <f t="shared" si="68"/>
        <v>3.3E-3</v>
      </c>
      <c r="AB28" s="2893">
        <f t="shared" si="68"/>
        <v>8.0999999999999996E-3</v>
      </c>
      <c r="AC28" s="2896"/>
      <c r="AD28" s="2893">
        <f>AA28</f>
        <v>3.3E-3</v>
      </c>
    </row>
    <row r="29" spans="1:30" s="2009" customFormat="1" ht="12.75">
      <c r="B29" s="2025"/>
      <c r="J29" s="2897"/>
      <c r="K29" s="2898"/>
      <c r="L29" s="2899"/>
      <c r="M29" s="2899"/>
      <c r="N29" s="2899"/>
      <c r="O29" s="2899"/>
      <c r="P29" s="2899"/>
      <c r="Q29" s="2897"/>
      <c r="R29" s="2027"/>
      <c r="S29" s="2900"/>
      <c r="T29" s="2901"/>
      <c r="U29" s="2027"/>
      <c r="V29" s="2902"/>
      <c r="W29" s="2027"/>
      <c r="X29" s="2897"/>
      <c r="Y29" s="2028"/>
      <c r="Z29" s="2903"/>
      <c r="AA29" s="2904"/>
      <c r="AB29" s="2028"/>
      <c r="AC29" s="2905"/>
      <c r="AD29" s="2028"/>
    </row>
    <row r="30" spans="1:30" s="2045" customFormat="1" ht="12.75">
      <c r="A30" s="2040" t="s">
        <v>3369</v>
      </c>
      <c r="B30" s="2031">
        <v>2025</v>
      </c>
      <c r="C30" s="2042">
        <v>1</v>
      </c>
      <c r="D30" s="2007"/>
      <c r="E30" s="2007">
        <v>0</v>
      </c>
      <c r="F30" s="2007">
        <v>0</v>
      </c>
      <c r="G30" s="2007">
        <v>0</v>
      </c>
      <c r="H30" s="2007"/>
      <c r="I30" s="2008">
        <f t="shared" ref="I30" si="69">F30</f>
        <v>0</v>
      </c>
      <c r="J30" s="2907"/>
      <c r="K30" s="2043"/>
      <c r="L30" s="2028">
        <f t="shared" ref="L30" si="70">E30/100</f>
        <v>0</v>
      </c>
      <c r="M30" s="2028">
        <f t="shared" ref="M30" si="71">F30/100</f>
        <v>0</v>
      </c>
      <c r="N30" s="2028">
        <f t="shared" ref="N30" si="72">G30/100</f>
        <v>0</v>
      </c>
      <c r="O30" s="2028"/>
      <c r="P30" s="2028">
        <f>M30</f>
        <v>0</v>
      </c>
      <c r="Q30" s="2907"/>
      <c r="R30" s="2027"/>
      <c r="S30" s="2027">
        <f>ROUND(IF(项目基本情况!$B$8="出让",SUMPRODUCT(PRODUCT(1+L30:L$46)),SUMPRODUCT(PRODUCT(1+L30:L$45))),4)</f>
        <v>1.0364</v>
      </c>
      <c r="T30" s="2027">
        <f>ROUND(IF(项目基本情况!$B$8="出让",SUMPRODUCT(PRODUCT(1+M30:M$46)),SUMPRODUCT(PRODUCT(1+M30:M$45))),4)</f>
        <v>1.0244</v>
      </c>
      <c r="U30" s="2027">
        <f>ROUND(IF(项目基本情况!$B$8="出让",SUMPRODUCT(PRODUCT(1+N30:N$46)),SUMPRODUCT(PRODUCT(1+N30:N$45))),4)</f>
        <v>1.048</v>
      </c>
      <c r="V30" s="2027"/>
      <c r="W30" s="2027">
        <f>T30</f>
        <v>1.0244</v>
      </c>
      <c r="X30" s="2907"/>
      <c r="Y30" s="2028"/>
      <c r="Z30" s="2903">
        <f t="shared" ref="Z30" si="73">IF(E30=0,0,ROUND(AVERAGE(E30:E43)/100,4))</f>
        <v>0</v>
      </c>
      <c r="AA30" s="2903">
        <f t="shared" ref="AA30" si="74">IF(F30=0,0,ROUND(AVERAGE(F30:F43)/100,4))</f>
        <v>0</v>
      </c>
      <c r="AB30" s="2903">
        <f t="shared" ref="AB30" si="75">IF(G30=0,0,ROUND(AVERAGE(G30:G43)/100,4))</f>
        <v>0</v>
      </c>
      <c r="AC30" s="2905"/>
      <c r="AD30" s="2028">
        <f>IF(I30=0,0,ROUND(AVERAGE(I30:I43)/100,4))</f>
        <v>0</v>
      </c>
    </row>
    <row r="31" spans="1:30" s="2917" customFormat="1" ht="12.75">
      <c r="A31" s="2908" t="s">
        <v>3371</v>
      </c>
      <c r="B31" s="2909">
        <v>2024</v>
      </c>
      <c r="C31" s="2910">
        <v>4</v>
      </c>
      <c r="D31" s="2911"/>
      <c r="E31" s="2911">
        <v>0</v>
      </c>
      <c r="F31" s="2911">
        <v>0</v>
      </c>
      <c r="G31" s="2911">
        <v>0</v>
      </c>
      <c r="H31" s="2912"/>
      <c r="I31" s="2913">
        <f t="shared" ref="I31" si="76">F31</f>
        <v>0</v>
      </c>
      <c r="J31" s="2914"/>
      <c r="K31" s="2915"/>
      <c r="L31" s="2916">
        <f t="shared" ref="L31" si="77">E31/100</f>
        <v>0</v>
      </c>
      <c r="M31" s="2916">
        <f t="shared" ref="M31" si="78">F31/100</f>
        <v>0</v>
      </c>
      <c r="N31" s="2916">
        <f t="shared" ref="N31" si="79">G31/100</f>
        <v>0</v>
      </c>
      <c r="O31" s="2916"/>
      <c r="P31" s="2916">
        <f>M31</f>
        <v>0</v>
      </c>
      <c r="Q31" s="2914"/>
      <c r="R31" s="2914"/>
      <c r="S31" s="2914">
        <f>ROUND(IF(项目基本情况!$B$8="出让",SUMPRODUCT(PRODUCT(1+L31:L$46)),SUMPRODUCT(PRODUCT(1+L31:L$45))),4)</f>
        <v>1.0364</v>
      </c>
      <c r="T31" s="2914">
        <f>ROUND(IF(项目基本情况!$B$8="出让",SUMPRODUCT(PRODUCT(1+M31:M$46)),SUMPRODUCT(PRODUCT(1+M31:M$45))),4)</f>
        <v>1.0244</v>
      </c>
      <c r="U31" s="2914">
        <f>ROUND(IF(项目基本情况!$B$8="出让",SUMPRODUCT(PRODUCT(1+N31:N$46)),SUMPRODUCT(PRODUCT(1+N31:N$45))),4)</f>
        <v>1.048</v>
      </c>
      <c r="V31" s="2914"/>
      <c r="W31" s="2914">
        <f>T31</f>
        <v>1.0244</v>
      </c>
      <c r="X31" s="2914"/>
      <c r="Y31" s="2916"/>
      <c r="Z31" s="2932">
        <f t="shared" ref="Z31" si="80">IF(E31=0,0,ROUND(AVERAGE(E31:E44)/100,4))</f>
        <v>0</v>
      </c>
      <c r="AA31" s="2933">
        <f t="shared" ref="AA31" si="81">IF(F31=0,0,ROUND(AVERAGE(F31:F44)/100,4))</f>
        <v>0</v>
      </c>
      <c r="AB31" s="2916">
        <f t="shared" ref="AB31" si="82">IF(G31=0,0,ROUND(AVERAGE(G31:G44)/100,4))</f>
        <v>0</v>
      </c>
      <c r="AC31" s="2934"/>
      <c r="AD31" s="2916">
        <f>IF(I31=0,0,ROUND(AVERAGE(I31:I44)/100,4))</f>
        <v>0</v>
      </c>
    </row>
    <row r="32" spans="1:30" s="2045" customFormat="1" ht="12.75">
      <c r="A32" s="2040" t="s">
        <v>3364</v>
      </c>
      <c r="B32" s="2031">
        <v>2024</v>
      </c>
      <c r="C32" s="2042">
        <v>3</v>
      </c>
      <c r="D32" s="2007"/>
      <c r="E32" s="2007">
        <v>-0.66</v>
      </c>
      <c r="F32" s="2007">
        <v>-0.52</v>
      </c>
      <c r="G32" s="2007">
        <v>-2.87</v>
      </c>
      <c r="H32" s="2007"/>
      <c r="I32" s="2008">
        <f t="shared" ref="I32" si="83">F32</f>
        <v>-0.52</v>
      </c>
      <c r="J32" s="2907"/>
      <c r="K32" s="2043"/>
      <c r="L32" s="2028">
        <f t="shared" ref="L32" si="84">E32/100</f>
        <v>-6.6E-3</v>
      </c>
      <c r="M32" s="2028">
        <f t="shared" ref="M32" si="85">F32/100</f>
        <v>-5.1999999999999998E-3</v>
      </c>
      <c r="N32" s="2028">
        <f t="shared" ref="N32" si="86">G32/100</f>
        <v>-2.87E-2</v>
      </c>
      <c r="O32" s="2028"/>
      <c r="P32" s="2028">
        <f>M32</f>
        <v>-5.1999999999999998E-3</v>
      </c>
      <c r="Q32" s="2907"/>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7"/>
      <c r="Y32" s="2028"/>
      <c r="Z32" s="2903">
        <f t="shared" ref="Z32:AB33" si="87">IF(E32=0,0,ROUND(AVERAGE(E32:E45)/100,4))</f>
        <v>2.5999999999999999E-3</v>
      </c>
      <c r="AA32" s="2903">
        <f t="shared" si="87"/>
        <v>1.6999999999999999E-3</v>
      </c>
      <c r="AB32" s="2903">
        <f t="shared" si="87"/>
        <v>3.3999999999999998E-3</v>
      </c>
      <c r="AC32" s="2905"/>
      <c r="AD32" s="2028">
        <f>IF(I32=0,0,ROUND(AVERAGE(I32:I45)/100,4))</f>
        <v>1.6999999999999999E-3</v>
      </c>
    </row>
    <row r="33" spans="1:30" s="2045" customFormat="1" ht="12.75">
      <c r="A33" s="2906" t="s">
        <v>3372</v>
      </c>
      <c r="B33" s="2031">
        <v>2024</v>
      </c>
      <c r="C33" s="2042">
        <v>2</v>
      </c>
      <c r="D33" s="2007"/>
      <c r="E33" s="2007">
        <v>-0.31</v>
      </c>
      <c r="F33" s="2007">
        <v>-0.39</v>
      </c>
      <c r="G33" s="2007">
        <v>1.23</v>
      </c>
      <c r="H33" s="2918"/>
      <c r="I33" s="2008">
        <f t="shared" ref="I33:I46" si="88">F33</f>
        <v>-0.39</v>
      </c>
      <c r="J33" s="2907"/>
      <c r="K33" s="2043"/>
      <c r="L33" s="2028">
        <f t="shared" ref="L33:N46" si="89">E33/100</f>
        <v>-3.0999999999999999E-3</v>
      </c>
      <c r="M33" s="2028">
        <f t="shared" si="89"/>
        <v>-3.9000000000000003E-3</v>
      </c>
      <c r="N33" s="2028">
        <f t="shared" si="89"/>
        <v>1.23E-2</v>
      </c>
      <c r="O33" s="2028"/>
      <c r="P33" s="2028">
        <f>M33</f>
        <v>-3.9000000000000003E-3</v>
      </c>
      <c r="Q33" s="2907"/>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7"/>
      <c r="Y33" s="2028"/>
      <c r="Z33" s="2903">
        <f t="shared" si="87"/>
        <v>3.3E-3</v>
      </c>
      <c r="AA33" s="2904">
        <f t="shared" si="87"/>
        <v>2.3999999999999998E-3</v>
      </c>
      <c r="AB33" s="2028">
        <f t="shared" si="87"/>
        <v>6.1999999999999998E-3</v>
      </c>
      <c r="AC33" s="2905"/>
      <c r="AD33" s="2028">
        <f>IF(I33=0,0,ROUND(AVERAGE(I33:I46)/100,4))</f>
        <v>2.3999999999999998E-3</v>
      </c>
    </row>
    <row r="34" spans="1:30" s="2045" customFormat="1" ht="12.75">
      <c r="A34" s="2906" t="s">
        <v>3365</v>
      </c>
      <c r="B34" s="2031">
        <v>2024</v>
      </c>
      <c r="C34" s="2042">
        <v>1</v>
      </c>
      <c r="D34" s="2007"/>
      <c r="E34" s="2007">
        <v>0.25</v>
      </c>
      <c r="F34" s="2007">
        <v>0.4</v>
      </c>
      <c r="G34" s="2007">
        <v>-0.63</v>
      </c>
      <c r="H34" s="2918"/>
      <c r="I34" s="2008">
        <f t="shared" ref="I34:I35" si="90">F34</f>
        <v>0.4</v>
      </c>
      <c r="J34" s="2907"/>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7"/>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7"/>
      <c r="Y34" s="2028"/>
      <c r="Z34" s="2903"/>
      <c r="AA34" s="2904"/>
      <c r="AB34" s="2028"/>
      <c r="AC34" s="2905"/>
      <c r="AD34" s="2028"/>
    </row>
    <row r="35" spans="1:30" s="2045" customFormat="1" ht="12.75">
      <c r="A35" s="2906" t="s">
        <v>3363</v>
      </c>
      <c r="B35" s="2031">
        <v>2023</v>
      </c>
      <c r="C35" s="2042">
        <v>4</v>
      </c>
      <c r="D35" s="2007"/>
      <c r="E35" s="2007">
        <v>7.0000000000000007E-2</v>
      </c>
      <c r="F35" s="2007">
        <v>0.09</v>
      </c>
      <c r="G35" s="2007">
        <v>0.03</v>
      </c>
      <c r="H35" s="2918"/>
      <c r="I35" s="2008">
        <f t="shared" si="90"/>
        <v>0.09</v>
      </c>
      <c r="J35" s="2907"/>
      <c r="K35" s="2043"/>
      <c r="L35" s="2028">
        <f t="shared" si="89"/>
        <v>7.000000000000001E-4</v>
      </c>
      <c r="M35" s="2028">
        <f t="shared" si="89"/>
        <v>8.9999999999999998E-4</v>
      </c>
      <c r="N35" s="2028">
        <f t="shared" si="89"/>
        <v>2.9999999999999997E-4</v>
      </c>
      <c r="O35" s="2028"/>
      <c r="P35" s="2028">
        <f t="shared" ref="P35" si="96">M35</f>
        <v>8.9999999999999998E-4</v>
      </c>
      <c r="Q35" s="2907"/>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7"/>
      <c r="Y35" s="2028"/>
      <c r="Z35" s="2903"/>
      <c r="AA35" s="2904"/>
      <c r="AB35" s="2028"/>
      <c r="AC35" s="2905"/>
      <c r="AD35" s="2028"/>
    </row>
    <row r="36" spans="1:30" s="2045" customFormat="1" ht="12.75">
      <c r="A36" s="2906" t="s">
        <v>3361</v>
      </c>
      <c r="B36" s="2031">
        <v>2023</v>
      </c>
      <c r="C36" s="2042">
        <v>3</v>
      </c>
      <c r="D36" s="2007"/>
      <c r="E36" s="2007">
        <v>0.35</v>
      </c>
      <c r="F36" s="2007">
        <v>0.17</v>
      </c>
      <c r="G36" s="2007">
        <v>0.52</v>
      </c>
      <c r="H36" s="2918"/>
      <c r="I36" s="2008">
        <f t="shared" si="88"/>
        <v>0.17</v>
      </c>
      <c r="J36" s="2907"/>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7"/>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7"/>
      <c r="Y36" s="2028"/>
      <c r="Z36" s="2903"/>
      <c r="AA36" s="2904"/>
      <c r="AB36" s="2028"/>
      <c r="AC36" s="2905"/>
      <c r="AD36" s="2028"/>
    </row>
    <row r="37" spans="1:30" s="2045" customFormat="1" ht="12.75">
      <c r="A37" s="2906" t="s">
        <v>3360</v>
      </c>
      <c r="B37" s="2031">
        <v>2023</v>
      </c>
      <c r="C37" s="2042">
        <v>2</v>
      </c>
      <c r="D37" s="2007"/>
      <c r="E37" s="2007">
        <v>0.5</v>
      </c>
      <c r="F37" s="2007">
        <v>0.45</v>
      </c>
      <c r="G37" s="2007">
        <v>0.89</v>
      </c>
      <c r="H37" s="2918"/>
      <c r="I37" s="2008">
        <f t="shared" si="88"/>
        <v>0.45</v>
      </c>
      <c r="J37" s="2907"/>
      <c r="K37" s="2043"/>
      <c r="L37" s="2028">
        <f t="shared" si="98"/>
        <v>5.0000000000000001E-3</v>
      </c>
      <c r="M37" s="2028">
        <f t="shared" si="99"/>
        <v>4.5000000000000005E-3</v>
      </c>
      <c r="N37" s="2028">
        <f t="shared" si="100"/>
        <v>8.8999999999999999E-3</v>
      </c>
      <c r="O37" s="2028"/>
      <c r="P37" s="2028">
        <f t="shared" si="101"/>
        <v>4.5000000000000005E-3</v>
      </c>
      <c r="Q37" s="2907"/>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7"/>
      <c r="Y37" s="2028"/>
      <c r="Z37" s="2903"/>
      <c r="AA37" s="2904"/>
      <c r="AB37" s="2028"/>
      <c r="AC37" s="2905"/>
      <c r="AD37" s="2028"/>
    </row>
    <row r="38" spans="1:30" s="2045" customFormat="1" ht="12.75">
      <c r="A38" s="2906" t="s">
        <v>3358</v>
      </c>
      <c r="B38" s="2031">
        <v>2023</v>
      </c>
      <c r="C38" s="2042">
        <v>1</v>
      </c>
      <c r="D38" s="2007"/>
      <c r="E38" s="2007">
        <v>0.55000000000000004</v>
      </c>
      <c r="F38" s="2007">
        <v>0.59</v>
      </c>
      <c r="G38" s="2007">
        <v>0.64</v>
      </c>
      <c r="H38" s="2918"/>
      <c r="I38" s="2008">
        <f t="shared" si="88"/>
        <v>0.59</v>
      </c>
      <c r="J38" s="2907"/>
      <c r="K38" s="2043"/>
      <c r="L38" s="2028">
        <f t="shared" si="98"/>
        <v>5.5000000000000005E-3</v>
      </c>
      <c r="M38" s="2028">
        <f t="shared" si="99"/>
        <v>5.8999999999999999E-3</v>
      </c>
      <c r="N38" s="2028">
        <f t="shared" si="100"/>
        <v>6.4000000000000003E-3</v>
      </c>
      <c r="O38" s="2028"/>
      <c r="P38" s="2028">
        <f t="shared" si="101"/>
        <v>5.8999999999999999E-3</v>
      </c>
      <c r="Q38" s="2907"/>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7"/>
      <c r="Y38" s="2028"/>
      <c r="Z38" s="2903"/>
      <c r="AA38" s="2904"/>
      <c r="AB38" s="2028"/>
      <c r="AC38" s="2905"/>
      <c r="AD38" s="2028"/>
    </row>
    <row r="39" spans="1:30" s="2045" customFormat="1" ht="12.75">
      <c r="A39" s="2906" t="s">
        <v>3357</v>
      </c>
      <c r="B39" s="2031">
        <v>2022</v>
      </c>
      <c r="C39" s="2042">
        <v>4</v>
      </c>
      <c r="D39" s="2007"/>
      <c r="E39" s="2007">
        <v>0.45</v>
      </c>
      <c r="F39" s="2007">
        <v>0.2</v>
      </c>
      <c r="G39" s="2007">
        <v>0.38</v>
      </c>
      <c r="H39" s="2918"/>
      <c r="I39" s="2008">
        <f t="shared" si="88"/>
        <v>0.2</v>
      </c>
      <c r="J39" s="2907"/>
      <c r="K39" s="2043"/>
      <c r="L39" s="2028">
        <f t="shared" si="89"/>
        <v>4.5000000000000005E-3</v>
      </c>
      <c r="M39" s="2028">
        <f t="shared" si="89"/>
        <v>2E-3</v>
      </c>
      <c r="N39" s="2028">
        <f t="shared" si="89"/>
        <v>3.8E-3</v>
      </c>
      <c r="O39" s="2028"/>
      <c r="P39" s="2028">
        <f t="shared" ref="P39:P46" si="103">M39</f>
        <v>2E-3</v>
      </c>
      <c r="Q39" s="2907"/>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7"/>
      <c r="Y39" s="2028"/>
      <c r="Z39" s="2903">
        <f t="shared" ref="Z39:AD46" si="105">IF(E39=0,0,ROUND(AVERAGE(E39:E47)/100,4))</f>
        <v>4.0000000000000001E-3</v>
      </c>
      <c r="AA39" s="2904">
        <f t="shared" si="105"/>
        <v>2.5999999999999999E-3</v>
      </c>
      <c r="AB39" s="2028">
        <f t="shared" si="105"/>
        <v>7.4000000000000003E-3</v>
      </c>
      <c r="AC39" s="2905"/>
      <c r="AD39" s="2028">
        <f t="shared" si="105"/>
        <v>2.5999999999999999E-3</v>
      </c>
    </row>
    <row r="40" spans="1:30" s="2045" customFormat="1" ht="12.75">
      <c r="A40" s="2906" t="s">
        <v>3356</v>
      </c>
      <c r="B40" s="2031">
        <v>2022</v>
      </c>
      <c r="C40" s="2042">
        <v>3</v>
      </c>
      <c r="D40" s="2007"/>
      <c r="E40" s="2007">
        <v>0.3</v>
      </c>
      <c r="F40" s="2007">
        <v>0.28999999999999998</v>
      </c>
      <c r="G40" s="2007">
        <v>0.83</v>
      </c>
      <c r="H40" s="2918"/>
      <c r="I40" s="2008">
        <f t="shared" si="88"/>
        <v>0.28999999999999998</v>
      </c>
      <c r="J40" s="2907"/>
      <c r="K40" s="2043"/>
      <c r="L40" s="2028">
        <f t="shared" si="89"/>
        <v>3.0000000000000001E-3</v>
      </c>
      <c r="M40" s="2028">
        <f t="shared" si="89"/>
        <v>2.8999999999999998E-3</v>
      </c>
      <c r="N40" s="2028">
        <f t="shared" si="89"/>
        <v>8.3000000000000001E-3</v>
      </c>
      <c r="O40" s="2028"/>
      <c r="P40" s="2028">
        <f t="shared" si="103"/>
        <v>2.8999999999999998E-3</v>
      </c>
      <c r="Q40" s="2907"/>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7"/>
      <c r="Y40" s="2028"/>
      <c r="Z40" s="2903">
        <f t="shared" si="105"/>
        <v>3.8999999999999998E-3</v>
      </c>
      <c r="AA40" s="2904">
        <f t="shared" si="105"/>
        <v>2.7000000000000001E-3</v>
      </c>
      <c r="AB40" s="2028">
        <f t="shared" si="105"/>
        <v>7.9000000000000008E-3</v>
      </c>
      <c r="AC40" s="2905"/>
      <c r="AD40" s="2028">
        <f t="shared" si="105"/>
        <v>2.7000000000000001E-3</v>
      </c>
    </row>
    <row r="41" spans="1:30" s="2045" customFormat="1" ht="12.75">
      <c r="A41" s="2906" t="s">
        <v>3346</v>
      </c>
      <c r="B41" s="2031">
        <v>2022</v>
      </c>
      <c r="C41" s="2042">
        <v>2</v>
      </c>
      <c r="D41" s="2007"/>
      <c r="E41" s="2007">
        <v>-0.11</v>
      </c>
      <c r="F41" s="2007">
        <v>-0.13</v>
      </c>
      <c r="G41" s="2007">
        <v>0.53</v>
      </c>
      <c r="H41" s="2918"/>
      <c r="I41" s="2008">
        <f t="shared" si="88"/>
        <v>-0.13</v>
      </c>
      <c r="J41" s="2907"/>
      <c r="K41" s="2043"/>
      <c r="L41" s="2028">
        <f t="shared" si="89"/>
        <v>-1.1000000000000001E-3</v>
      </c>
      <c r="M41" s="2028">
        <f t="shared" si="89"/>
        <v>-1.2999999999999999E-3</v>
      </c>
      <c r="N41" s="2028">
        <f t="shared" si="89"/>
        <v>5.3E-3</v>
      </c>
      <c r="O41" s="2028"/>
      <c r="P41" s="2028">
        <f t="shared" si="103"/>
        <v>-1.2999999999999999E-3</v>
      </c>
      <c r="Q41" s="2907"/>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7"/>
      <c r="Y41" s="2028"/>
      <c r="Z41" s="2903">
        <f t="shared" si="105"/>
        <v>4.1000000000000003E-3</v>
      </c>
      <c r="AA41" s="2904">
        <f t="shared" si="105"/>
        <v>2.7000000000000001E-3</v>
      </c>
      <c r="AB41" s="2028">
        <f t="shared" si="105"/>
        <v>7.9000000000000008E-3</v>
      </c>
      <c r="AC41" s="2905"/>
      <c r="AD41" s="2028">
        <f t="shared" si="105"/>
        <v>2.7000000000000001E-3</v>
      </c>
    </row>
    <row r="42" spans="1:30" s="2045" customFormat="1" ht="12.75">
      <c r="A42" s="2906" t="s">
        <v>2826</v>
      </c>
      <c r="B42" s="2031">
        <v>2022</v>
      </c>
      <c r="C42" s="2042">
        <v>1</v>
      </c>
      <c r="D42" s="2007"/>
      <c r="E42" s="2007">
        <v>0.6</v>
      </c>
      <c r="F42" s="2007">
        <v>0.45</v>
      </c>
      <c r="G42" s="2007">
        <v>0.53</v>
      </c>
      <c r="H42" s="2918"/>
      <c r="I42" s="2008">
        <f t="shared" si="88"/>
        <v>0.45</v>
      </c>
      <c r="J42" s="2907"/>
      <c r="K42" s="2043"/>
      <c r="L42" s="2028">
        <f t="shared" si="89"/>
        <v>6.0000000000000001E-3</v>
      </c>
      <c r="M42" s="2028">
        <f t="shared" si="89"/>
        <v>4.5000000000000005E-3</v>
      </c>
      <c r="N42" s="2028">
        <f t="shared" si="89"/>
        <v>5.3E-3</v>
      </c>
      <c r="O42" s="2028"/>
      <c r="P42" s="2028">
        <f t="shared" si="103"/>
        <v>4.5000000000000005E-3</v>
      </c>
      <c r="Q42" s="2907"/>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7"/>
      <c r="Y42" s="2028"/>
      <c r="Z42" s="2903">
        <f t="shared" si="105"/>
        <v>5.1000000000000004E-3</v>
      </c>
      <c r="AA42" s="2904">
        <f t="shared" si="105"/>
        <v>3.5000000000000001E-3</v>
      </c>
      <c r="AB42" s="2028">
        <f t="shared" si="105"/>
        <v>8.3999999999999995E-3</v>
      </c>
      <c r="AC42" s="2905"/>
      <c r="AD42" s="2028">
        <f t="shared" si="105"/>
        <v>3.5000000000000001E-3</v>
      </c>
    </row>
    <row r="43" spans="1:30" s="2045" customFormat="1" ht="12.75">
      <c r="A43" s="2906" t="s">
        <v>2827</v>
      </c>
      <c r="B43" s="2031">
        <v>2021</v>
      </c>
      <c r="C43" s="2042">
        <v>4</v>
      </c>
      <c r="D43" s="2007"/>
      <c r="E43" s="2007">
        <v>0.57999999999999996</v>
      </c>
      <c r="F43" s="2007">
        <v>0.08</v>
      </c>
      <c r="G43" s="2007">
        <v>0.68</v>
      </c>
      <c r="H43" s="2918"/>
      <c r="I43" s="2008">
        <f t="shared" si="88"/>
        <v>0.08</v>
      </c>
      <c r="J43" s="2907"/>
      <c r="K43" s="2043"/>
      <c r="L43" s="2028">
        <f t="shared" si="89"/>
        <v>5.7999999999999996E-3</v>
      </c>
      <c r="M43" s="2028">
        <f t="shared" si="89"/>
        <v>8.0000000000000004E-4</v>
      </c>
      <c r="N43" s="2028">
        <f t="shared" si="89"/>
        <v>6.8000000000000005E-3</v>
      </c>
      <c r="O43" s="2028"/>
      <c r="P43" s="2028">
        <f t="shared" si="103"/>
        <v>8.0000000000000004E-4</v>
      </c>
      <c r="Q43" s="2907"/>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7"/>
      <c r="Y43" s="2028"/>
      <c r="Z43" s="2903">
        <f t="shared" si="105"/>
        <v>4.8999999999999998E-3</v>
      </c>
      <c r="AA43" s="2904">
        <f t="shared" si="105"/>
        <v>3.3E-3</v>
      </c>
      <c r="AB43" s="2028">
        <f t="shared" si="105"/>
        <v>9.1999999999999998E-3</v>
      </c>
      <c r="AC43" s="2905"/>
      <c r="AD43" s="2028">
        <f t="shared" si="105"/>
        <v>3.3E-3</v>
      </c>
    </row>
    <row r="44" spans="1:30" s="2045" customFormat="1" ht="12.75">
      <c r="A44" s="2906" t="s">
        <v>2828</v>
      </c>
      <c r="B44" s="2031">
        <v>2021</v>
      </c>
      <c r="C44" s="2042">
        <v>3</v>
      </c>
      <c r="D44" s="2007"/>
      <c r="E44" s="2007">
        <v>0.47</v>
      </c>
      <c r="F44" s="2007">
        <v>0.28000000000000003</v>
      </c>
      <c r="G44" s="2007">
        <v>0.91</v>
      </c>
      <c r="H44" s="2918"/>
      <c r="I44" s="2008">
        <f t="shared" si="88"/>
        <v>0.28000000000000003</v>
      </c>
      <c r="J44" s="2907"/>
      <c r="K44" s="2043"/>
      <c r="L44" s="2028">
        <f t="shared" si="89"/>
        <v>4.6999999999999993E-3</v>
      </c>
      <c r="M44" s="2028">
        <f t="shared" si="89"/>
        <v>2.8000000000000004E-3</v>
      </c>
      <c r="N44" s="2028">
        <f t="shared" si="89"/>
        <v>9.1000000000000004E-3</v>
      </c>
      <c r="O44" s="2028"/>
      <c r="P44" s="2028">
        <f t="shared" si="103"/>
        <v>2.8000000000000004E-3</v>
      </c>
      <c r="Q44" s="2907"/>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7"/>
      <c r="Y44" s="2028"/>
      <c r="Z44" s="2903">
        <f t="shared" si="105"/>
        <v>4.5999999999999999E-3</v>
      </c>
      <c r="AA44" s="2904">
        <f t="shared" si="105"/>
        <v>4.1000000000000003E-3</v>
      </c>
      <c r="AB44" s="2028">
        <f t="shared" si="105"/>
        <v>0.01</v>
      </c>
      <c r="AC44" s="2905"/>
      <c r="AD44" s="2028">
        <f t="shared" si="105"/>
        <v>4.1000000000000003E-3</v>
      </c>
    </row>
    <row r="45" spans="1:30" s="2045" customFormat="1" ht="12.75">
      <c r="A45" s="2906" t="s">
        <v>2829</v>
      </c>
      <c r="B45" s="2031">
        <v>2021</v>
      </c>
      <c r="C45" s="2042">
        <v>2</v>
      </c>
      <c r="D45" s="2007"/>
      <c r="E45" s="2007">
        <v>0.55000000000000004</v>
      </c>
      <c r="F45" s="2007">
        <v>0.46</v>
      </c>
      <c r="G45" s="2007">
        <v>1.1000000000000001</v>
      </c>
      <c r="H45" s="2918"/>
      <c r="I45" s="2008">
        <f t="shared" si="88"/>
        <v>0.46</v>
      </c>
      <c r="J45" s="2907"/>
      <c r="K45" s="2043"/>
      <c r="L45" s="2028">
        <f t="shared" si="89"/>
        <v>5.5000000000000005E-3</v>
      </c>
      <c r="M45" s="2028">
        <f t="shared" si="89"/>
        <v>4.5999999999999999E-3</v>
      </c>
      <c r="N45" s="2028">
        <f t="shared" si="89"/>
        <v>1.1000000000000001E-2</v>
      </c>
      <c r="O45" s="2028"/>
      <c r="P45" s="2028">
        <f t="shared" si="103"/>
        <v>4.5999999999999999E-3</v>
      </c>
      <c r="Q45" s="2907"/>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7"/>
      <c r="Y45" s="2028"/>
      <c r="Z45" s="2903">
        <f t="shared" si="105"/>
        <v>4.4999999999999997E-3</v>
      </c>
      <c r="AA45" s="2904">
        <f t="shared" si="105"/>
        <v>4.7000000000000002E-3</v>
      </c>
      <c r="AB45" s="2028">
        <f t="shared" si="105"/>
        <v>1.04E-2</v>
      </c>
      <c r="AC45" s="2905"/>
      <c r="AD45" s="2028">
        <f t="shared" si="105"/>
        <v>4.7000000000000002E-3</v>
      </c>
    </row>
    <row r="46" spans="1:30" s="2929" customFormat="1" thickBot="1">
      <c r="A46" s="2919" t="s">
        <v>2815</v>
      </c>
      <c r="B46" s="2920">
        <v>2021</v>
      </c>
      <c r="C46" s="2921">
        <v>1</v>
      </c>
      <c r="D46" s="2922"/>
      <c r="E46" s="2922">
        <v>0.35</v>
      </c>
      <c r="F46" s="2922">
        <v>0.48</v>
      </c>
      <c r="G46" s="2922">
        <v>0.98</v>
      </c>
      <c r="H46" s="2923"/>
      <c r="I46" s="2924">
        <f t="shared" si="88"/>
        <v>0.48</v>
      </c>
      <c r="J46" s="2925"/>
      <c r="K46" s="2926"/>
      <c r="L46" s="2927">
        <f t="shared" si="89"/>
        <v>3.4999999999999996E-3</v>
      </c>
      <c r="M46" s="2927">
        <f>F46/100</f>
        <v>4.7999999999999996E-3</v>
      </c>
      <c r="N46" s="2927">
        <f t="shared" si="89"/>
        <v>9.7999999999999997E-3</v>
      </c>
      <c r="O46" s="2927"/>
      <c r="P46" s="2927">
        <f t="shared" si="103"/>
        <v>4.7999999999999996E-3</v>
      </c>
      <c r="Q46" s="2925"/>
      <c r="R46" s="2928"/>
      <c r="S46" s="2928">
        <v>1</v>
      </c>
      <c r="T46" s="2928">
        <v>1</v>
      </c>
      <c r="U46" s="2928">
        <v>1</v>
      </c>
      <c r="V46" s="2928"/>
      <c r="W46" s="2928">
        <f t="shared" si="104"/>
        <v>1</v>
      </c>
      <c r="X46" s="2925"/>
      <c r="Y46" s="2927"/>
      <c r="Z46" s="2935">
        <f t="shared" si="105"/>
        <v>3.5000000000000001E-3</v>
      </c>
      <c r="AA46" s="2936">
        <f t="shared" si="105"/>
        <v>4.7999999999999996E-3</v>
      </c>
      <c r="AB46" s="2927">
        <f t="shared" si="105"/>
        <v>9.7999999999999997E-3</v>
      </c>
      <c r="AC46" s="2937"/>
      <c r="AD46" s="2927">
        <f t="shared" si="105"/>
        <v>4.7999999999999996E-3</v>
      </c>
    </row>
    <row r="47" spans="1:30" ht="14.25" thickTop="1"/>
    <row r="48" spans="1:30">
      <c r="A48" s="3144" t="s">
        <v>3375</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86" t="s">
        <v>452</v>
      </c>
      <c r="C1" s="3486"/>
      <c r="D1" s="3486"/>
      <c r="E1" s="3486"/>
      <c r="F1" s="3486"/>
      <c r="G1" s="3482" t="s">
        <v>453</v>
      </c>
      <c r="H1" s="3482"/>
      <c r="I1" s="3482"/>
      <c r="J1" s="3482"/>
      <c r="K1" s="3482"/>
      <c r="L1" s="3482"/>
      <c r="N1" s="3482" t="s">
        <v>454</v>
      </c>
      <c r="O1" s="3482"/>
      <c r="P1" s="3482"/>
      <c r="Q1" s="3482"/>
      <c r="S1" s="3482" t="s">
        <v>455</v>
      </c>
      <c r="T1" s="3482"/>
      <c r="U1" s="3482"/>
      <c r="V1" s="3482"/>
      <c r="X1" s="3481" t="s">
        <v>456</v>
      </c>
      <c r="Y1" s="3482"/>
      <c r="Z1" s="3482"/>
      <c r="AA1" s="3482"/>
      <c r="AB1" s="3482"/>
      <c r="AD1" s="3481" t="s">
        <v>457</v>
      </c>
      <c r="AE1" s="3482"/>
      <c r="AF1" s="3482"/>
      <c r="AG1" s="3482"/>
      <c r="AH1" s="3482"/>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2112</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3354</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3351</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2113</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3352</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3353</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2427</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2304</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2303</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2302</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2299</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2298</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2128</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2126</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2125</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2124</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2122</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2121</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2123</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84">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2119</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84"/>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2118</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84"/>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2111</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91"/>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2109</v>
      </c>
      <c r="B25" s="2049">
        <v>439</v>
      </c>
      <c r="C25" s="2049">
        <v>327</v>
      </c>
      <c r="D25" s="2049">
        <f>C25</f>
        <v>327</v>
      </c>
      <c r="E25" s="2049">
        <v>627</v>
      </c>
      <c r="F25" s="2050">
        <v>283</v>
      </c>
      <c r="G25" s="3487">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2110</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84"/>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84"/>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91"/>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87">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84"/>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84"/>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85"/>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83">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84"/>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84"/>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85"/>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83">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84"/>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84"/>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85"/>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488">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89"/>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89"/>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90"/>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83">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84"/>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84"/>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85"/>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83">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84">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84">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85">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83">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84">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84">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85">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83">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84">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84">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85">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83">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84">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84">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85">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83">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84">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84">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85">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83">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84">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84">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85">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83">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84">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84">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85">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83">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84">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84">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85">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83">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84">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84">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85">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83">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84">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84">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85">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7"/>
  <sheetViews>
    <sheetView workbookViewId="0">
      <selection activeCell="H14" sqref="H14"/>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45632</v>
      </c>
      <c r="D1" s="1217" t="s">
        <v>603</v>
      </c>
      <c r="E1" s="1212">
        <f>'数据-取费表'!B22</f>
        <v>2</v>
      </c>
      <c r="F1" s="1217" t="s">
        <v>604</v>
      </c>
      <c r="G1" s="1213">
        <f ca="1">INDIRECT("d"&amp;$K$1)/100</f>
        <v>3.1E-2</v>
      </c>
      <c r="H1" s="1217" t="s">
        <v>634</v>
      </c>
      <c r="I1" s="1213">
        <f ca="1">F4/100</f>
        <v>1.4999999999999999E-2</v>
      </c>
      <c r="J1" s="1218">
        <f>IF(C1&gt;C13,0,MATCH(C1,C$13:C$114,-1))+IF(SUMIF(C13:C114,C1,D13:D114)=0,13,12)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44795</v>
      </c>
      <c r="D18" s="1205">
        <v>3.65</v>
      </c>
      <c r="E18" s="1205">
        <v>3.65</v>
      </c>
      <c r="F18" s="1205">
        <v>3.65</v>
      </c>
      <c r="G18" s="1205">
        <v>3.65</v>
      </c>
      <c r="H18" s="1205">
        <v>4.3</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4.25">
      <c r="B26" s="1200" t="s">
        <v>2300</v>
      </c>
      <c r="C26" s="1207">
        <v>43697</v>
      </c>
      <c r="D26" s="2575">
        <v>4.25</v>
      </c>
      <c r="E26" s="2575">
        <v>4.25</v>
      </c>
      <c r="F26" s="2575">
        <v>4.25</v>
      </c>
      <c r="G26" s="2575">
        <v>4.25</v>
      </c>
      <c r="H26" s="2575">
        <v>4.8499999999999996</v>
      </c>
      <c r="I26" s="2575"/>
      <c r="J26" s="257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2578"/>
      <c r="C27" s="2579">
        <v>42301</v>
      </c>
      <c r="D27" s="2580">
        <v>4.3499999999999996</v>
      </c>
      <c r="E27" s="2580">
        <v>4.3499999999999996</v>
      </c>
      <c r="F27" s="2580">
        <v>4.75</v>
      </c>
      <c r="G27" s="2580">
        <v>4.75</v>
      </c>
      <c r="H27" s="2580">
        <v>4.9000000000000004</v>
      </c>
      <c r="I27" s="2580"/>
      <c r="J27" s="2580"/>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71" t="str">
        <f>IF(项目基本情况!B9="房地产市场价值","估价结果一览表","结果表-2")</f>
        <v>结果表-2</v>
      </c>
      <c r="B1" s="3171"/>
      <c r="C1" s="3171"/>
      <c r="D1" s="3171"/>
      <c r="E1" s="3171"/>
      <c r="F1" s="3171"/>
      <c r="G1" s="3171"/>
      <c r="H1" s="3171"/>
      <c r="I1" s="3171"/>
    </row>
    <row r="2" spans="1:9" ht="30" customHeight="1" thickTop="1">
      <c r="A2" s="3172" t="s">
        <v>928</v>
      </c>
      <c r="B2" s="3172" t="s">
        <v>929</v>
      </c>
      <c r="C2" s="3172" t="s">
        <v>930</v>
      </c>
      <c r="D2" s="3172" t="str">
        <f>结果表!D116</f>
        <v>出让国有建设用地使用权价值</v>
      </c>
      <c r="E2" s="3172"/>
      <c r="F2" s="3172" t="str">
        <f>结果表!F116</f>
        <v>在建建筑物价值</v>
      </c>
      <c r="G2" s="3172"/>
      <c r="H2" s="3172" t="str">
        <f>IF(项目基本情况!B9="房地产市场价值","房地产市场价值","房地产价值")</f>
        <v>房地产价值</v>
      </c>
      <c r="I2" s="3172"/>
    </row>
    <row r="3" spans="1:9" ht="15">
      <c r="A3" s="3167"/>
      <c r="B3" s="3167"/>
      <c r="C3" s="3167"/>
      <c r="D3" s="801" t="s">
        <v>925</v>
      </c>
      <c r="E3" s="801" t="s">
        <v>931</v>
      </c>
      <c r="F3" s="801" t="s">
        <v>925</v>
      </c>
      <c r="G3" s="801" t="s">
        <v>926</v>
      </c>
      <c r="H3" s="801" t="s">
        <v>925</v>
      </c>
      <c r="I3" s="801" t="s">
        <v>926</v>
      </c>
    </row>
    <row r="4" spans="1:9" ht="30">
      <c r="A4" s="1403" t="str">
        <f>项目基本情况!S2</f>
        <v>北京市出让国有建设用地使用权及在建建筑物房地产</v>
      </c>
      <c r="B4" s="801">
        <f>项目基本情况!C17</f>
        <v>66288.099999999991</v>
      </c>
      <c r="C4" s="801">
        <f>项目基本情况!C18</f>
        <v>29724.79</v>
      </c>
      <c r="D4" s="801">
        <f ca="1">结果表!D118</f>
        <v>5356</v>
      </c>
      <c r="E4" s="801">
        <f ca="1">结果表!E118</f>
        <v>808</v>
      </c>
      <c r="F4" s="801">
        <f ca="1">结果表!F118</f>
        <v>28331</v>
      </c>
      <c r="G4" s="801">
        <f ca="1">结果表!G118</f>
        <v>4274</v>
      </c>
      <c r="H4" s="801">
        <f ca="1">结果表!H118</f>
        <v>33687</v>
      </c>
      <c r="I4" s="801">
        <f ca="1">结果表!I118</f>
        <v>5082</v>
      </c>
    </row>
    <row r="5" spans="1:9" ht="30" customHeight="1">
      <c r="A5" s="3167" t="s">
        <v>927</v>
      </c>
      <c r="B5" s="3167"/>
      <c r="C5" s="3167"/>
      <c r="D5" s="3167" t="str">
        <f ca="1">结果表!D119</f>
        <v>伍仟叁佰伍拾陆万元整</v>
      </c>
      <c r="E5" s="3167"/>
      <c r="F5" s="3167" t="str">
        <f ca="1">结果表!F119</f>
        <v>贰亿捌仟叁佰叁拾壹万元整</v>
      </c>
      <c r="G5" s="3167"/>
      <c r="H5" s="3167" t="str">
        <f ca="1">结果表!H119</f>
        <v>叁亿叁仟陆佰捌拾柒万元整</v>
      </c>
      <c r="I5" s="3167"/>
    </row>
    <row r="6" spans="1:9" ht="15.75">
      <c r="A6" s="3166" t="str">
        <f>结果表!A120</f>
        <v>估价师知悉的法定优先受偿款</v>
      </c>
      <c r="B6" s="3166"/>
      <c r="C6" s="3166"/>
      <c r="D6" s="3166">
        <f>结果表!D120</f>
        <v>0</v>
      </c>
      <c r="E6" s="3166"/>
      <c r="F6" s="3166"/>
      <c r="G6" s="3166"/>
      <c r="H6" s="3166"/>
      <c r="I6" s="3166"/>
    </row>
    <row r="7" spans="1:9" ht="15">
      <c r="A7" s="3167" t="s">
        <v>927</v>
      </c>
      <c r="B7" s="3167"/>
      <c r="C7" s="3167"/>
      <c r="D7" s="3168" t="str">
        <f>结果表!D121</f>
        <v>零元整</v>
      </c>
      <c r="E7" s="3169"/>
      <c r="F7" s="3169"/>
      <c r="G7" s="3169"/>
      <c r="H7" s="3169"/>
      <c r="I7" s="3170"/>
    </row>
    <row r="8" spans="1:9" ht="15.75">
      <c r="A8" s="3166" t="str">
        <f>结果表!A122</f>
        <v>房地产抵押价值</v>
      </c>
      <c r="B8" s="3166"/>
      <c r="C8" s="3166"/>
      <c r="D8" s="3166">
        <f ca="1">结果表!D122</f>
        <v>33687</v>
      </c>
      <c r="E8" s="3166"/>
      <c r="F8" s="3166"/>
      <c r="G8" s="3166"/>
      <c r="H8" s="3166"/>
      <c r="I8" s="3166"/>
    </row>
    <row r="9" spans="1:9" ht="15">
      <c r="A9" s="3167" t="s">
        <v>927</v>
      </c>
      <c r="B9" s="3167"/>
      <c r="C9" s="3167"/>
      <c r="D9" s="3167" t="str">
        <f ca="1">结果表!D123</f>
        <v>叁亿叁仟陆佰捌拾柒万元整</v>
      </c>
      <c r="E9" s="3167"/>
      <c r="F9" s="3167"/>
      <c r="G9" s="3167"/>
      <c r="H9" s="3167"/>
      <c r="I9" s="3167"/>
    </row>
    <row r="10" spans="1:9" ht="15.75">
      <c r="A10" s="3166" t="str">
        <f>结果表!A124</f>
        <v/>
      </c>
      <c r="B10" s="3166"/>
      <c r="C10" s="3166"/>
      <c r="D10" s="3166" t="str">
        <f>结果表!D124</f>
        <v>——</v>
      </c>
      <c r="E10" s="3166"/>
      <c r="F10" s="3166"/>
      <c r="G10" s="3166"/>
      <c r="H10" s="3166"/>
      <c r="I10" s="3166"/>
    </row>
    <row r="11" spans="1:9" ht="15">
      <c r="A11" s="3167" t="s">
        <v>927</v>
      </c>
      <c r="B11" s="3167"/>
      <c r="C11" s="3167"/>
      <c r="D11" s="3167" t="e">
        <f>结果表!D125</f>
        <v>#VALUE!</v>
      </c>
      <c r="E11" s="3167"/>
      <c r="F11" s="3167"/>
      <c r="G11" s="3167"/>
      <c r="H11" s="3167"/>
      <c r="I11" s="3167"/>
    </row>
    <row r="12" spans="1:9" ht="15.75">
      <c r="A12" s="3166" t="str">
        <f>结果表!A126</f>
        <v/>
      </c>
      <c r="B12" s="3166"/>
      <c r="C12" s="3166"/>
      <c r="D12" s="3166" t="str">
        <f>结果表!D126</f>
        <v>——</v>
      </c>
      <c r="E12" s="3166"/>
      <c r="F12" s="3166"/>
      <c r="G12" s="3166"/>
      <c r="H12" s="3166"/>
      <c r="I12" s="3166"/>
    </row>
    <row r="13" spans="1:9" ht="15.75" thickBot="1">
      <c r="A13" s="3164" t="s">
        <v>927</v>
      </c>
      <c r="B13" s="3164"/>
      <c r="C13" s="3164"/>
      <c r="D13" s="3164" t="e">
        <f>结果表!D127</f>
        <v>#VALUE!</v>
      </c>
      <c r="E13" s="3164"/>
      <c r="F13" s="3164"/>
      <c r="G13" s="3164"/>
      <c r="H13" s="3164"/>
      <c r="I13" s="3164"/>
    </row>
    <row r="14" spans="1:9" ht="15" thickTop="1">
      <c r="A14" s="3165" t="s">
        <v>932</v>
      </c>
      <c r="B14" s="3165"/>
      <c r="C14" s="3165"/>
      <c r="D14" s="3165"/>
      <c r="E14" s="3165"/>
      <c r="F14" s="3165"/>
      <c r="G14" s="3165"/>
      <c r="H14" s="3165"/>
      <c r="I14" s="3165"/>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79" t="s">
        <v>949</v>
      </c>
      <c r="B1" s="3179"/>
      <c r="C1" s="3179"/>
      <c r="D1" s="3179"/>
    </row>
    <row r="2" spans="1:4" ht="18">
      <c r="A2" s="3180" t="s">
        <v>933</v>
      </c>
      <c r="B2" s="3180"/>
      <c r="C2" s="3180"/>
      <c r="D2" s="3180"/>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180" t="s">
        <v>939</v>
      </c>
      <c r="B6" s="3180"/>
      <c r="C6" s="3180"/>
      <c r="D6" s="3180"/>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81" t="s">
        <v>942</v>
      </c>
      <c r="B11" s="3173"/>
      <c r="C11" s="3173"/>
      <c r="D11" s="3173"/>
    </row>
    <row r="12" spans="1:4" ht="15.75">
      <c r="A12" s="31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78"/>
      <c r="C12" s="3178"/>
      <c r="D12" s="3178"/>
    </row>
    <row r="13" spans="1:4" ht="30" customHeight="1">
      <c r="A13" s="317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78"/>
      <c r="C13" s="3178"/>
      <c r="D13" s="3178"/>
    </row>
    <row r="14" spans="1:4" ht="15.75" customHeight="1">
      <c r="A14" s="3173" t="str">
        <f>IF(项目基本情况!B8="抵押","4.本次评估估价师所知悉的法定优先受偿款情况说明如下：","——")</f>
        <v>4.本次评估估价师所知悉的法定优先受偿款情况说明如下：</v>
      </c>
      <c r="B14" s="3178"/>
      <c r="C14" s="3178"/>
      <c r="D14" s="3178"/>
    </row>
    <row r="15" spans="1:4" ht="42" customHeight="1">
      <c r="A15" s="317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73"/>
      <c r="C15" s="3173"/>
      <c r="D15" s="3173"/>
    </row>
    <row r="16" spans="1:4" ht="30" customHeight="1">
      <c r="A16" s="3175" t="s">
        <v>943</v>
      </c>
      <c r="B16" s="3175"/>
      <c r="C16" s="3175"/>
      <c r="D16" s="3175"/>
    </row>
    <row r="17" spans="1:4" ht="144" customHeight="1">
      <c r="A17" s="3175" t="s">
        <v>944</v>
      </c>
      <c r="B17" s="3175"/>
      <c r="C17" s="3175"/>
      <c r="D17" s="3175"/>
    </row>
    <row r="18" spans="1:4" ht="15.75" customHeight="1">
      <c r="A18" s="3173" t="str">
        <f>IF(项目基本情况!B8="抵押",结果表!K120,"——")</f>
        <v>故，本次评估不存在估价师知悉的法定优先受偿款</v>
      </c>
      <c r="B18" s="3173"/>
      <c r="C18" s="3173"/>
      <c r="D18" s="3173"/>
    </row>
    <row r="19" spans="1:4" ht="46.5" customHeight="1">
      <c r="A19" s="31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3"/>
      <c r="C19" s="3173"/>
      <c r="D19" s="3173"/>
    </row>
    <row r="20" spans="1:4" ht="57.75" customHeight="1">
      <c r="A20" s="317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73"/>
      <c r="C20" s="3173"/>
      <c r="D20" s="3173"/>
    </row>
    <row r="21" spans="1:4" ht="57.75" customHeight="1">
      <c r="A21" s="317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76"/>
      <c r="C21" s="3176"/>
      <c r="D21" s="3176"/>
    </row>
    <row r="22" spans="1:4" ht="18.75" customHeight="1">
      <c r="A22" s="3177" t="s">
        <v>945</v>
      </c>
      <c r="B22" s="3177"/>
      <c r="C22" s="3177"/>
      <c r="D22" s="3177"/>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74">
        <v>42551</v>
      </c>
      <c r="D31" s="317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E18" sqref="E18:I18"/>
      <selection pane="bottomLeft" activeCell="E18" sqref="E18:I18"/>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187" t="s">
        <v>956</v>
      </c>
      <c r="B15" s="3182" t="s">
        <v>109</v>
      </c>
      <c r="C15" s="3183"/>
    </row>
    <row r="16" spans="1:7" ht="13.5">
      <c r="A16" s="3188"/>
      <c r="B16" s="3182" t="s">
        <v>42</v>
      </c>
      <c r="C16" s="3183"/>
    </row>
    <row r="17" spans="1:3" ht="13.5">
      <c r="A17" s="3188"/>
      <c r="B17" s="3185" t="s">
        <v>957</v>
      </c>
      <c r="C17" s="1429" t="s">
        <v>956</v>
      </c>
    </row>
    <row r="18" spans="1:3" ht="13.5">
      <c r="A18" s="3188"/>
      <c r="B18" s="3185"/>
      <c r="C18" s="1429" t="s">
        <v>958</v>
      </c>
    </row>
    <row r="19" spans="1:3" ht="13.5">
      <c r="A19" s="3188"/>
      <c r="B19" s="3185"/>
      <c r="C19" s="1429" t="s">
        <v>959</v>
      </c>
    </row>
    <row r="20" spans="1:3" ht="13.5">
      <c r="A20" s="3189"/>
      <c r="B20" s="3184" t="s">
        <v>960</v>
      </c>
      <c r="C20" s="3183"/>
    </row>
    <row r="21" spans="1:3" ht="13.5">
      <c r="A21" s="1430" t="s">
        <v>961</v>
      </c>
      <c r="B21" s="1431"/>
      <c r="C21" s="1432"/>
    </row>
    <row r="22" spans="1:3" ht="13.5">
      <c r="A22" s="3186" t="s">
        <v>962</v>
      </c>
      <c r="B22" s="3184" t="s">
        <v>963</v>
      </c>
      <c r="C22" s="3183"/>
    </row>
    <row r="23" spans="1:3" ht="13.5">
      <c r="A23" s="3186"/>
      <c r="B23" s="3184" t="s">
        <v>964</v>
      </c>
      <c r="C23" s="3183"/>
    </row>
    <row r="24" spans="1:3" ht="13.5">
      <c r="A24" s="3186"/>
      <c r="B24" s="3184" t="s">
        <v>965</v>
      </c>
      <c r="C24" s="3183"/>
    </row>
    <row r="25" spans="1:3" ht="13.5">
      <c r="A25" s="3186"/>
      <c r="B25" s="3185" t="s">
        <v>966</v>
      </c>
      <c r="C25" s="1429" t="s">
        <v>967</v>
      </c>
    </row>
    <row r="26" spans="1:3" ht="13.5">
      <c r="A26" s="3186"/>
      <c r="B26" s="3185"/>
      <c r="C26" s="1429" t="s">
        <v>968</v>
      </c>
    </row>
    <row r="27" spans="1:3" ht="13.5">
      <c r="A27" s="3186"/>
      <c r="B27" s="3185"/>
      <c r="C27" s="1429" t="s">
        <v>969</v>
      </c>
    </row>
    <row r="28" spans="1:3" ht="13.5">
      <c r="A28" s="3186"/>
      <c r="B28" s="3185"/>
      <c r="C28" s="1429" t="s">
        <v>970</v>
      </c>
    </row>
    <row r="29" spans="1:3" ht="13.5">
      <c r="A29" s="3186"/>
      <c r="B29" s="3185"/>
      <c r="C29" s="1429" t="s">
        <v>971</v>
      </c>
    </row>
    <row r="30" spans="1:3" ht="13.5">
      <c r="A30" s="3186"/>
      <c r="B30" s="3185"/>
      <c r="C30" s="1429" t="s">
        <v>972</v>
      </c>
    </row>
    <row r="31" spans="1:3" ht="13.5">
      <c r="A31" s="3186"/>
      <c r="B31" s="3185"/>
      <c r="C31" s="1429" t="s">
        <v>973</v>
      </c>
    </row>
    <row r="32" spans="1:3" ht="13.5">
      <c r="A32" s="3186"/>
      <c r="B32" s="3185"/>
      <c r="C32" s="1429" t="s">
        <v>974</v>
      </c>
    </row>
    <row r="33" spans="1:3" ht="13.5">
      <c r="A33" s="3186"/>
      <c r="B33" s="3185"/>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E18" sqref="E18:I18"/>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2137</v>
      </c>
      <c r="B2" s="2157">
        <f ca="1">TODAY()</f>
        <v>45635</v>
      </c>
      <c r="C2" s="2158" t="s">
        <v>2138</v>
      </c>
      <c r="D2" s="2158"/>
      <c r="E2" s="2158"/>
      <c r="F2" s="2154"/>
      <c r="G2" s="2154"/>
      <c r="H2" s="2154"/>
    </row>
    <row r="3" spans="1:8" ht="24" customHeight="1">
      <c r="A3" s="2159" t="s">
        <v>2139</v>
      </c>
      <c r="B3" s="1219" t="s">
        <v>2140</v>
      </c>
      <c r="C3" s="1219" t="s">
        <v>2141</v>
      </c>
      <c r="D3" s="2160" t="s">
        <v>2142</v>
      </c>
      <c r="E3" s="2161" t="s">
        <v>2143</v>
      </c>
      <c r="F3" s="1219" t="s">
        <v>2144</v>
      </c>
      <c r="G3" s="1219" t="s">
        <v>2141</v>
      </c>
      <c r="H3" s="2160" t="s">
        <v>2145</v>
      </c>
    </row>
    <row r="4" spans="1:8" ht="24" customHeight="1">
      <c r="A4" s="1219" t="s">
        <v>2146</v>
      </c>
      <c r="B4" s="1219">
        <f ca="1">IF(C4&lt;B2,"已过期",1119970066)</f>
        <v>1119970066</v>
      </c>
      <c r="C4" s="2162">
        <v>45937</v>
      </c>
      <c r="D4" s="2163" t="str">
        <f ca="1">A4&amp;"（注册号："&amp;B4&amp;"）"</f>
        <v>梁津（注册号：1119970066）</v>
      </c>
      <c r="E4" s="2164" t="s">
        <v>2146</v>
      </c>
      <c r="F4" s="1219">
        <f ca="1">IF(G4&lt;B2,"已过期",96010014)</f>
        <v>96010014</v>
      </c>
      <c r="G4" s="2165">
        <v>47118</v>
      </c>
      <c r="H4" s="2166" t="str">
        <f ca="1">E4&amp;"（注册号："&amp;F4&amp;"）"</f>
        <v>梁津（注册号：96010014）</v>
      </c>
    </row>
    <row r="5" spans="1:8" ht="24" customHeight="1">
      <c r="A5" s="1219" t="s">
        <v>2147</v>
      </c>
      <c r="B5" s="1219">
        <f ca="1">IF(C5&lt;B2,"已过期",1119970111)</f>
        <v>1119970111</v>
      </c>
      <c r="C5" s="2162">
        <v>45937</v>
      </c>
      <c r="D5" s="2163" t="str">
        <f t="shared" ref="D5:D15" ca="1" si="0">A5&amp;"（注册号："&amp;B5&amp;"）"</f>
        <v>叶凌（注册号：1119970111）</v>
      </c>
      <c r="E5" s="2164" t="s">
        <v>2147</v>
      </c>
      <c r="F5" s="1219">
        <f ca="1">IF(G5&lt;B2,"已过期",94010078)</f>
        <v>94010078</v>
      </c>
      <c r="G5" s="2165">
        <v>46387</v>
      </c>
      <c r="H5" s="2166" t="str">
        <f t="shared" ref="H5:H16" ca="1" si="1">E5&amp;"（注册号："&amp;F5&amp;"）"</f>
        <v>叶凌（注册号：94010078）</v>
      </c>
    </row>
    <row r="6" spans="1:8" ht="24" customHeight="1">
      <c r="A6" s="1219" t="s">
        <v>2148</v>
      </c>
      <c r="B6" s="1219" t="str">
        <f ca="1">IF(C6&lt;B2,"已过期",1120050019)</f>
        <v>已过期</v>
      </c>
      <c r="C6" s="2162">
        <v>45410</v>
      </c>
      <c r="D6" s="2163" t="str">
        <f t="shared" ca="1" si="0"/>
        <v>王鹏（注册号：已过期）</v>
      </c>
      <c r="E6" s="2164" t="s">
        <v>2148</v>
      </c>
      <c r="F6" s="1219">
        <f ca="1">IF(G6&lt;B2,"已过期",2002110030)</f>
        <v>2002110030</v>
      </c>
      <c r="G6" s="2165">
        <v>46387</v>
      </c>
      <c r="H6" s="2166" t="str">
        <f t="shared" ca="1" si="1"/>
        <v>王鹏（注册号：2002110030）</v>
      </c>
    </row>
    <row r="7" spans="1:8" ht="24" customHeight="1">
      <c r="A7" s="1219" t="s">
        <v>2149</v>
      </c>
      <c r="B7" s="1219">
        <f ca="1">IF(C7&lt;B2,"已过期",1120000080)</f>
        <v>1120000080</v>
      </c>
      <c r="C7" s="2162">
        <v>45937</v>
      </c>
      <c r="D7" s="2163" t="str">
        <f t="shared" ca="1" si="0"/>
        <v>欧红伟（注册号：1120000080）</v>
      </c>
      <c r="E7" s="2164" t="s">
        <v>2149</v>
      </c>
      <c r="F7" s="1219">
        <f ca="1">IF(G7&lt;B2,"已过期",2000110082)</f>
        <v>2000110082</v>
      </c>
      <c r="G7" s="2165">
        <v>46387</v>
      </c>
      <c r="H7" s="2166" t="str">
        <f t="shared" ca="1" si="1"/>
        <v>欧红伟（注册号：2000110082）</v>
      </c>
    </row>
    <row r="8" spans="1:8" ht="24" customHeight="1">
      <c r="A8" s="1219" t="s">
        <v>2150</v>
      </c>
      <c r="B8" s="1219">
        <f ca="1">IF(C8&lt;B2,"已过期",1419970001)</f>
        <v>1419970001</v>
      </c>
      <c r="C8" s="2162">
        <v>45937</v>
      </c>
      <c r="D8" s="2163" t="str">
        <f t="shared" ca="1" si="0"/>
        <v>吴薇（注册号：1419970001）</v>
      </c>
      <c r="E8" s="2164" t="s">
        <v>2150</v>
      </c>
      <c r="F8" s="1219">
        <f ca="1">IF(G8&lt;B2,"已过期",2002110125)</f>
        <v>2002110125</v>
      </c>
      <c r="G8" s="2165">
        <v>47118</v>
      </c>
      <c r="H8" s="2166" t="str">
        <f t="shared" ca="1" si="1"/>
        <v>吴薇（注册号：2002110125）</v>
      </c>
    </row>
    <row r="9" spans="1:8" ht="24" customHeight="1">
      <c r="A9" s="1219" t="s">
        <v>2151</v>
      </c>
      <c r="B9" s="1219" t="str">
        <f ca="1">IF(C9&lt;B2,"已过期",1120060040)</f>
        <v>已过期</v>
      </c>
      <c r="C9" s="2167">
        <v>45592</v>
      </c>
      <c r="D9" s="2163" t="str">
        <f t="shared" ca="1" si="0"/>
        <v>陈颖（注册号：已过期）</v>
      </c>
      <c r="E9" s="2164" t="s">
        <v>2151</v>
      </c>
      <c r="F9" s="1219">
        <f ca="1">IF(G9&lt;B2,"已过期",2004110096)</f>
        <v>2004110096</v>
      </c>
      <c r="G9" s="2165">
        <v>47118</v>
      </c>
      <c r="H9" s="2166" t="str">
        <f t="shared" ca="1" si="1"/>
        <v>陈颖（注册号：2004110096）</v>
      </c>
    </row>
    <row r="10" spans="1:8" ht="24" customHeight="1">
      <c r="A10" s="1219" t="s">
        <v>2152</v>
      </c>
      <c r="B10" s="1219">
        <f ca="1">IF(C10&lt;B2,"已过期",1120100036)</f>
        <v>1120100036</v>
      </c>
      <c r="C10" s="2167">
        <v>45752</v>
      </c>
      <c r="D10" s="2163" t="str">
        <f t="shared" ca="1" si="0"/>
        <v>崔锴（注册号：1120100036）</v>
      </c>
      <c r="E10" s="2164" t="s">
        <v>2152</v>
      </c>
      <c r="F10" s="1219">
        <f ca="1">IF(G10&lt;B2,"已过期",2010110070)</f>
        <v>2010110070</v>
      </c>
      <c r="G10" s="2165">
        <v>47907</v>
      </c>
      <c r="H10" s="2166" t="str">
        <f t="shared" ca="1" si="1"/>
        <v>崔锴（注册号：2010110070）</v>
      </c>
    </row>
    <row r="11" spans="1:8" ht="24" customHeight="1">
      <c r="A11" s="1219" t="s">
        <v>2153</v>
      </c>
      <c r="B11" s="1219">
        <f ca="1">IF(C11&lt;B2,"已过期",1120070131)</f>
        <v>1120070131</v>
      </c>
      <c r="C11" s="2162">
        <v>45937</v>
      </c>
      <c r="D11" s="2163" t="str">
        <f t="shared" ca="1" si="0"/>
        <v>郑燚（注册号：1120070131）</v>
      </c>
      <c r="E11" s="2164" t="s">
        <v>2153</v>
      </c>
      <c r="F11" s="1219">
        <f ca="1">IF(G11&lt;B2,"已过期",2014110011)</f>
        <v>2014110011</v>
      </c>
      <c r="G11" s="2165">
        <v>49302</v>
      </c>
      <c r="H11" s="2166" t="str">
        <f t="shared" ca="1" si="1"/>
        <v>郑燚（注册号：2014110011）</v>
      </c>
    </row>
    <row r="12" spans="1:8" ht="24" customHeight="1">
      <c r="A12" s="1219" t="s">
        <v>2154</v>
      </c>
      <c r="B12" s="1219">
        <f ca="1">IF(C12&lt;B2,"已过期",1120040230)</f>
        <v>1120040230</v>
      </c>
      <c r="C12" s="2167">
        <v>45937</v>
      </c>
      <c r="D12" s="2163" t="str">
        <f t="shared" ca="1" si="0"/>
        <v>苏海（注册号：1120040230）</v>
      </c>
      <c r="E12" s="2164" t="s">
        <v>2154</v>
      </c>
      <c r="F12" s="1219">
        <f ca="1">IF(G12&lt;B2,"已过期",98030020)</f>
        <v>98030020</v>
      </c>
      <c r="G12" s="2165">
        <v>47118</v>
      </c>
      <c r="H12" s="2166" t="str">
        <f t="shared" ca="1" si="1"/>
        <v>苏海（注册号：98030020）</v>
      </c>
    </row>
    <row r="13" spans="1:8" ht="24" customHeight="1">
      <c r="A13" s="1219" t="s">
        <v>2155</v>
      </c>
      <c r="B13" s="1219" t="str">
        <f ca="1">IF(C13&lt;B2,"已过期",1120020033)</f>
        <v>已过期</v>
      </c>
      <c r="C13" s="2162">
        <v>45375</v>
      </c>
      <c r="D13" s="2163" t="str">
        <f t="shared" ca="1" si="0"/>
        <v>刘敬东（注册号：已过期）</v>
      </c>
      <c r="E13" s="2164" t="s">
        <v>2155</v>
      </c>
      <c r="F13" s="1219">
        <f ca="1">IF(G13&lt;B2,"已过期",2000110137)</f>
        <v>2000110137</v>
      </c>
      <c r="G13" s="2165">
        <v>46387</v>
      </c>
      <c r="H13" s="2166" t="str">
        <f t="shared" ca="1" si="1"/>
        <v>刘敬东（注册号：2000110137）</v>
      </c>
    </row>
    <row r="14" spans="1:8" ht="24" customHeight="1">
      <c r="A14" s="1219" t="s">
        <v>2156</v>
      </c>
      <c r="B14" s="1219" t="str">
        <f ca="1">IF(C14&lt;B2,"已过期",1119980106)</f>
        <v>已过期</v>
      </c>
      <c r="C14" s="2167">
        <v>44969</v>
      </c>
      <c r="D14" s="2163" t="str">
        <f t="shared" ca="1" si="0"/>
        <v>刘俊财（注册号：已过期）</v>
      </c>
      <c r="E14" s="2164" t="s">
        <v>2156</v>
      </c>
      <c r="F14" s="1219">
        <f ca="1">IF(G14&lt;B2,"已过期",96010063)</f>
        <v>96010063</v>
      </c>
      <c r="G14" s="2165">
        <v>47483</v>
      </c>
      <c r="H14" s="2166" t="str">
        <f t="shared" ca="1" si="1"/>
        <v>刘俊财（注册号：96010063）</v>
      </c>
    </row>
    <row r="15" spans="1:8" ht="24" customHeight="1">
      <c r="A15" s="1219" t="s">
        <v>2428</v>
      </c>
      <c r="B15" s="1219">
        <v>1120210056</v>
      </c>
      <c r="C15" s="2167">
        <v>45410</v>
      </c>
      <c r="D15" s="2163" t="str">
        <f t="shared" si="0"/>
        <v>宁小鳗（注册号：1120210056）</v>
      </c>
      <c r="E15" s="2164" t="s">
        <v>2157</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190" t="s">
        <v>2158</v>
      </c>
      <c r="B17" s="3190"/>
      <c r="C17" s="3190"/>
      <c r="D17" s="3190"/>
      <c r="E17" s="3190"/>
      <c r="F17" s="3190"/>
      <c r="G17" s="3190"/>
      <c r="H17" s="3190"/>
    </row>
    <row r="18" spans="1:8" ht="24" customHeight="1">
      <c r="A18" s="3191" t="s">
        <v>2159</v>
      </c>
      <c r="B18" s="3191"/>
      <c r="C18" s="3191"/>
      <c r="D18" s="2160"/>
      <c r="E18" s="3192" t="s">
        <v>2160</v>
      </c>
      <c r="F18" s="3191"/>
      <c r="G18" s="3191"/>
    </row>
    <row r="19" spans="1:8" s="2170" customFormat="1" ht="24" customHeight="1">
      <c r="A19" s="2169" t="s">
        <v>2161</v>
      </c>
      <c r="B19" s="1219" t="s">
        <v>2162</v>
      </c>
      <c r="C19" s="1219" t="s">
        <v>2141</v>
      </c>
      <c r="D19" s="2160"/>
      <c r="E19" s="2164" t="s">
        <v>2161</v>
      </c>
      <c r="F19" s="1219" t="s">
        <v>2162</v>
      </c>
      <c r="G19" s="1219" t="s">
        <v>2141</v>
      </c>
    </row>
    <row r="20" spans="1:8" s="2170" customFormat="1" ht="24" customHeight="1">
      <c r="A20" s="2171" t="s">
        <v>2163</v>
      </c>
      <c r="B20" s="2171" t="s">
        <v>2164</v>
      </c>
      <c r="C20" s="2165">
        <v>45898</v>
      </c>
      <c r="D20" s="2172"/>
      <c r="E20" s="2173" t="s">
        <v>2165</v>
      </c>
      <c r="F20" s="2176" t="s">
        <v>2429</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152</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vt:lpstr>
      <vt:lpstr>数据-汇总表</vt:lpstr>
      <vt:lpstr>数据-取费表</vt:lpstr>
      <vt:lpstr>估价对象房地状况</vt:lpstr>
      <vt:lpstr>系统读取表</vt:lpstr>
      <vt:lpstr>结果表</vt:lpstr>
      <vt:lpstr>成本法</vt:lpstr>
      <vt:lpstr>成本法 (元)</vt:lpstr>
      <vt:lpstr>土地比较法-工业</vt:lpstr>
      <vt:lpstr>土地案例</vt:lpstr>
      <vt:lpstr>基准地价修正</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典型户型修正</vt:lpstr>
      <vt:lpstr>基准地价（汇总）</vt:lpstr>
      <vt:lpstr>修正</vt:lpstr>
      <vt:lpstr>容积率修正</vt:lpstr>
      <vt:lpstr>成本法（废）</vt:lpstr>
      <vt:lpstr>区片价</vt:lpstr>
      <vt:lpstr>因素修正幅度</vt:lpstr>
      <vt:lpstr>区片价（范围）</vt:lpstr>
      <vt:lpstr>租金</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2024-12-09T07:52:45Z</dcterms:modified>
</cp:coreProperties>
</file>